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120" windowWidth="15480" windowHeight="8580" tabRatio="826" activeTab="1"/>
  </bookViews>
  <sheets>
    <sheet name="Kalend" sheetId="8" r:id="rId1"/>
    <sheet name="Kal E" sheetId="7" r:id="rId2"/>
    <sheet name="V" sheetId="16" r:id="rId3"/>
    <sheet name="V1" sheetId="51" r:id="rId4"/>
    <sheet name="V-n3" sheetId="54" r:id="rId5"/>
    <sheet name="V2" sheetId="55" r:id="rId6"/>
    <sheet name="V3" sheetId="57" r:id="rId7"/>
    <sheet name="V4" sheetId="58" r:id="rId8"/>
    <sheet name="V5" sheetId="59" r:id="rId9"/>
    <sheet name="V6" sheetId="60" r:id="rId10"/>
    <sheet name="V-jh" sheetId="61" r:id="rId11"/>
    <sheet name="V-se" sheetId="62" r:id="rId12"/>
    <sheet name="V7" sheetId="63" r:id="rId13"/>
    <sheet name="T-ü" sheetId="64" r:id="rId14"/>
    <sheet name="Vi-t" sheetId="66" r:id="rId15"/>
    <sheet name="V8" sheetId="67" r:id="rId16"/>
    <sheet name="iv-ü" sheetId="70" r:id="rId17"/>
    <sheet name="T-d" sheetId="72" r:id="rId18"/>
    <sheet name="V9" sheetId="71" r:id="rId19"/>
    <sheet name="Vi-d" sheetId="73" r:id="rId20"/>
    <sheet name="pl" sheetId="74" r:id="rId21"/>
    <sheet name="EW102" sheetId="68" r:id="rId22"/>
    <sheet name="n+v" sheetId="81" r:id="rId23"/>
    <sheet name="iv-d" sheetId="75" r:id="rId24"/>
    <sheet name="V10" sheetId="76" r:id="rId25"/>
    <sheet name="iv-sd" sheetId="77" r:id="rId26"/>
    <sheet name="V11" sheetId="78" r:id="rId27"/>
    <sheet name="V12" sheetId="79" r:id="rId28"/>
    <sheet name="V13" sheetId="80" r:id="rId29"/>
    <sheet name="Juhend" sheetId="56" r:id="rId30"/>
    <sheet name="ETAPP" sheetId="5" r:id="rId31"/>
    <sheet name="PIV" sheetId="4" r:id="rId32"/>
    <sheet name="PVO" sheetId="3" r:id="rId33"/>
    <sheet name="swiss-v" sheetId="50" r:id="rId34"/>
    <sheet name="alagr-v" sheetId="53" r:id="rId35"/>
    <sheet name="alagr-9-v" sheetId="69" r:id="rId36"/>
  </sheets>
  <definedNames>
    <definedName name="_xlnm._FilterDatabase" localSheetId="2" hidden="1">V!$A$5:$I$76</definedName>
    <definedName name="_xlnm.Print_Area" localSheetId="20">pl!$A$1:$AK$327</definedName>
    <definedName name="_xlnm.Print_Titles" localSheetId="35">'alagr-9-v'!$1:$2</definedName>
    <definedName name="_xlnm.Print_Titles" localSheetId="34">'alagr-v'!$1:$2</definedName>
    <definedName name="_xlnm.Print_Titles" localSheetId="21">'EW102'!$1:$2</definedName>
    <definedName name="_xlnm.Print_Titles" localSheetId="23">'iv-d'!$1:$2</definedName>
    <definedName name="_xlnm.Print_Titles" localSheetId="25">'iv-sd'!$1:$2</definedName>
    <definedName name="_xlnm.Print_Titles" localSheetId="16">'iv-ü'!$1:$2</definedName>
    <definedName name="_xlnm.Print_Titles" localSheetId="1">'Kal E'!$1:$3</definedName>
    <definedName name="_xlnm.Print_Titles" localSheetId="0">Kalend!$1:$2</definedName>
    <definedName name="_xlnm.Print_Titles" localSheetId="22">'n+v'!$1:$2</definedName>
    <definedName name="_xlnm.Print_Titles" localSheetId="20">pl!$1:$2</definedName>
    <definedName name="_xlnm.Print_Titles" localSheetId="33">'swiss-v'!$1:$2</definedName>
    <definedName name="_xlnm.Print_Titles" localSheetId="17">'T-d'!$1:$2</definedName>
    <definedName name="_xlnm.Print_Titles" localSheetId="13">'T-ü'!$1:$2</definedName>
    <definedName name="_xlnm.Print_Titles" localSheetId="2">V!$1:$6</definedName>
    <definedName name="_xlnm.Print_Titles" localSheetId="3">'V1'!$1:$2</definedName>
    <definedName name="_xlnm.Print_Titles" localSheetId="24">'V10'!$1:$2</definedName>
    <definedName name="_xlnm.Print_Titles" localSheetId="26">'V11'!$1:$2</definedName>
    <definedName name="_xlnm.Print_Titles" localSheetId="27">'V12'!$1:$2</definedName>
    <definedName name="_xlnm.Print_Titles" localSheetId="28">'V13'!$1:$2</definedName>
    <definedName name="_xlnm.Print_Titles" localSheetId="5">'V2'!$1:$2</definedName>
    <definedName name="_xlnm.Print_Titles" localSheetId="6">'V3'!$1:$2</definedName>
    <definedName name="_xlnm.Print_Titles" localSheetId="7">'V4'!$1:$2</definedName>
    <definedName name="_xlnm.Print_Titles" localSheetId="8">'V5'!$1:$2</definedName>
    <definedName name="_xlnm.Print_Titles" localSheetId="9">'V6'!$1:$2</definedName>
    <definedName name="_xlnm.Print_Titles" localSheetId="12">'V7'!$1:$2</definedName>
    <definedName name="_xlnm.Print_Titles" localSheetId="15">'V8'!$1:$2</definedName>
    <definedName name="_xlnm.Print_Titles" localSheetId="18">'V9'!$1:$2</definedName>
    <definedName name="_xlnm.Print_Titles" localSheetId="19">'Vi-d'!$1:$2</definedName>
    <definedName name="_xlnm.Print_Titles" localSheetId="14">'Vi-t'!$1:$2</definedName>
    <definedName name="_xlnm.Print_Titles" localSheetId="10">'V-jh'!$1:$2</definedName>
    <definedName name="_xlnm.Print_Titles" localSheetId="4">'V-n3'!$1:$2</definedName>
    <definedName name="_xlnm.Print_Titles" localSheetId="11">'V-se'!$1:$2</definedName>
  </definedNames>
  <calcPr calcId="145621"/>
</workbook>
</file>

<file path=xl/calcChain.xml><?xml version="1.0" encoding="utf-8"?>
<calcChain xmlns="http://schemas.openxmlformats.org/spreadsheetml/2006/main">
  <c r="K97" i="7" l="1"/>
  <c r="G91" i="7" l="1"/>
  <c r="G89" i="7"/>
  <c r="E30" i="8"/>
  <c r="A1" i="81" s="1"/>
  <c r="G115" i="81"/>
  <c r="S6" i="81"/>
  <c r="G112" i="81"/>
  <c r="G109" i="81"/>
  <c r="G106" i="81"/>
  <c r="G103" i="81"/>
  <c r="G100" i="81"/>
  <c r="B304" i="81" s="1"/>
  <c r="P12" i="81"/>
  <c r="O12" i="81"/>
  <c r="R12" i="81"/>
  <c r="U12" i="81" s="1"/>
  <c r="Q11" i="81"/>
  <c r="P11" i="81"/>
  <c r="O11" i="81"/>
  <c r="R11" i="81"/>
  <c r="Q10" i="81"/>
  <c r="P10" i="81"/>
  <c r="O10" i="81"/>
  <c r="R10" i="81"/>
  <c r="Q9" i="81"/>
  <c r="P9" i="81"/>
  <c r="O9" i="81"/>
  <c r="R9" i="81"/>
  <c r="Q8" i="81"/>
  <c r="P8" i="81"/>
  <c r="O8" i="81"/>
  <c r="R8" i="81"/>
  <c r="Q7" i="81"/>
  <c r="P7" i="81"/>
  <c r="O7" i="81"/>
  <c r="R7" i="81"/>
  <c r="B301" i="81" l="1"/>
  <c r="B303" i="81"/>
  <c r="B305" i="81"/>
  <c r="B300" i="81"/>
  <c r="B302" i="81"/>
  <c r="U7" i="81"/>
  <c r="U8" i="81"/>
  <c r="U9" i="81"/>
  <c r="U10" i="81"/>
  <c r="U11" i="81"/>
  <c r="F30" i="8"/>
  <c r="S11" i="81" l="1"/>
  <c r="S10" i="81"/>
  <c r="S9" i="81"/>
  <c r="S8" i="81"/>
  <c r="S7" i="81"/>
  <c r="K136" i="7"/>
  <c r="K113" i="7"/>
  <c r="M83" i="7"/>
  <c r="K83" i="7"/>
  <c r="K59" i="7"/>
  <c r="N7" i="81" l="1"/>
  <c r="T7" i="81" s="1"/>
  <c r="N9" i="81"/>
  <c r="T9" i="81" s="1"/>
  <c r="N11" i="81"/>
  <c r="T11" i="81" s="1"/>
  <c r="N8" i="81"/>
  <c r="T8" i="81" s="1"/>
  <c r="N10" i="81"/>
  <c r="T10" i="81" s="1"/>
  <c r="K108" i="7"/>
  <c r="L108" i="7"/>
  <c r="M11" i="7"/>
  <c r="Z8" i="16" l="1"/>
  <c r="AA8" i="16"/>
  <c r="AC8" i="16"/>
  <c r="AD8" i="16"/>
  <c r="AE8" i="16"/>
  <c r="AG8" i="16"/>
  <c r="AH8" i="16"/>
  <c r="Z9" i="16"/>
  <c r="AA9" i="16"/>
  <c r="AC9" i="16"/>
  <c r="AD9" i="16"/>
  <c r="AE9" i="16"/>
  <c r="AG9" i="16"/>
  <c r="AH9" i="16"/>
  <c r="Z10" i="16"/>
  <c r="AA10" i="16"/>
  <c r="AC10" i="16"/>
  <c r="AD10" i="16"/>
  <c r="AE10" i="16"/>
  <c r="AG10" i="16"/>
  <c r="AH10" i="16"/>
  <c r="Z12" i="16"/>
  <c r="AA12" i="16"/>
  <c r="AC12" i="16"/>
  <c r="AD12" i="16"/>
  <c r="AE12" i="16"/>
  <c r="AG12" i="16"/>
  <c r="AH12" i="16"/>
  <c r="Z13" i="16"/>
  <c r="AA13" i="16"/>
  <c r="AC13" i="16"/>
  <c r="AD13" i="16"/>
  <c r="AE13" i="16"/>
  <c r="AG13" i="16"/>
  <c r="AH13" i="16"/>
  <c r="Z11" i="16"/>
  <c r="AA11" i="16"/>
  <c r="AC11" i="16"/>
  <c r="AD11" i="16"/>
  <c r="AE11" i="16"/>
  <c r="AG11" i="16"/>
  <c r="AH11" i="16"/>
  <c r="Z15" i="16"/>
  <c r="AA15" i="16"/>
  <c r="AC15" i="16"/>
  <c r="AD15" i="16"/>
  <c r="AE15" i="16"/>
  <c r="AG15" i="16"/>
  <c r="AH15" i="16"/>
  <c r="Z16" i="16"/>
  <c r="AA16" i="16"/>
  <c r="AC16" i="16"/>
  <c r="AD16" i="16"/>
  <c r="AE16" i="16"/>
  <c r="AG16" i="16"/>
  <c r="AH16" i="16"/>
  <c r="Z14" i="16"/>
  <c r="AA14" i="16"/>
  <c r="AC14" i="16"/>
  <c r="AD14" i="16"/>
  <c r="AE14" i="16"/>
  <c r="AG14" i="16"/>
  <c r="AH14" i="16"/>
  <c r="Z18" i="16"/>
  <c r="AA18" i="16"/>
  <c r="AC18" i="16"/>
  <c r="AD18" i="16"/>
  <c r="AE18" i="16"/>
  <c r="AG18" i="16"/>
  <c r="AH18" i="16"/>
  <c r="Z19" i="16"/>
  <c r="AA19" i="16"/>
  <c r="AC19" i="16"/>
  <c r="AD19" i="16"/>
  <c r="AE19" i="16"/>
  <c r="AG19" i="16"/>
  <c r="AH19" i="16"/>
  <c r="Z17" i="16"/>
  <c r="AA17" i="16"/>
  <c r="AC17" i="16"/>
  <c r="AD17" i="16"/>
  <c r="AE17" i="16"/>
  <c r="AG17" i="16"/>
  <c r="AH17" i="16"/>
  <c r="Z22" i="16"/>
  <c r="AA22" i="16"/>
  <c r="AC22" i="16"/>
  <c r="AD22" i="16"/>
  <c r="AE22" i="16"/>
  <c r="AG22" i="16"/>
  <c r="AH22" i="16"/>
  <c r="Z24" i="16"/>
  <c r="AA24" i="16"/>
  <c r="AC24" i="16"/>
  <c r="AD24" i="16"/>
  <c r="AE24" i="16"/>
  <c r="AG24" i="16"/>
  <c r="AH24" i="16"/>
  <c r="Z27" i="16"/>
  <c r="AA27" i="16"/>
  <c r="AC27" i="16"/>
  <c r="AD27" i="16"/>
  <c r="AE27" i="16"/>
  <c r="AG27" i="16"/>
  <c r="AH27" i="16"/>
  <c r="Z23" i="16"/>
  <c r="AA23" i="16"/>
  <c r="AC23" i="16"/>
  <c r="AD23" i="16"/>
  <c r="AE23" i="16"/>
  <c r="AG23" i="16"/>
  <c r="AH23" i="16"/>
  <c r="Z20" i="16"/>
  <c r="AA20" i="16"/>
  <c r="AC20" i="16"/>
  <c r="AD20" i="16"/>
  <c r="AE20" i="16"/>
  <c r="AG20" i="16"/>
  <c r="AH20" i="16"/>
  <c r="Z21" i="16"/>
  <c r="AA21" i="16"/>
  <c r="AC21" i="16"/>
  <c r="AD21" i="16"/>
  <c r="AE21" i="16"/>
  <c r="AG21" i="16"/>
  <c r="AH21" i="16"/>
  <c r="Z30" i="16"/>
  <c r="AA30" i="16"/>
  <c r="AC30" i="16"/>
  <c r="AD30" i="16"/>
  <c r="AE30" i="16"/>
  <c r="AG30" i="16"/>
  <c r="AH30" i="16"/>
  <c r="Z25" i="16"/>
  <c r="AA25" i="16"/>
  <c r="AC25" i="16"/>
  <c r="AD25" i="16"/>
  <c r="AE25" i="16"/>
  <c r="AG25" i="16"/>
  <c r="AH25" i="16"/>
  <c r="Z26" i="16"/>
  <c r="AA26" i="16"/>
  <c r="AC26" i="16"/>
  <c r="AD26" i="16"/>
  <c r="AE26" i="16"/>
  <c r="AG26" i="16"/>
  <c r="AH26" i="16"/>
  <c r="Z29" i="16"/>
  <c r="AA29" i="16"/>
  <c r="AC29" i="16"/>
  <c r="AD29" i="16"/>
  <c r="AE29" i="16"/>
  <c r="AG29" i="16"/>
  <c r="AH29" i="16"/>
  <c r="Z28" i="16"/>
  <c r="AA28" i="16"/>
  <c r="AC28" i="16"/>
  <c r="AD28" i="16"/>
  <c r="AE28" i="16"/>
  <c r="AG28" i="16"/>
  <c r="AH28" i="16"/>
  <c r="Z31" i="16"/>
  <c r="AA31" i="16"/>
  <c r="AC31" i="16"/>
  <c r="AD31" i="16"/>
  <c r="AE31" i="16"/>
  <c r="AG31" i="16"/>
  <c r="AH31" i="16"/>
  <c r="Z33" i="16"/>
  <c r="AA33" i="16"/>
  <c r="AC33" i="16"/>
  <c r="AD33" i="16"/>
  <c r="AE33" i="16"/>
  <c r="AG33" i="16"/>
  <c r="AH33" i="16"/>
  <c r="Z34" i="16"/>
  <c r="AA34" i="16"/>
  <c r="AC34" i="16"/>
  <c r="AD34" i="16"/>
  <c r="AE34" i="16"/>
  <c r="AG34" i="16"/>
  <c r="AH34" i="16"/>
  <c r="Z36" i="16"/>
  <c r="AA36" i="16"/>
  <c r="AC36" i="16"/>
  <c r="AD36" i="16"/>
  <c r="AE36" i="16"/>
  <c r="AG36" i="16"/>
  <c r="AH36" i="16"/>
  <c r="Z32" i="16"/>
  <c r="AA32" i="16"/>
  <c r="AC32" i="16"/>
  <c r="AD32" i="16"/>
  <c r="AE32" i="16"/>
  <c r="AG32" i="16"/>
  <c r="AH32" i="16"/>
  <c r="Z35" i="16"/>
  <c r="AA35" i="16"/>
  <c r="AC35" i="16"/>
  <c r="AD35" i="16"/>
  <c r="AE35" i="16"/>
  <c r="AG35" i="16"/>
  <c r="AH35" i="16"/>
  <c r="Z41" i="16"/>
  <c r="AA41" i="16"/>
  <c r="AC41" i="16"/>
  <c r="AD41" i="16"/>
  <c r="AE41" i="16"/>
  <c r="AG41" i="16"/>
  <c r="AH41" i="16"/>
  <c r="Z42" i="16"/>
  <c r="AA42" i="16"/>
  <c r="AC42" i="16"/>
  <c r="AD42" i="16"/>
  <c r="AE42" i="16"/>
  <c r="AG42" i="16"/>
  <c r="AH42" i="16"/>
  <c r="Z43" i="16"/>
  <c r="AA43" i="16"/>
  <c r="AC43" i="16"/>
  <c r="AD43" i="16"/>
  <c r="AE43" i="16"/>
  <c r="AG43" i="16"/>
  <c r="AH43" i="16"/>
  <c r="Z44" i="16"/>
  <c r="AA44" i="16"/>
  <c r="AC44" i="16"/>
  <c r="AD44" i="16"/>
  <c r="AE44" i="16"/>
  <c r="AG44" i="16"/>
  <c r="AH44" i="16"/>
  <c r="Z38" i="16"/>
  <c r="AA38" i="16"/>
  <c r="AC38" i="16"/>
  <c r="AD38" i="16"/>
  <c r="AE38" i="16"/>
  <c r="AG38" i="16"/>
  <c r="AH38" i="16"/>
  <c r="Z37" i="16"/>
  <c r="AA37" i="16"/>
  <c r="AC37" i="16"/>
  <c r="AD37" i="16"/>
  <c r="AE37" i="16"/>
  <c r="AG37" i="16"/>
  <c r="AH37" i="16"/>
  <c r="Z45" i="16"/>
  <c r="AA45" i="16"/>
  <c r="AC45" i="16"/>
  <c r="AD45" i="16"/>
  <c r="AE45" i="16"/>
  <c r="AG45" i="16"/>
  <c r="AH45" i="16"/>
  <c r="Z46" i="16"/>
  <c r="AA46" i="16"/>
  <c r="AC46" i="16"/>
  <c r="AD46" i="16"/>
  <c r="AE46" i="16"/>
  <c r="AG46" i="16"/>
  <c r="AH46" i="16"/>
  <c r="Z39" i="16"/>
  <c r="AA39" i="16"/>
  <c r="AC39" i="16"/>
  <c r="AD39" i="16"/>
  <c r="AE39" i="16"/>
  <c r="AG39" i="16"/>
  <c r="AH39" i="16"/>
  <c r="Z40" i="16"/>
  <c r="AA40" i="16"/>
  <c r="AC40" i="16"/>
  <c r="AD40" i="16"/>
  <c r="AE40" i="16"/>
  <c r="AG40" i="16"/>
  <c r="AH40" i="16"/>
  <c r="Z47" i="16"/>
  <c r="AA47" i="16"/>
  <c r="AC47" i="16"/>
  <c r="AD47" i="16"/>
  <c r="AE47" i="16"/>
  <c r="AG47" i="16"/>
  <c r="AH47" i="16"/>
  <c r="Z48" i="16"/>
  <c r="AA48" i="16"/>
  <c r="AC48" i="16"/>
  <c r="AD48" i="16"/>
  <c r="AE48" i="16"/>
  <c r="AG48" i="16"/>
  <c r="AH48" i="16"/>
  <c r="Z49" i="16"/>
  <c r="AA49" i="16"/>
  <c r="AC49" i="16"/>
  <c r="AD49" i="16"/>
  <c r="AE49" i="16"/>
  <c r="AG49" i="16"/>
  <c r="AH49" i="16"/>
  <c r="Z50" i="16"/>
  <c r="AA50" i="16"/>
  <c r="AC50" i="16"/>
  <c r="AD50" i="16"/>
  <c r="AE50" i="16"/>
  <c r="AG50" i="16"/>
  <c r="AH50" i="16"/>
  <c r="Z51" i="16"/>
  <c r="AA51" i="16"/>
  <c r="AC51" i="16"/>
  <c r="AD51" i="16"/>
  <c r="AE51" i="16"/>
  <c r="AG51" i="16"/>
  <c r="AH51" i="16"/>
  <c r="Z52" i="16"/>
  <c r="AA52" i="16"/>
  <c r="AC52" i="16"/>
  <c r="AD52" i="16"/>
  <c r="AE52" i="16"/>
  <c r="AG52" i="16"/>
  <c r="AH52" i="16"/>
  <c r="Z53" i="16"/>
  <c r="AA53" i="16"/>
  <c r="AC53" i="16"/>
  <c r="AD53" i="16"/>
  <c r="AE53" i="16"/>
  <c r="AG53" i="16"/>
  <c r="AH53" i="16"/>
  <c r="Z54" i="16"/>
  <c r="AA54" i="16"/>
  <c r="AC54" i="16"/>
  <c r="AD54" i="16"/>
  <c r="AE54" i="16"/>
  <c r="AG54" i="16"/>
  <c r="AH54" i="16"/>
  <c r="Z55" i="16"/>
  <c r="AA55" i="16"/>
  <c r="AC55" i="16"/>
  <c r="AD55" i="16"/>
  <c r="AE55" i="16"/>
  <c r="AG55" i="16"/>
  <c r="AH55" i="16"/>
  <c r="Z56" i="16"/>
  <c r="AA56" i="16"/>
  <c r="AC56" i="16"/>
  <c r="AD56" i="16"/>
  <c r="AE56" i="16"/>
  <c r="AG56" i="16"/>
  <c r="AH56" i="16"/>
  <c r="Z57" i="16"/>
  <c r="AA57" i="16"/>
  <c r="AC57" i="16"/>
  <c r="AD57" i="16"/>
  <c r="AE57" i="16"/>
  <c r="AG57" i="16"/>
  <c r="AH57" i="16"/>
  <c r="Z58" i="16"/>
  <c r="AA58" i="16"/>
  <c r="AC58" i="16"/>
  <c r="AD58" i="16"/>
  <c r="AE58" i="16"/>
  <c r="AG58" i="16"/>
  <c r="AH58" i="16"/>
  <c r="Z59" i="16"/>
  <c r="AA59" i="16"/>
  <c r="AC59" i="16"/>
  <c r="AD59" i="16"/>
  <c r="AE59" i="16"/>
  <c r="AG59" i="16"/>
  <c r="AH59" i="16"/>
  <c r="Z60" i="16"/>
  <c r="AA60" i="16"/>
  <c r="AC60" i="16"/>
  <c r="AD60" i="16"/>
  <c r="AE60" i="16"/>
  <c r="AG60" i="16"/>
  <c r="AH60" i="16"/>
  <c r="Z61" i="16"/>
  <c r="AA61" i="16"/>
  <c r="AC61" i="16"/>
  <c r="AD61" i="16"/>
  <c r="AE61" i="16"/>
  <c r="AG61" i="16"/>
  <c r="AH61" i="16"/>
  <c r="Z62" i="16"/>
  <c r="AA62" i="16"/>
  <c r="AC62" i="16"/>
  <c r="AD62" i="16"/>
  <c r="AE62" i="16"/>
  <c r="AG62" i="16"/>
  <c r="AH62" i="16"/>
  <c r="Z63" i="16"/>
  <c r="AA63" i="16"/>
  <c r="AC63" i="16"/>
  <c r="AD63" i="16"/>
  <c r="AE63" i="16"/>
  <c r="AG63" i="16"/>
  <c r="AH63" i="16"/>
  <c r="Z64" i="16"/>
  <c r="AA64" i="16"/>
  <c r="AC64" i="16"/>
  <c r="AD64" i="16"/>
  <c r="AE64" i="16"/>
  <c r="AG64" i="16"/>
  <c r="AH64" i="16"/>
  <c r="Z65" i="16"/>
  <c r="AA65" i="16"/>
  <c r="AC65" i="16"/>
  <c r="AD65" i="16"/>
  <c r="AE65" i="16"/>
  <c r="AG65" i="16"/>
  <c r="AH65" i="16"/>
  <c r="Z66" i="16"/>
  <c r="AA66" i="16"/>
  <c r="AC66" i="16"/>
  <c r="AD66" i="16"/>
  <c r="AE66" i="16"/>
  <c r="AG66" i="16"/>
  <c r="AH66" i="16"/>
  <c r="Z67" i="16"/>
  <c r="AA67" i="16"/>
  <c r="AC67" i="16"/>
  <c r="AD67" i="16"/>
  <c r="AE67" i="16"/>
  <c r="AG67" i="16"/>
  <c r="AH67" i="16"/>
  <c r="Z68" i="16"/>
  <c r="AA68" i="16"/>
  <c r="AC68" i="16"/>
  <c r="AD68" i="16"/>
  <c r="AE68" i="16"/>
  <c r="AG68" i="16"/>
  <c r="AH68" i="16"/>
  <c r="Z69" i="16"/>
  <c r="AA69" i="16"/>
  <c r="AC69" i="16"/>
  <c r="AD69" i="16"/>
  <c r="AE69" i="16"/>
  <c r="AG69" i="16"/>
  <c r="AH69" i="16"/>
  <c r="Z70" i="16"/>
  <c r="AA70" i="16"/>
  <c r="AC70" i="16"/>
  <c r="AD70" i="16"/>
  <c r="AE70" i="16"/>
  <c r="AG70" i="16"/>
  <c r="AH70" i="16"/>
  <c r="Z71" i="16"/>
  <c r="AA71" i="16"/>
  <c r="AC71" i="16"/>
  <c r="AD71" i="16"/>
  <c r="AE71" i="16"/>
  <c r="AG71" i="16"/>
  <c r="AH71" i="16"/>
  <c r="Z72" i="16"/>
  <c r="AA72" i="16"/>
  <c r="AC72" i="16"/>
  <c r="AD72" i="16"/>
  <c r="AE72" i="16"/>
  <c r="AG72" i="16"/>
  <c r="AH72" i="16"/>
  <c r="Z73" i="16"/>
  <c r="AA73" i="16"/>
  <c r="AC73" i="16"/>
  <c r="AD73" i="16"/>
  <c r="AE73" i="16"/>
  <c r="AG73" i="16"/>
  <c r="AH73" i="16"/>
  <c r="AF8" i="80"/>
  <c r="AH8" i="80"/>
  <c r="AJ8" i="80"/>
  <c r="AI8" i="80" s="1"/>
  <c r="AL8" i="80"/>
  <c r="AK8" i="80" s="1"/>
  <c r="AN8" i="80"/>
  <c r="AM8" i="80" s="1"/>
  <c r="AP8" i="80"/>
  <c r="AO8" i="80" s="1"/>
  <c r="AF9" i="80"/>
  <c r="AH9" i="80"/>
  <c r="AI9" i="80"/>
  <c r="AJ9" i="80"/>
  <c r="AK9" i="80"/>
  <c r="AL9" i="80"/>
  <c r="AM9" i="80"/>
  <c r="AN9" i="80"/>
  <c r="AO9" i="80"/>
  <c r="AP9" i="80"/>
  <c r="AF10" i="80"/>
  <c r="AH10" i="80"/>
  <c r="AJ10" i="80"/>
  <c r="AI10" i="80" s="1"/>
  <c r="AL10" i="80"/>
  <c r="AK10" i="80" s="1"/>
  <c r="AN10" i="80"/>
  <c r="AM10" i="80" s="1"/>
  <c r="AP10" i="80"/>
  <c r="AO10" i="80" s="1"/>
  <c r="AF11" i="80"/>
  <c r="AH11" i="80"/>
  <c r="AI11" i="80"/>
  <c r="AJ11" i="80"/>
  <c r="AK11" i="80"/>
  <c r="AL11" i="80"/>
  <c r="AM11" i="80"/>
  <c r="AN11" i="80"/>
  <c r="AO11" i="80"/>
  <c r="AP11" i="80"/>
  <c r="AF12" i="80"/>
  <c r="AH12" i="80"/>
  <c r="AJ12" i="80"/>
  <c r="AI12" i="80" s="1"/>
  <c r="AL12" i="80"/>
  <c r="AK12" i="80" s="1"/>
  <c r="AN12" i="80"/>
  <c r="AM12" i="80" s="1"/>
  <c r="AP12" i="80"/>
  <c r="AO12" i="80" s="1"/>
  <c r="AF13" i="80"/>
  <c r="AH13" i="80"/>
  <c r="AI13" i="80"/>
  <c r="AJ13" i="80"/>
  <c r="AK13" i="80"/>
  <c r="AL13" i="80"/>
  <c r="AM13" i="80"/>
  <c r="AN13" i="80"/>
  <c r="AO13" i="80"/>
  <c r="AP13" i="80"/>
  <c r="AF14" i="80"/>
  <c r="AH14" i="80"/>
  <c r="AG14" i="80" s="1"/>
  <c r="AJ14" i="80"/>
  <c r="AL14" i="80"/>
  <c r="AN14" i="80"/>
  <c r="AM14" i="80" s="1"/>
  <c r="AP14" i="80"/>
  <c r="AO14" i="80" s="1"/>
  <c r="AF15" i="80"/>
  <c r="AH15" i="80"/>
  <c r="AI15" i="80"/>
  <c r="AJ15" i="80"/>
  <c r="AK15" i="80"/>
  <c r="AL15" i="80"/>
  <c r="AM15" i="80"/>
  <c r="AN15" i="80"/>
  <c r="AO15" i="80"/>
  <c r="AP15" i="80"/>
  <c r="AF16" i="80"/>
  <c r="AH16" i="80"/>
  <c r="AG16" i="80" s="1"/>
  <c r="AJ16" i="80"/>
  <c r="AL16" i="80"/>
  <c r="AN16" i="80"/>
  <c r="AM16" i="80" s="1"/>
  <c r="AP16" i="80"/>
  <c r="AO16" i="80" s="1"/>
  <c r="A1" i="80"/>
  <c r="C309" i="80"/>
  <c r="C308" i="80"/>
  <c r="C307" i="80"/>
  <c r="C306" i="80"/>
  <c r="C305" i="80"/>
  <c r="C304" i="80"/>
  <c r="C303" i="80"/>
  <c r="C302" i="80"/>
  <c r="C301" i="80"/>
  <c r="C300" i="80"/>
  <c r="AA16" i="80"/>
  <c r="Y16" i="80"/>
  <c r="AB16" i="80" s="1"/>
  <c r="W16" i="80"/>
  <c r="AA15" i="80"/>
  <c r="Y15" i="80"/>
  <c r="AB15" i="80" s="1"/>
  <c r="W15" i="80"/>
  <c r="AA14" i="80"/>
  <c r="Y14" i="80"/>
  <c r="AB14" i="80" s="1"/>
  <c r="W14" i="80"/>
  <c r="AA13" i="80"/>
  <c r="Y13" i="80"/>
  <c r="AB13" i="80" s="1"/>
  <c r="W13" i="80"/>
  <c r="AA12" i="80"/>
  <c r="Y12" i="80"/>
  <c r="AB12" i="80" s="1"/>
  <c r="W12" i="80"/>
  <c r="AA11" i="80"/>
  <c r="Y11" i="80"/>
  <c r="AB11" i="80" s="1"/>
  <c r="W11" i="80"/>
  <c r="AA10" i="80"/>
  <c r="Y10" i="80"/>
  <c r="AB10" i="80" s="1"/>
  <c r="W10" i="80"/>
  <c r="AA9" i="80"/>
  <c r="Y9" i="80"/>
  <c r="AB9" i="80" s="1"/>
  <c r="W9" i="80"/>
  <c r="AA8" i="80"/>
  <c r="Y8" i="80"/>
  <c r="AB8" i="80" s="1"/>
  <c r="W8" i="80"/>
  <c r="AP7" i="80"/>
  <c r="AO7" i="80" s="1"/>
  <c r="AN7" i="80"/>
  <c r="AM7" i="80" s="1"/>
  <c r="AL7" i="80"/>
  <c r="AK7" i="80" s="1"/>
  <c r="AJ7" i="80"/>
  <c r="AI7" i="80" s="1"/>
  <c r="AH7" i="80"/>
  <c r="AF7" i="80"/>
  <c r="AA7" i="80"/>
  <c r="Y7" i="80"/>
  <c r="AB7" i="80" s="1"/>
  <c r="W7" i="80"/>
  <c r="B300" i="80" l="1"/>
  <c r="B301" i="80"/>
  <c r="B302" i="80"/>
  <c r="B303" i="80"/>
  <c r="B304" i="80"/>
  <c r="B305" i="80"/>
  <c r="B306" i="80"/>
  <c r="B307" i="80"/>
  <c r="B308" i="80"/>
  <c r="B309" i="80"/>
  <c r="AM4" i="16"/>
  <c r="AN4" i="16"/>
  <c r="AM6" i="16"/>
  <c r="AN6" i="16"/>
  <c r="AM74" i="16"/>
  <c r="AN74" i="16"/>
  <c r="AM75" i="16"/>
  <c r="AN75" i="16"/>
  <c r="C301" i="55"/>
  <c r="C302" i="55"/>
  <c r="C303" i="55"/>
  <c r="C304" i="55"/>
  <c r="C305" i="55"/>
  <c r="C306" i="55"/>
  <c r="C307" i="55"/>
  <c r="C308" i="55"/>
  <c r="C309" i="55"/>
  <c r="C310" i="55"/>
  <c r="C311" i="55"/>
  <c r="C312" i="55"/>
  <c r="C313" i="55"/>
  <c r="C314" i="55"/>
  <c r="C315" i="55"/>
  <c r="C316" i="55"/>
  <c r="C317" i="55"/>
  <c r="AR9" i="16"/>
  <c r="AR10" i="16"/>
  <c r="AR8" i="16"/>
  <c r="AR12" i="16"/>
  <c r="AR13" i="16"/>
  <c r="AR15" i="16"/>
  <c r="AR14" i="16"/>
  <c r="AR18" i="16"/>
  <c r="AR22" i="16"/>
  <c r="AR11" i="16"/>
  <c r="AR16" i="16"/>
  <c r="AR19" i="16"/>
  <c r="AR27" i="16"/>
  <c r="AR17" i="16"/>
  <c r="AR24" i="16"/>
  <c r="AR23" i="16"/>
  <c r="AR30" i="16"/>
  <c r="AR33" i="16"/>
  <c r="AR34" i="16"/>
  <c r="AR31" i="16"/>
  <c r="AR21" i="16"/>
  <c r="AR20" i="16"/>
  <c r="AR36" i="16"/>
  <c r="AR29" i="16"/>
  <c r="AR28" i="16"/>
  <c r="AR25" i="16"/>
  <c r="AR26" i="16"/>
  <c r="AR35" i="16"/>
  <c r="AR42" i="16"/>
  <c r="AR43" i="16"/>
  <c r="AR44" i="16"/>
  <c r="AR38" i="16"/>
  <c r="AR46" i="16"/>
  <c r="AR39" i="16"/>
  <c r="AR32" i="16"/>
  <c r="AR41" i="16"/>
  <c r="AR37" i="16"/>
  <c r="AR47" i="16"/>
  <c r="AR48" i="16"/>
  <c r="AR51" i="16"/>
  <c r="AR53" i="16"/>
  <c r="AR54" i="16"/>
  <c r="AR45" i="16"/>
  <c r="AR40" i="16"/>
  <c r="AR56" i="16"/>
  <c r="AR57" i="16"/>
  <c r="AR58" i="16"/>
  <c r="AR59" i="16"/>
  <c r="AR60" i="16"/>
  <c r="AR61" i="16"/>
  <c r="AR62" i="16"/>
  <c r="AR63" i="16"/>
  <c r="AR64" i="16"/>
  <c r="AR49" i="16"/>
  <c r="AR65" i="16"/>
  <c r="AR50" i="16"/>
  <c r="AR66" i="16"/>
  <c r="AR67" i="16"/>
  <c r="AR68" i="16"/>
  <c r="AR69" i="16"/>
  <c r="AR70" i="16"/>
  <c r="AR71" i="16"/>
  <c r="AR72" i="16"/>
  <c r="AR73" i="16"/>
  <c r="AR55" i="16"/>
  <c r="AR52" i="16"/>
  <c r="V52" i="16"/>
  <c r="C312" i="79"/>
  <c r="C311" i="79"/>
  <c r="C310" i="79"/>
  <c r="C309" i="79"/>
  <c r="C308" i="79"/>
  <c r="C307" i="79"/>
  <c r="C306" i="79"/>
  <c r="C305" i="79"/>
  <c r="C304" i="79"/>
  <c r="C303" i="79"/>
  <c r="C302" i="79"/>
  <c r="C301" i="79"/>
  <c r="C300" i="79"/>
  <c r="AP19" i="79"/>
  <c r="AO19" i="79" s="1"/>
  <c r="AN19" i="79"/>
  <c r="AM19" i="79" s="1"/>
  <c r="AL19" i="79"/>
  <c r="AK19" i="79" s="1"/>
  <c r="AJ19" i="79"/>
  <c r="AI19" i="79" s="1"/>
  <c r="AH19" i="79"/>
  <c r="AF19" i="79"/>
  <c r="AA19" i="79"/>
  <c r="Y19" i="79"/>
  <c r="AB19" i="79" s="1"/>
  <c r="W19" i="79"/>
  <c r="AP18" i="79"/>
  <c r="AO18" i="79" s="1"/>
  <c r="AN18" i="79"/>
  <c r="AM18" i="79" s="1"/>
  <c r="AL18" i="79"/>
  <c r="AK18" i="79" s="1"/>
  <c r="AJ18" i="79"/>
  <c r="AI18" i="79" s="1"/>
  <c r="AH18" i="79"/>
  <c r="AF18" i="79"/>
  <c r="AA18" i="79"/>
  <c r="Y18" i="79"/>
  <c r="AB18" i="79" s="1"/>
  <c r="W18" i="79"/>
  <c r="AP17" i="79"/>
  <c r="AO17" i="79" s="1"/>
  <c r="AN17" i="79"/>
  <c r="AM17" i="79" s="1"/>
  <c r="AL17" i="79"/>
  <c r="AK17" i="79" s="1"/>
  <c r="AJ17" i="79"/>
  <c r="AI17" i="79" s="1"/>
  <c r="AH17" i="79"/>
  <c r="AF17" i="79"/>
  <c r="AA17" i="79"/>
  <c r="Y17" i="79"/>
  <c r="AB17" i="79" s="1"/>
  <c r="W17" i="79"/>
  <c r="AP16" i="79"/>
  <c r="AO16" i="79" s="1"/>
  <c r="AN16" i="79"/>
  <c r="AM16" i="79" s="1"/>
  <c r="AL16" i="79"/>
  <c r="AK16" i="79" s="1"/>
  <c r="AJ16" i="79"/>
  <c r="AI16" i="79" s="1"/>
  <c r="AH16" i="79"/>
  <c r="AF16" i="79"/>
  <c r="AA16" i="79"/>
  <c r="Y16" i="79"/>
  <c r="AB16" i="79" s="1"/>
  <c r="W16" i="79"/>
  <c r="AP15" i="79"/>
  <c r="AO15" i="79" s="1"/>
  <c r="AN15" i="79"/>
  <c r="AM15" i="79" s="1"/>
  <c r="AL15" i="79"/>
  <c r="AK15" i="79" s="1"/>
  <c r="AJ15" i="79"/>
  <c r="AI15" i="79" s="1"/>
  <c r="AH15" i="79"/>
  <c r="AF15" i="79"/>
  <c r="AA15" i="79"/>
  <c r="Y15" i="79"/>
  <c r="AB15" i="79" s="1"/>
  <c r="W15" i="79"/>
  <c r="AP14" i="79"/>
  <c r="AO14" i="79" s="1"/>
  <c r="AN14" i="79"/>
  <c r="AM14" i="79" s="1"/>
  <c r="AL14" i="79"/>
  <c r="AK14" i="79" s="1"/>
  <c r="AJ14" i="79"/>
  <c r="AI14" i="79" s="1"/>
  <c r="AH14" i="79"/>
  <c r="AF14" i="79"/>
  <c r="AA14" i="79"/>
  <c r="Y14" i="79"/>
  <c r="AB14" i="79" s="1"/>
  <c r="W14" i="79"/>
  <c r="AP13" i="79"/>
  <c r="AO13" i="79" s="1"/>
  <c r="AN13" i="79"/>
  <c r="AM13" i="79" s="1"/>
  <c r="AL13" i="79"/>
  <c r="AK13" i="79" s="1"/>
  <c r="AJ13" i="79"/>
  <c r="AI13" i="79" s="1"/>
  <c r="AH13" i="79"/>
  <c r="AF13" i="79"/>
  <c r="AA13" i="79"/>
  <c r="Y13" i="79"/>
  <c r="AB13" i="79" s="1"/>
  <c r="W13" i="79"/>
  <c r="AP12" i="79"/>
  <c r="AO12" i="79" s="1"/>
  <c r="AN12" i="79"/>
  <c r="AM12" i="79" s="1"/>
  <c r="AL12" i="79"/>
  <c r="AK12" i="79" s="1"/>
  <c r="AJ12" i="79"/>
  <c r="AI12" i="79" s="1"/>
  <c r="AH12" i="79"/>
  <c r="AF12" i="79"/>
  <c r="AA12" i="79"/>
  <c r="Y12" i="79"/>
  <c r="AB12" i="79" s="1"/>
  <c r="W12" i="79"/>
  <c r="AP11" i="79"/>
  <c r="AO11" i="79" s="1"/>
  <c r="AN11" i="79"/>
  <c r="AM11" i="79" s="1"/>
  <c r="AL11" i="79"/>
  <c r="AK11" i="79" s="1"/>
  <c r="AJ11" i="79"/>
  <c r="AI11" i="79" s="1"/>
  <c r="AH11" i="79"/>
  <c r="AF11" i="79"/>
  <c r="AA11" i="79"/>
  <c r="Y11" i="79"/>
  <c r="AB11" i="79" s="1"/>
  <c r="W11" i="79"/>
  <c r="AP10" i="79"/>
  <c r="AO10" i="79" s="1"/>
  <c r="AN10" i="79"/>
  <c r="AM10" i="79" s="1"/>
  <c r="AL10" i="79"/>
  <c r="AK10" i="79" s="1"/>
  <c r="AJ10" i="79"/>
  <c r="AI10" i="79" s="1"/>
  <c r="AH10" i="79"/>
  <c r="AF10" i="79"/>
  <c r="AA10" i="79"/>
  <c r="Y10" i="79"/>
  <c r="AB10" i="79" s="1"/>
  <c r="W10" i="79"/>
  <c r="AP9" i="79"/>
  <c r="AO9" i="79" s="1"/>
  <c r="AN9" i="79"/>
  <c r="AM9" i="79" s="1"/>
  <c r="AL9" i="79"/>
  <c r="AK9" i="79" s="1"/>
  <c r="AJ9" i="79"/>
  <c r="AI9" i="79" s="1"/>
  <c r="AH9" i="79"/>
  <c r="AF9" i="79"/>
  <c r="AA9" i="79"/>
  <c r="Y9" i="79"/>
  <c r="AB9" i="79" s="1"/>
  <c r="W9" i="79"/>
  <c r="AP8" i="79"/>
  <c r="AO8" i="79" s="1"/>
  <c r="AN8" i="79"/>
  <c r="AM8" i="79" s="1"/>
  <c r="AL8" i="79"/>
  <c r="AK8" i="79" s="1"/>
  <c r="AJ8" i="79"/>
  <c r="AI8" i="79" s="1"/>
  <c r="AH8" i="79"/>
  <c r="AF8" i="79"/>
  <c r="AA8" i="79"/>
  <c r="Y8" i="79"/>
  <c r="AB8" i="79" s="1"/>
  <c r="W8" i="79"/>
  <c r="AP7" i="79"/>
  <c r="AO7" i="79" s="1"/>
  <c r="AN7" i="79"/>
  <c r="AM7" i="79" s="1"/>
  <c r="AL7" i="79"/>
  <c r="AK7" i="79" s="1"/>
  <c r="AJ7" i="79"/>
  <c r="AI7" i="79" s="1"/>
  <c r="AH7" i="79"/>
  <c r="AF7" i="79"/>
  <c r="AA7" i="79"/>
  <c r="Y7" i="79"/>
  <c r="AB7" i="79" s="1"/>
  <c r="W7" i="79"/>
  <c r="C312" i="78"/>
  <c r="C311" i="78"/>
  <c r="C310" i="78"/>
  <c r="C309" i="78"/>
  <c r="C308" i="78"/>
  <c r="C307" i="78"/>
  <c r="C306" i="78"/>
  <c r="C305" i="78"/>
  <c r="C304" i="78"/>
  <c r="C303" i="78"/>
  <c r="C302" i="78"/>
  <c r="C301" i="78"/>
  <c r="C300" i="78"/>
  <c r="AP19" i="78"/>
  <c r="AO19" i="78" s="1"/>
  <c r="AN19" i="78"/>
  <c r="AM19" i="78" s="1"/>
  <c r="AL19" i="78"/>
  <c r="AK19" i="78" s="1"/>
  <c r="AJ19" i="78"/>
  <c r="AI19" i="78" s="1"/>
  <c r="AH19" i="78"/>
  <c r="AF19" i="78"/>
  <c r="AA19" i="78"/>
  <c r="Y19" i="78"/>
  <c r="W19" i="78"/>
  <c r="AP18" i="78"/>
  <c r="AO18" i="78" s="1"/>
  <c r="AN18" i="78"/>
  <c r="AM18" i="78" s="1"/>
  <c r="AL18" i="78"/>
  <c r="AK18" i="78" s="1"/>
  <c r="AJ18" i="78"/>
  <c r="AI18" i="78" s="1"/>
  <c r="AH18" i="78"/>
  <c r="AF18" i="78"/>
  <c r="AA18" i="78"/>
  <c r="Y18" i="78"/>
  <c r="W18" i="78"/>
  <c r="AP17" i="78"/>
  <c r="AO17" i="78" s="1"/>
  <c r="AN17" i="78"/>
  <c r="AM17" i="78" s="1"/>
  <c r="AL17" i="78"/>
  <c r="AK17" i="78" s="1"/>
  <c r="AJ17" i="78"/>
  <c r="AI17" i="78" s="1"/>
  <c r="AH17" i="78"/>
  <c r="AF17" i="78"/>
  <c r="AA17" i="78"/>
  <c r="Y17" i="78"/>
  <c r="W17" i="78"/>
  <c r="AP16" i="78"/>
  <c r="AO16" i="78" s="1"/>
  <c r="AN16" i="78"/>
  <c r="AM16" i="78" s="1"/>
  <c r="AL16" i="78"/>
  <c r="AK16" i="78" s="1"/>
  <c r="AJ16" i="78"/>
  <c r="AI16" i="78" s="1"/>
  <c r="AH16" i="78"/>
  <c r="AF16" i="78"/>
  <c r="AA16" i="78"/>
  <c r="Y16" i="78"/>
  <c r="W16" i="78"/>
  <c r="AP15" i="78"/>
  <c r="AO15" i="78" s="1"/>
  <c r="AN15" i="78"/>
  <c r="AM15" i="78" s="1"/>
  <c r="AL15" i="78"/>
  <c r="AK15" i="78" s="1"/>
  <c r="AJ15" i="78"/>
  <c r="AI15" i="78" s="1"/>
  <c r="AH15" i="78"/>
  <c r="AF15" i="78"/>
  <c r="AA15" i="78"/>
  <c r="Y15" i="78"/>
  <c r="AB15" i="78" s="1"/>
  <c r="W15" i="78"/>
  <c r="AP14" i="78"/>
  <c r="AO14" i="78" s="1"/>
  <c r="AN14" i="78"/>
  <c r="AM14" i="78" s="1"/>
  <c r="AL14" i="78"/>
  <c r="AK14" i="78" s="1"/>
  <c r="AJ14" i="78"/>
  <c r="AI14" i="78" s="1"/>
  <c r="AH14" i="78"/>
  <c r="AF14" i="78"/>
  <c r="AA14" i="78"/>
  <c r="Y14" i="78"/>
  <c r="W14" i="78"/>
  <c r="AP13" i="78"/>
  <c r="AO13" i="78" s="1"/>
  <c r="AN13" i="78"/>
  <c r="AM13" i="78" s="1"/>
  <c r="AL13" i="78"/>
  <c r="AK13" i="78" s="1"/>
  <c r="AJ13" i="78"/>
  <c r="AI13" i="78" s="1"/>
  <c r="AH13" i="78"/>
  <c r="AF13" i="78"/>
  <c r="AA13" i="78"/>
  <c r="Y13" i="78"/>
  <c r="W13" i="78"/>
  <c r="AP12" i="78"/>
  <c r="AO12" i="78" s="1"/>
  <c r="AN12" i="78"/>
  <c r="AM12" i="78" s="1"/>
  <c r="AL12" i="78"/>
  <c r="AK12" i="78" s="1"/>
  <c r="AJ12" i="78"/>
  <c r="AI12" i="78" s="1"/>
  <c r="AH12" i="78"/>
  <c r="AF12" i="78"/>
  <c r="AA12" i="78"/>
  <c r="Y12" i="78"/>
  <c r="W12" i="78"/>
  <c r="AP11" i="78"/>
  <c r="AO11" i="78" s="1"/>
  <c r="AN11" i="78"/>
  <c r="AM11" i="78" s="1"/>
  <c r="AL11" i="78"/>
  <c r="AK11" i="78" s="1"/>
  <c r="AJ11" i="78"/>
  <c r="AI11" i="78" s="1"/>
  <c r="AH11" i="78"/>
  <c r="AF11" i="78"/>
  <c r="AA11" i="78"/>
  <c r="Y11" i="78"/>
  <c r="W11" i="78"/>
  <c r="AP10" i="78"/>
  <c r="AO10" i="78" s="1"/>
  <c r="AN10" i="78"/>
  <c r="AM10" i="78" s="1"/>
  <c r="AL10" i="78"/>
  <c r="AK10" i="78" s="1"/>
  <c r="AJ10" i="78"/>
  <c r="AI10" i="78" s="1"/>
  <c r="AH10" i="78"/>
  <c r="AF10" i="78"/>
  <c r="AA10" i="78"/>
  <c r="Y10" i="78"/>
  <c r="W10" i="78"/>
  <c r="AP9" i="78"/>
  <c r="AO9" i="78" s="1"/>
  <c r="AN9" i="78"/>
  <c r="AM9" i="78" s="1"/>
  <c r="AL9" i="78"/>
  <c r="AK9" i="78" s="1"/>
  <c r="AJ9" i="78"/>
  <c r="AI9" i="78" s="1"/>
  <c r="AH9" i="78"/>
  <c r="AF9" i="78"/>
  <c r="AA9" i="78"/>
  <c r="Y9" i="78"/>
  <c r="W9" i="78"/>
  <c r="AP8" i="78"/>
  <c r="AO8" i="78" s="1"/>
  <c r="AN8" i="78"/>
  <c r="AM8" i="78" s="1"/>
  <c r="AL8" i="78"/>
  <c r="AK8" i="78" s="1"/>
  <c r="AJ8" i="78"/>
  <c r="AI8" i="78" s="1"/>
  <c r="AH8" i="78"/>
  <c r="AF8" i="78"/>
  <c r="AA8" i="78"/>
  <c r="Y8" i="78"/>
  <c r="W8" i="78"/>
  <c r="AP7" i="78"/>
  <c r="AO7" i="78" s="1"/>
  <c r="AN7" i="78"/>
  <c r="AM7" i="78" s="1"/>
  <c r="AL7" i="78"/>
  <c r="AK7" i="78" s="1"/>
  <c r="AJ7" i="78"/>
  <c r="AI7" i="78" s="1"/>
  <c r="AH7" i="78"/>
  <c r="AF7" i="78"/>
  <c r="AA7" i="78"/>
  <c r="Y7" i="78"/>
  <c r="W7" i="78"/>
  <c r="AL8" i="16" l="1"/>
  <c r="AL10" i="16"/>
  <c r="AL13" i="16"/>
  <c r="AL15" i="16"/>
  <c r="AL14" i="16"/>
  <c r="AL19" i="16"/>
  <c r="AL22" i="16"/>
  <c r="AL27" i="16"/>
  <c r="AL20" i="16"/>
  <c r="AL30" i="16"/>
  <c r="AL26" i="16"/>
  <c r="AL28" i="16"/>
  <c r="AL33" i="16"/>
  <c r="AL36" i="16"/>
  <c r="AL9" i="16"/>
  <c r="AL12" i="16"/>
  <c r="AL11" i="16"/>
  <c r="AL16" i="16"/>
  <c r="AL18" i="16"/>
  <c r="AL17" i="16"/>
  <c r="AL24" i="16"/>
  <c r="AL23" i="16"/>
  <c r="AL21" i="16"/>
  <c r="AL25" i="16"/>
  <c r="AL29" i="16"/>
  <c r="AL31" i="16"/>
  <c r="AL34" i="16"/>
  <c r="AL32" i="16"/>
  <c r="AL35" i="16"/>
  <c r="AL42" i="16"/>
  <c r="AL44" i="16"/>
  <c r="AL37" i="16"/>
  <c r="AL46" i="16"/>
  <c r="AL40" i="16"/>
  <c r="AL48" i="16"/>
  <c r="AL50" i="16"/>
  <c r="AL52" i="16"/>
  <c r="AL54" i="16"/>
  <c r="AL56" i="16"/>
  <c r="AL58" i="16"/>
  <c r="AL60" i="16"/>
  <c r="AL62" i="16"/>
  <c r="AL41" i="16"/>
  <c r="AL43" i="16"/>
  <c r="AL38" i="16"/>
  <c r="AL45" i="16"/>
  <c r="AL39" i="16"/>
  <c r="AL47" i="16"/>
  <c r="AL49" i="16"/>
  <c r="AL51" i="16"/>
  <c r="AL53" i="16"/>
  <c r="AL55" i="16"/>
  <c r="AL57" i="16"/>
  <c r="AL59" i="16"/>
  <c r="AL61" i="16"/>
  <c r="AL63" i="16"/>
  <c r="AL64" i="16"/>
  <c r="AL66" i="16"/>
  <c r="AL68" i="16"/>
  <c r="AL70" i="16"/>
  <c r="AL72" i="16"/>
  <c r="AL65" i="16"/>
  <c r="AL67" i="16"/>
  <c r="AL69" i="16"/>
  <c r="AL71" i="16"/>
  <c r="AL73" i="16"/>
  <c r="AL7" i="16"/>
  <c r="AB8" i="78"/>
  <c r="AB10" i="78"/>
  <c r="AB12" i="78"/>
  <c r="AB14" i="78"/>
  <c r="AB7" i="78"/>
  <c r="AB16" i="78"/>
  <c r="AB18" i="78"/>
  <c r="AB19" i="78"/>
  <c r="AB9" i="78"/>
  <c r="AB11" i="78"/>
  <c r="AB13" i="78"/>
  <c r="AB17" i="78"/>
  <c r="M140" i="7"/>
  <c r="M138" i="7"/>
  <c r="K138" i="7"/>
  <c r="M136" i="7"/>
  <c r="M135" i="7"/>
  <c r="M133" i="7"/>
  <c r="M132" i="7"/>
  <c r="K132" i="7"/>
  <c r="M130" i="7"/>
  <c r="K130" i="7"/>
  <c r="M129" i="7"/>
  <c r="I129" i="7"/>
  <c r="I128" i="7"/>
  <c r="M127" i="7"/>
  <c r="E23" i="8" l="1"/>
  <c r="K125" i="7"/>
  <c r="V16" i="77" l="1"/>
  <c r="R16" i="77"/>
  <c r="N16" i="77"/>
  <c r="J16" i="77"/>
  <c r="F16" i="77"/>
  <c r="V15" i="77"/>
  <c r="R15" i="77"/>
  <c r="N15" i="77"/>
  <c r="J15" i="77"/>
  <c r="F15" i="77"/>
  <c r="V14" i="77"/>
  <c r="R14" i="77"/>
  <c r="N14" i="77"/>
  <c r="J14" i="77"/>
  <c r="F14" i="77"/>
  <c r="V13" i="77"/>
  <c r="R13" i="77"/>
  <c r="N13" i="77"/>
  <c r="J13" i="77"/>
  <c r="F13" i="77"/>
  <c r="V12" i="77"/>
  <c r="R12" i="77"/>
  <c r="N12" i="77"/>
  <c r="J12" i="77"/>
  <c r="F12" i="77"/>
  <c r="V11" i="77"/>
  <c r="R11" i="77"/>
  <c r="N11" i="77"/>
  <c r="J11" i="77"/>
  <c r="F11" i="77"/>
  <c r="V10" i="77"/>
  <c r="R10" i="77"/>
  <c r="N10" i="77"/>
  <c r="J10" i="77"/>
  <c r="F10" i="77"/>
  <c r="V9" i="77"/>
  <c r="R9" i="77"/>
  <c r="N9" i="77"/>
  <c r="J9" i="77"/>
  <c r="F9" i="77"/>
  <c r="V8" i="77"/>
  <c r="R8" i="77"/>
  <c r="N8" i="77"/>
  <c r="J8" i="77"/>
  <c r="F8" i="77"/>
  <c r="V7" i="77"/>
  <c r="R7" i="77"/>
  <c r="N7" i="77"/>
  <c r="J7" i="77"/>
  <c r="F7" i="77"/>
  <c r="AP16" i="77" l="1"/>
  <c r="AO16" i="77" s="1"/>
  <c r="AN16" i="77"/>
  <c r="AM16" i="77" s="1"/>
  <c r="AL16" i="77"/>
  <c r="AK16" i="77" s="1"/>
  <c r="AJ16" i="77"/>
  <c r="AI16" i="77" s="1"/>
  <c r="AH16" i="77"/>
  <c r="AF16" i="77"/>
  <c r="AA16" i="77"/>
  <c r="Y16" i="77"/>
  <c r="W16" i="77"/>
  <c r="AP15" i="77"/>
  <c r="AO15" i="77" s="1"/>
  <c r="AN15" i="77"/>
  <c r="AM15" i="77" s="1"/>
  <c r="AL15" i="77"/>
  <c r="AK15" i="77" s="1"/>
  <c r="AJ15" i="77"/>
  <c r="AI15" i="77" s="1"/>
  <c r="AH15" i="77"/>
  <c r="AF15" i="77"/>
  <c r="AA15" i="77"/>
  <c r="Y15" i="77"/>
  <c r="W15" i="77"/>
  <c r="AP14" i="77"/>
  <c r="AO14" i="77" s="1"/>
  <c r="AN14" i="77"/>
  <c r="AM14" i="77" s="1"/>
  <c r="AL14" i="77"/>
  <c r="AK14" i="77" s="1"/>
  <c r="AJ14" i="77"/>
  <c r="AI14" i="77" s="1"/>
  <c r="AH14" i="77"/>
  <c r="AF14" i="77"/>
  <c r="AA14" i="77"/>
  <c r="Y14" i="77"/>
  <c r="W14" i="77"/>
  <c r="AP13" i="77"/>
  <c r="AO13" i="77" s="1"/>
  <c r="AN13" i="77"/>
  <c r="AM13" i="77" s="1"/>
  <c r="AL13" i="77"/>
  <c r="AK13" i="77" s="1"/>
  <c r="AJ13" i="77"/>
  <c r="AI13" i="77" s="1"/>
  <c r="AH13" i="77"/>
  <c r="AF13" i="77"/>
  <c r="AA13" i="77"/>
  <c r="Y13" i="77"/>
  <c r="W13" i="77"/>
  <c r="AP12" i="77"/>
  <c r="AO12" i="77" s="1"/>
  <c r="AN12" i="77"/>
  <c r="AM12" i="77" s="1"/>
  <c r="AL12" i="77"/>
  <c r="AK12" i="77" s="1"/>
  <c r="AJ12" i="77"/>
  <c r="AI12" i="77" s="1"/>
  <c r="AH12" i="77"/>
  <c r="AF12" i="77"/>
  <c r="AA12" i="77"/>
  <c r="Y12" i="77"/>
  <c r="W12" i="77"/>
  <c r="AP11" i="77"/>
  <c r="AO11" i="77" s="1"/>
  <c r="AN11" i="77"/>
  <c r="AM11" i="77" s="1"/>
  <c r="AL11" i="77"/>
  <c r="AK11" i="77" s="1"/>
  <c r="AJ11" i="77"/>
  <c r="AI11" i="77" s="1"/>
  <c r="AH11" i="77"/>
  <c r="AF11" i="77"/>
  <c r="AA11" i="77"/>
  <c r="Y11" i="77"/>
  <c r="W11" i="77"/>
  <c r="AP10" i="77"/>
  <c r="AO10" i="77" s="1"/>
  <c r="AN10" i="77"/>
  <c r="AM10" i="77" s="1"/>
  <c r="AL10" i="77"/>
  <c r="AK10" i="77" s="1"/>
  <c r="AJ10" i="77"/>
  <c r="AI10" i="77" s="1"/>
  <c r="AH10" i="77"/>
  <c r="AF10" i="77"/>
  <c r="AA10" i="77"/>
  <c r="Y10" i="77"/>
  <c r="W10" i="77"/>
  <c r="AP9" i="77"/>
  <c r="AO9" i="77" s="1"/>
  <c r="AN9" i="77"/>
  <c r="AM9" i="77" s="1"/>
  <c r="AL9" i="77"/>
  <c r="AK9" i="77" s="1"/>
  <c r="AJ9" i="77"/>
  <c r="AI9" i="77" s="1"/>
  <c r="AH9" i="77"/>
  <c r="AF9" i="77"/>
  <c r="AA9" i="77"/>
  <c r="Y9" i="77"/>
  <c r="W9" i="77"/>
  <c r="AP8" i="77"/>
  <c r="AO8" i="77" s="1"/>
  <c r="AN8" i="77"/>
  <c r="AM8" i="77" s="1"/>
  <c r="AL8" i="77"/>
  <c r="AK8" i="77" s="1"/>
  <c r="AJ8" i="77"/>
  <c r="AI8" i="77" s="1"/>
  <c r="AH8" i="77"/>
  <c r="AF8" i="77"/>
  <c r="AA8" i="77"/>
  <c r="Y8" i="77"/>
  <c r="W8" i="77"/>
  <c r="AP7" i="77"/>
  <c r="AO7" i="77" s="1"/>
  <c r="AN7" i="77"/>
  <c r="AM7" i="77" s="1"/>
  <c r="AL7" i="77"/>
  <c r="AK7" i="77" s="1"/>
  <c r="AJ7" i="77"/>
  <c r="AI7" i="77" s="1"/>
  <c r="AH7" i="77"/>
  <c r="AF7" i="77"/>
  <c r="AA7" i="77"/>
  <c r="Y7" i="77"/>
  <c r="W7" i="77"/>
  <c r="AB16" i="77" l="1"/>
  <c r="AB7" i="77"/>
  <c r="AB9" i="77"/>
  <c r="AB11" i="77"/>
  <c r="AB13" i="77"/>
  <c r="AB15" i="77"/>
  <c r="AB8" i="77"/>
  <c r="AB10" i="77"/>
  <c r="AB12" i="77"/>
  <c r="AB14" i="77"/>
  <c r="R7" i="76"/>
  <c r="V19" i="76"/>
  <c r="R19" i="76"/>
  <c r="J19" i="76"/>
  <c r="F19" i="76"/>
  <c r="V18" i="76"/>
  <c r="N18" i="76"/>
  <c r="J18" i="76"/>
  <c r="F18" i="76"/>
  <c r="R17" i="76"/>
  <c r="N17" i="76"/>
  <c r="J17" i="76"/>
  <c r="F17" i="76"/>
  <c r="V16" i="76"/>
  <c r="R16" i="76"/>
  <c r="N16" i="76"/>
  <c r="J16" i="76"/>
  <c r="F16" i="76"/>
  <c r="V15" i="76"/>
  <c r="R15" i="76"/>
  <c r="N15" i="76"/>
  <c r="F15" i="76"/>
  <c r="V14" i="76"/>
  <c r="R14" i="76"/>
  <c r="N14" i="76"/>
  <c r="J14" i="76"/>
  <c r="F14" i="76"/>
  <c r="V13" i="76"/>
  <c r="R13" i="76"/>
  <c r="N13" i="76"/>
  <c r="J13" i="76"/>
  <c r="F13" i="76"/>
  <c r="V12" i="76"/>
  <c r="R12" i="76"/>
  <c r="N12" i="76"/>
  <c r="J12" i="76"/>
  <c r="F12" i="76"/>
  <c r="V11" i="76"/>
  <c r="R11" i="76"/>
  <c r="N11" i="76"/>
  <c r="J11" i="76"/>
  <c r="F11" i="76"/>
  <c r="V10" i="76"/>
  <c r="R10" i="76"/>
  <c r="N10" i="76"/>
  <c r="J10" i="76"/>
  <c r="F10" i="76"/>
  <c r="V9" i="76"/>
  <c r="R9" i="76"/>
  <c r="N9" i="76"/>
  <c r="J9" i="76"/>
  <c r="F9" i="76"/>
  <c r="V8" i="76"/>
  <c r="R8" i="76"/>
  <c r="N8" i="76"/>
  <c r="J8" i="76"/>
  <c r="F8" i="76"/>
  <c r="V7" i="76"/>
  <c r="N7" i="76"/>
  <c r="J7" i="76"/>
  <c r="V66" i="16"/>
  <c r="V61" i="16"/>
  <c r="V56" i="16"/>
  <c r="C312" i="76"/>
  <c r="C311" i="76"/>
  <c r="C310" i="76"/>
  <c r="C309" i="76"/>
  <c r="C308" i="76"/>
  <c r="C307" i="76"/>
  <c r="C306" i="76"/>
  <c r="C305" i="76"/>
  <c r="C304" i="76"/>
  <c r="C303" i="76"/>
  <c r="C302" i="76"/>
  <c r="C301" i="76"/>
  <c r="C300" i="76"/>
  <c r="AP19" i="76"/>
  <c r="AO19" i="76" s="1"/>
  <c r="AN19" i="76"/>
  <c r="AM19" i="76" s="1"/>
  <c r="AL19" i="76"/>
  <c r="AK19" i="76" s="1"/>
  <c r="AJ19" i="76"/>
  <c r="AI19" i="76" s="1"/>
  <c r="AH19" i="76"/>
  <c r="AF19" i="76"/>
  <c r="AA19" i="76"/>
  <c r="Y19" i="76"/>
  <c r="W19" i="76"/>
  <c r="AP18" i="76"/>
  <c r="AO18" i="76" s="1"/>
  <c r="AN18" i="76"/>
  <c r="AM18" i="76" s="1"/>
  <c r="AL18" i="76"/>
  <c r="AK18" i="76" s="1"/>
  <c r="AJ18" i="76"/>
  <c r="AI18" i="76" s="1"/>
  <c r="AH18" i="76"/>
  <c r="AF18" i="76"/>
  <c r="AA18" i="76"/>
  <c r="Y18" i="76"/>
  <c r="W18" i="76"/>
  <c r="AP17" i="76"/>
  <c r="AO17" i="76" s="1"/>
  <c r="AN17" i="76"/>
  <c r="AM17" i="76" s="1"/>
  <c r="AL17" i="76"/>
  <c r="AK17" i="76" s="1"/>
  <c r="AJ17" i="76"/>
  <c r="AI17" i="76" s="1"/>
  <c r="AH17" i="76"/>
  <c r="AF17" i="76"/>
  <c r="AA17" i="76"/>
  <c r="Y17" i="76"/>
  <c r="W17" i="76"/>
  <c r="AP16" i="76"/>
  <c r="AO16" i="76" s="1"/>
  <c r="AN16" i="76"/>
  <c r="AM16" i="76" s="1"/>
  <c r="AL16" i="76"/>
  <c r="AK16" i="76" s="1"/>
  <c r="AJ16" i="76"/>
  <c r="AI16" i="76" s="1"/>
  <c r="AH16" i="76"/>
  <c r="AF16" i="76"/>
  <c r="AA16" i="76"/>
  <c r="Y16" i="76"/>
  <c r="W16" i="76"/>
  <c r="AP15" i="76"/>
  <c r="AO15" i="76" s="1"/>
  <c r="AN15" i="76"/>
  <c r="AM15" i="76" s="1"/>
  <c r="AL15" i="76"/>
  <c r="AK15" i="76" s="1"/>
  <c r="AJ15" i="76"/>
  <c r="AI15" i="76" s="1"/>
  <c r="AH15" i="76"/>
  <c r="AF15" i="76"/>
  <c r="AA15" i="76"/>
  <c r="Y15" i="76"/>
  <c r="W15" i="76"/>
  <c r="AP14" i="76"/>
  <c r="AO14" i="76" s="1"/>
  <c r="AN14" i="76"/>
  <c r="AM14" i="76" s="1"/>
  <c r="AL14" i="76"/>
  <c r="AK14" i="76" s="1"/>
  <c r="AJ14" i="76"/>
  <c r="AI14" i="76" s="1"/>
  <c r="AH14" i="76"/>
  <c r="AF14" i="76"/>
  <c r="AA14" i="76"/>
  <c r="Y14" i="76"/>
  <c r="W14" i="76"/>
  <c r="AP13" i="76"/>
  <c r="AO13" i="76" s="1"/>
  <c r="AN13" i="76"/>
  <c r="AM13" i="76" s="1"/>
  <c r="AL13" i="76"/>
  <c r="AK13" i="76" s="1"/>
  <c r="AJ13" i="76"/>
  <c r="AI13" i="76" s="1"/>
  <c r="AH13" i="76"/>
  <c r="AF13" i="76"/>
  <c r="AA13" i="76"/>
  <c r="Y13" i="76"/>
  <c r="W13" i="76"/>
  <c r="AP12" i="76"/>
  <c r="AO12" i="76" s="1"/>
  <c r="AN12" i="76"/>
  <c r="AM12" i="76" s="1"/>
  <c r="AL12" i="76"/>
  <c r="AK12" i="76" s="1"/>
  <c r="AJ12" i="76"/>
  <c r="AI12" i="76" s="1"/>
  <c r="AH12" i="76"/>
  <c r="AF12" i="76"/>
  <c r="AA12" i="76"/>
  <c r="Y12" i="76"/>
  <c r="W12" i="76"/>
  <c r="AP11" i="76"/>
  <c r="AO11" i="76" s="1"/>
  <c r="AN11" i="76"/>
  <c r="AM11" i="76" s="1"/>
  <c r="AL11" i="76"/>
  <c r="AK11" i="76" s="1"/>
  <c r="AJ11" i="76"/>
  <c r="AI11" i="76" s="1"/>
  <c r="AH11" i="76"/>
  <c r="AF11" i="76"/>
  <c r="AA11" i="76"/>
  <c r="Y11" i="76"/>
  <c r="W11" i="76"/>
  <c r="AP10" i="76"/>
  <c r="AO10" i="76" s="1"/>
  <c r="AN10" i="76"/>
  <c r="AM10" i="76" s="1"/>
  <c r="AL10" i="76"/>
  <c r="AK10" i="76" s="1"/>
  <c r="AJ10" i="76"/>
  <c r="AI10" i="76" s="1"/>
  <c r="AH10" i="76"/>
  <c r="AF10" i="76"/>
  <c r="AA10" i="76"/>
  <c r="Y10" i="76"/>
  <c r="W10" i="76"/>
  <c r="AP9" i="76"/>
  <c r="AO9" i="76" s="1"/>
  <c r="AN9" i="76"/>
  <c r="AM9" i="76" s="1"/>
  <c r="AL9" i="76"/>
  <c r="AK9" i="76" s="1"/>
  <c r="AJ9" i="76"/>
  <c r="AI9" i="76" s="1"/>
  <c r="AH9" i="76"/>
  <c r="AF9" i="76"/>
  <c r="AA9" i="76"/>
  <c r="Y9" i="76"/>
  <c r="W9" i="76"/>
  <c r="AP8" i="76"/>
  <c r="AO8" i="76" s="1"/>
  <c r="AN8" i="76"/>
  <c r="AM8" i="76" s="1"/>
  <c r="AL8" i="76"/>
  <c r="AK8" i="76" s="1"/>
  <c r="AJ8" i="76"/>
  <c r="AI8" i="76" s="1"/>
  <c r="AH8" i="76"/>
  <c r="AF8" i="76"/>
  <c r="AA8" i="76"/>
  <c r="Y8" i="76"/>
  <c r="W8" i="76"/>
  <c r="AP7" i="76"/>
  <c r="AO7" i="76" s="1"/>
  <c r="AN7" i="76"/>
  <c r="AM7" i="76" s="1"/>
  <c r="AL7" i="76"/>
  <c r="AK7" i="76" s="1"/>
  <c r="AJ7" i="76"/>
  <c r="AI7" i="76" s="1"/>
  <c r="AH7" i="76"/>
  <c r="AF7" i="76"/>
  <c r="AA7" i="76"/>
  <c r="Y7" i="76"/>
  <c r="W7" i="76"/>
  <c r="AB16" i="76" l="1"/>
  <c r="AB19" i="76"/>
  <c r="AB12" i="76"/>
  <c r="AB17" i="76"/>
  <c r="AB8" i="76"/>
  <c r="AB10" i="76"/>
  <c r="AB14" i="76"/>
  <c r="AB15" i="76"/>
  <c r="AB7" i="76"/>
  <c r="AB9" i="76"/>
  <c r="AB11" i="76"/>
  <c r="AB13" i="76"/>
  <c r="AB18" i="76"/>
  <c r="V16" i="75"/>
  <c r="R16" i="75"/>
  <c r="N16" i="75"/>
  <c r="J16" i="75"/>
  <c r="F16" i="75"/>
  <c r="V15" i="75"/>
  <c r="R15" i="75"/>
  <c r="N15" i="75"/>
  <c r="J15" i="75"/>
  <c r="F15" i="75"/>
  <c r="V14" i="75"/>
  <c r="R14" i="75"/>
  <c r="N14" i="75"/>
  <c r="J14" i="75"/>
  <c r="F14" i="75"/>
  <c r="V13" i="75"/>
  <c r="R13" i="75"/>
  <c r="N13" i="75"/>
  <c r="J13" i="75"/>
  <c r="F13" i="75"/>
  <c r="V12" i="75"/>
  <c r="R12" i="75"/>
  <c r="N12" i="75"/>
  <c r="J12" i="75"/>
  <c r="F12" i="75"/>
  <c r="V11" i="75"/>
  <c r="R11" i="75"/>
  <c r="N11" i="75"/>
  <c r="J11" i="75"/>
  <c r="F11" i="75"/>
  <c r="V9" i="75"/>
  <c r="R9" i="75"/>
  <c r="N9" i="75"/>
  <c r="J9" i="75"/>
  <c r="F9" i="75"/>
  <c r="V10" i="75"/>
  <c r="R10" i="75"/>
  <c r="N10" i="75"/>
  <c r="J10" i="75"/>
  <c r="F10" i="75"/>
  <c r="V8" i="75"/>
  <c r="R8" i="75"/>
  <c r="N8" i="75"/>
  <c r="J8" i="75"/>
  <c r="F8" i="75"/>
  <c r="V7" i="75"/>
  <c r="R7" i="75"/>
  <c r="N7" i="75"/>
  <c r="J7" i="75"/>
  <c r="F7" i="75"/>
  <c r="AP16" i="75" l="1"/>
  <c r="AO16" i="75" s="1"/>
  <c r="AN16" i="75"/>
  <c r="AM16" i="75" s="1"/>
  <c r="AL16" i="75"/>
  <c r="AK16" i="75" s="1"/>
  <c r="AJ16" i="75"/>
  <c r="AI16" i="75" s="1"/>
  <c r="AH16" i="75"/>
  <c r="AF16" i="75"/>
  <c r="AA16" i="75"/>
  <c r="Y16" i="75"/>
  <c r="W16" i="75"/>
  <c r="AP15" i="75"/>
  <c r="AO15" i="75" s="1"/>
  <c r="AN15" i="75"/>
  <c r="AM15" i="75" s="1"/>
  <c r="AL15" i="75"/>
  <c r="AK15" i="75" s="1"/>
  <c r="AJ15" i="75"/>
  <c r="AI15" i="75" s="1"/>
  <c r="AH15" i="75"/>
  <c r="AF15" i="75"/>
  <c r="AA15" i="75"/>
  <c r="Y15" i="75"/>
  <c r="W15" i="75"/>
  <c r="AP14" i="75"/>
  <c r="AO14" i="75" s="1"/>
  <c r="AN14" i="75"/>
  <c r="AM14" i="75" s="1"/>
  <c r="AL14" i="75"/>
  <c r="AK14" i="75" s="1"/>
  <c r="AJ14" i="75"/>
  <c r="AI14" i="75" s="1"/>
  <c r="AH14" i="75"/>
  <c r="AF14" i="75"/>
  <c r="AA14" i="75"/>
  <c r="Y14" i="75"/>
  <c r="W14" i="75"/>
  <c r="AP13" i="75"/>
  <c r="AO13" i="75" s="1"/>
  <c r="AN13" i="75"/>
  <c r="AM13" i="75" s="1"/>
  <c r="AL13" i="75"/>
  <c r="AK13" i="75" s="1"/>
  <c r="AJ13" i="75"/>
  <c r="AI13" i="75" s="1"/>
  <c r="AH13" i="75"/>
  <c r="AF13" i="75"/>
  <c r="AA13" i="75"/>
  <c r="Y13" i="75"/>
  <c r="W13" i="75"/>
  <c r="AP12" i="75"/>
  <c r="AO12" i="75" s="1"/>
  <c r="AN12" i="75"/>
  <c r="AM12" i="75" s="1"/>
  <c r="AL12" i="75"/>
  <c r="AK12" i="75" s="1"/>
  <c r="AJ12" i="75"/>
  <c r="AI12" i="75" s="1"/>
  <c r="AH12" i="75"/>
  <c r="AF12" i="75"/>
  <c r="AA12" i="75"/>
  <c r="Y12" i="75"/>
  <c r="W12" i="75"/>
  <c r="AP11" i="75"/>
  <c r="AO11" i="75" s="1"/>
  <c r="AN11" i="75"/>
  <c r="AM11" i="75" s="1"/>
  <c r="AL11" i="75"/>
  <c r="AK11" i="75" s="1"/>
  <c r="AJ11" i="75"/>
  <c r="AI11" i="75" s="1"/>
  <c r="AH11" i="75"/>
  <c r="AF11" i="75"/>
  <c r="AA11" i="75"/>
  <c r="Y11" i="75"/>
  <c r="W11" i="75"/>
  <c r="AP9" i="75"/>
  <c r="AO9" i="75" s="1"/>
  <c r="AN9" i="75"/>
  <c r="AM9" i="75" s="1"/>
  <c r="AL9" i="75"/>
  <c r="AK9" i="75" s="1"/>
  <c r="AJ9" i="75"/>
  <c r="AI9" i="75" s="1"/>
  <c r="AH9" i="75"/>
  <c r="AF9" i="75"/>
  <c r="AA9" i="75"/>
  <c r="Y9" i="75"/>
  <c r="W9" i="75"/>
  <c r="AP10" i="75"/>
  <c r="AO10" i="75" s="1"/>
  <c r="AN10" i="75"/>
  <c r="AM10" i="75" s="1"/>
  <c r="AL10" i="75"/>
  <c r="AK10" i="75" s="1"/>
  <c r="AJ10" i="75"/>
  <c r="AI10" i="75" s="1"/>
  <c r="AH10" i="75"/>
  <c r="AF10" i="75"/>
  <c r="AA10" i="75"/>
  <c r="Y10" i="75"/>
  <c r="W10" i="75"/>
  <c r="AP8" i="75"/>
  <c r="AO8" i="75" s="1"/>
  <c r="AN8" i="75"/>
  <c r="AM8" i="75" s="1"/>
  <c r="AL8" i="75"/>
  <c r="AK8" i="75" s="1"/>
  <c r="AJ8" i="75"/>
  <c r="AI8" i="75" s="1"/>
  <c r="AH8" i="75"/>
  <c r="AF8" i="75"/>
  <c r="AA8" i="75"/>
  <c r="Y8" i="75"/>
  <c r="W8" i="75"/>
  <c r="AP7" i="75"/>
  <c r="AO7" i="75" s="1"/>
  <c r="AN7" i="75"/>
  <c r="AM7" i="75" s="1"/>
  <c r="AL7" i="75"/>
  <c r="AK7" i="75" s="1"/>
  <c r="AJ7" i="75"/>
  <c r="AI7" i="75" s="1"/>
  <c r="AH7" i="75"/>
  <c r="AF7" i="75"/>
  <c r="AA7" i="75"/>
  <c r="Y7" i="75"/>
  <c r="W7" i="75"/>
  <c r="AB16" i="75" l="1"/>
  <c r="AB11" i="75"/>
  <c r="AB7" i="75"/>
  <c r="AB8" i="75"/>
  <c r="AB10" i="75"/>
  <c r="AB9" i="75"/>
  <c r="AB12" i="75"/>
  <c r="AB13" i="75"/>
  <c r="AB14" i="75"/>
  <c r="AB15" i="75"/>
  <c r="AG9" i="74"/>
  <c r="AG8" i="74"/>
  <c r="AG10" i="74"/>
  <c r="AG11" i="74"/>
  <c r="AG12" i="74"/>
  <c r="AG13" i="74"/>
  <c r="AG14" i="74"/>
  <c r="AG15" i="74"/>
  <c r="AG16" i="74"/>
  <c r="AG17" i="74"/>
  <c r="AG18" i="74"/>
  <c r="AG19" i="74"/>
  <c r="AG20" i="74"/>
  <c r="AG21" i="74"/>
  <c r="AG22" i="74"/>
  <c r="AG23" i="74"/>
  <c r="AG24" i="74"/>
  <c r="AG25" i="74"/>
  <c r="AG26" i="74"/>
  <c r="AG27" i="74"/>
  <c r="AG28" i="74"/>
  <c r="AG29" i="74"/>
  <c r="AG30" i="74"/>
  <c r="AG31" i="74"/>
  <c r="AG32" i="74"/>
  <c r="AG33" i="74"/>
  <c r="AG34" i="74"/>
  <c r="AG7" i="74"/>
  <c r="E28" i="8"/>
  <c r="AK8" i="74"/>
  <c r="AK9" i="74"/>
  <c r="AK10" i="74"/>
  <c r="AK11" i="74"/>
  <c r="AK12" i="74"/>
  <c r="AK13" i="74"/>
  <c r="AK14" i="74"/>
  <c r="AK15" i="74"/>
  <c r="AK16" i="74"/>
  <c r="AK17" i="74"/>
  <c r="AK18" i="74"/>
  <c r="AK19" i="74"/>
  <c r="AK20" i="74"/>
  <c r="AK21" i="74"/>
  <c r="AK22" i="74"/>
  <c r="AK23" i="74"/>
  <c r="AK24" i="74"/>
  <c r="AK25" i="74"/>
  <c r="AK26" i="74"/>
  <c r="AK27" i="74"/>
  <c r="AK28" i="74"/>
  <c r="AK29" i="74"/>
  <c r="AK30" i="74"/>
  <c r="AK31" i="74"/>
  <c r="AK32" i="74"/>
  <c r="AK33" i="74"/>
  <c r="AK34" i="74"/>
  <c r="AK7" i="74"/>
  <c r="AH7" i="74" l="1"/>
  <c r="AH9" i="74"/>
  <c r="AH11" i="74"/>
  <c r="AH13" i="74"/>
  <c r="AH15" i="74"/>
  <c r="AH17" i="74"/>
  <c r="AH19" i="74"/>
  <c r="AH23" i="74"/>
  <c r="AH27" i="74"/>
  <c r="AH29" i="74"/>
  <c r="AH31" i="74"/>
  <c r="AH33" i="74"/>
  <c r="AH8" i="74"/>
  <c r="AH10" i="74"/>
  <c r="AH12" i="74"/>
  <c r="AH14" i="74"/>
  <c r="AH16" i="74"/>
  <c r="AH18" i="74"/>
  <c r="AH20" i="74"/>
  <c r="AH22" i="74"/>
  <c r="AH24" i="74"/>
  <c r="AH26" i="74"/>
  <c r="AH28" i="74"/>
  <c r="AH30" i="74"/>
  <c r="AH32" i="74"/>
  <c r="AH34" i="74"/>
  <c r="K86" i="7"/>
  <c r="E29" i="8"/>
  <c r="B104" i="68"/>
  <c r="B301" i="74" l="1"/>
  <c r="B303" i="74"/>
  <c r="B307" i="74"/>
  <c r="B311" i="74"/>
  <c r="B313" i="74"/>
  <c r="B315" i="74"/>
  <c r="B317" i="74"/>
  <c r="B319" i="74"/>
  <c r="B321" i="74"/>
  <c r="B323" i="74"/>
  <c r="B325" i="74"/>
  <c r="B327" i="74"/>
  <c r="B302" i="74"/>
  <c r="B304" i="74"/>
  <c r="B306" i="74"/>
  <c r="B308" i="74"/>
  <c r="B310" i="74"/>
  <c r="B312" i="74"/>
  <c r="B314" i="74"/>
  <c r="B316" i="74"/>
  <c r="B318" i="74"/>
  <c r="B320" i="74"/>
  <c r="B322" i="74"/>
  <c r="B324" i="74"/>
  <c r="B326" i="74"/>
  <c r="B300" i="74"/>
  <c r="V16" i="73"/>
  <c r="R16" i="73"/>
  <c r="N16" i="73"/>
  <c r="J16" i="73"/>
  <c r="F16" i="73"/>
  <c r="V15" i="73"/>
  <c r="R15" i="73"/>
  <c r="N15" i="73"/>
  <c r="J15" i="73"/>
  <c r="F15" i="73"/>
  <c r="V14" i="73"/>
  <c r="R14" i="73"/>
  <c r="N14" i="73"/>
  <c r="J14" i="73"/>
  <c r="F14" i="73"/>
  <c r="V13" i="73"/>
  <c r="R13" i="73"/>
  <c r="N13" i="73"/>
  <c r="J13" i="73"/>
  <c r="F13" i="73"/>
  <c r="V12" i="73"/>
  <c r="R12" i="73"/>
  <c r="N12" i="73"/>
  <c r="J12" i="73"/>
  <c r="F12" i="73"/>
  <c r="V11" i="73"/>
  <c r="R11" i="73"/>
  <c r="N11" i="73"/>
  <c r="J11" i="73"/>
  <c r="F11" i="73"/>
  <c r="R10" i="73"/>
  <c r="N10" i="73"/>
  <c r="V10" i="73"/>
  <c r="J10" i="73"/>
  <c r="F10" i="73"/>
  <c r="V9" i="73"/>
  <c r="R9" i="73"/>
  <c r="N9" i="73"/>
  <c r="J9" i="73"/>
  <c r="F9" i="73"/>
  <c r="V8" i="73"/>
  <c r="R8" i="73"/>
  <c r="N8" i="73"/>
  <c r="J8" i="73"/>
  <c r="F8" i="73"/>
  <c r="V7" i="73"/>
  <c r="R7" i="73"/>
  <c r="N7" i="73"/>
  <c r="J7" i="73"/>
  <c r="F7" i="73"/>
  <c r="AH7" i="16"/>
  <c r="V60" i="16"/>
  <c r="V19" i="72"/>
  <c r="N19" i="72"/>
  <c r="J19" i="72"/>
  <c r="F19" i="72"/>
  <c r="R18" i="72"/>
  <c r="N18" i="72"/>
  <c r="J18" i="72"/>
  <c r="F18" i="72"/>
  <c r="V17" i="72"/>
  <c r="R17" i="72"/>
  <c r="N17" i="72"/>
  <c r="J17" i="72"/>
  <c r="F17" i="72"/>
  <c r="R16" i="72"/>
  <c r="N16" i="72"/>
  <c r="V16" i="72"/>
  <c r="J16" i="72"/>
  <c r="F16" i="72"/>
  <c r="V15" i="72"/>
  <c r="R15" i="72"/>
  <c r="N15" i="72"/>
  <c r="F15" i="72"/>
  <c r="V14" i="72"/>
  <c r="R14" i="72"/>
  <c r="N14" i="72"/>
  <c r="J14" i="72"/>
  <c r="F14" i="72"/>
  <c r="V13" i="72"/>
  <c r="R13" i="72"/>
  <c r="N13" i="72"/>
  <c r="J13" i="72"/>
  <c r="F13" i="72"/>
  <c r="V12" i="72"/>
  <c r="R12" i="72"/>
  <c r="N12" i="72"/>
  <c r="J12" i="72"/>
  <c r="V11" i="72"/>
  <c r="R11" i="72"/>
  <c r="J11" i="72"/>
  <c r="F11" i="72"/>
  <c r="V10" i="72"/>
  <c r="R10" i="72"/>
  <c r="N10" i="72"/>
  <c r="J10" i="72"/>
  <c r="F10" i="72"/>
  <c r="V9" i="72"/>
  <c r="R9" i="72"/>
  <c r="N9" i="72"/>
  <c r="J9" i="72"/>
  <c r="F9" i="72"/>
  <c r="V8" i="72"/>
  <c r="R8" i="72"/>
  <c r="N8" i="72"/>
  <c r="J8" i="72"/>
  <c r="F8" i="72"/>
  <c r="V7" i="72"/>
  <c r="R7" i="72"/>
  <c r="N7" i="72"/>
  <c r="J7" i="72"/>
  <c r="F7" i="72"/>
  <c r="M80" i="7" l="1"/>
  <c r="AP16" i="73" l="1"/>
  <c r="AO16" i="73" s="1"/>
  <c r="AN16" i="73"/>
  <c r="AM16" i="73" s="1"/>
  <c r="AL16" i="73"/>
  <c r="AK16" i="73" s="1"/>
  <c r="AJ16" i="73"/>
  <c r="AI16" i="73" s="1"/>
  <c r="AH16" i="73"/>
  <c r="AF16" i="73"/>
  <c r="AA16" i="73"/>
  <c r="Y16" i="73"/>
  <c r="W16" i="73"/>
  <c r="AP15" i="73"/>
  <c r="AO15" i="73" s="1"/>
  <c r="AN15" i="73"/>
  <c r="AM15" i="73" s="1"/>
  <c r="AL15" i="73"/>
  <c r="AK15" i="73" s="1"/>
  <c r="AJ15" i="73"/>
  <c r="AI15" i="73" s="1"/>
  <c r="AH15" i="73"/>
  <c r="AF15" i="73"/>
  <c r="AA15" i="73"/>
  <c r="Y15" i="73"/>
  <c r="W15" i="73"/>
  <c r="AP14" i="73"/>
  <c r="AO14" i="73" s="1"/>
  <c r="AN14" i="73"/>
  <c r="AM14" i="73" s="1"/>
  <c r="AL14" i="73"/>
  <c r="AK14" i="73" s="1"/>
  <c r="AJ14" i="73"/>
  <c r="AI14" i="73" s="1"/>
  <c r="AH14" i="73"/>
  <c r="AF14" i="73"/>
  <c r="AA14" i="73"/>
  <c r="Y14" i="73"/>
  <c r="W14" i="73"/>
  <c r="AP13" i="73"/>
  <c r="AO13" i="73" s="1"/>
  <c r="AN13" i="73"/>
  <c r="AM13" i="73" s="1"/>
  <c r="AL13" i="73"/>
  <c r="AK13" i="73" s="1"/>
  <c r="AJ13" i="73"/>
  <c r="AI13" i="73" s="1"/>
  <c r="AH13" i="73"/>
  <c r="AF13" i="73"/>
  <c r="AA13" i="73"/>
  <c r="Y13" i="73"/>
  <c r="W13" i="73"/>
  <c r="AP12" i="73"/>
  <c r="AO12" i="73" s="1"/>
  <c r="AN12" i="73"/>
  <c r="AM12" i="73" s="1"/>
  <c r="AL12" i="73"/>
  <c r="AK12" i="73" s="1"/>
  <c r="AJ12" i="73"/>
  <c r="AI12" i="73" s="1"/>
  <c r="AH12" i="73"/>
  <c r="AF12" i="73"/>
  <c r="AA12" i="73"/>
  <c r="Y12" i="73"/>
  <c r="W12" i="73"/>
  <c r="AP11" i="73"/>
  <c r="AO11" i="73" s="1"/>
  <c r="AN11" i="73"/>
  <c r="AM11" i="73" s="1"/>
  <c r="AL11" i="73"/>
  <c r="AK11" i="73" s="1"/>
  <c r="AJ11" i="73"/>
  <c r="AI11" i="73" s="1"/>
  <c r="AH11" i="73"/>
  <c r="AF11" i="73"/>
  <c r="AA11" i="73"/>
  <c r="Y11" i="73"/>
  <c r="W11" i="73"/>
  <c r="AP10" i="73"/>
  <c r="AO10" i="73" s="1"/>
  <c r="AN10" i="73"/>
  <c r="AM10" i="73" s="1"/>
  <c r="AL10" i="73"/>
  <c r="AK10" i="73" s="1"/>
  <c r="AJ10" i="73"/>
  <c r="AI10" i="73" s="1"/>
  <c r="AH10" i="73"/>
  <c r="AF10" i="73"/>
  <c r="AA10" i="73"/>
  <c r="Y10" i="73"/>
  <c r="W10" i="73"/>
  <c r="AP9" i="73"/>
  <c r="AO9" i="73" s="1"/>
  <c r="AN9" i="73"/>
  <c r="AM9" i="73" s="1"/>
  <c r="AL9" i="73"/>
  <c r="AK9" i="73" s="1"/>
  <c r="AJ9" i="73"/>
  <c r="AI9" i="73" s="1"/>
  <c r="AH9" i="73"/>
  <c r="AF9" i="73"/>
  <c r="AA9" i="73"/>
  <c r="Y9" i="73"/>
  <c r="W9" i="73"/>
  <c r="AP8" i="73"/>
  <c r="AO8" i="73" s="1"/>
  <c r="AN8" i="73"/>
  <c r="AM8" i="73" s="1"/>
  <c r="AL8" i="73"/>
  <c r="AK8" i="73" s="1"/>
  <c r="AJ8" i="73"/>
  <c r="AI8" i="73" s="1"/>
  <c r="AH8" i="73"/>
  <c r="AF8" i="73"/>
  <c r="AA8" i="73"/>
  <c r="Y8" i="73"/>
  <c r="W8" i="73"/>
  <c r="AP7" i="73"/>
  <c r="AO7" i="73" s="1"/>
  <c r="AN7" i="73"/>
  <c r="AM7" i="73" s="1"/>
  <c r="AL7" i="73"/>
  <c r="AK7" i="73" s="1"/>
  <c r="AJ7" i="73"/>
  <c r="AI7" i="73" s="1"/>
  <c r="AH7" i="73"/>
  <c r="AF7" i="73"/>
  <c r="AA7" i="73"/>
  <c r="Y7" i="73"/>
  <c r="W7" i="73"/>
  <c r="AB16" i="73" l="1"/>
  <c r="AB15" i="73"/>
  <c r="AB14" i="73"/>
  <c r="AB13" i="73"/>
  <c r="AB12" i="73"/>
  <c r="AB11" i="73"/>
  <c r="AB10" i="73"/>
  <c r="AB9" i="73"/>
  <c r="AB8" i="73"/>
  <c r="AB7" i="73"/>
  <c r="AP19" i="72" l="1"/>
  <c r="AO19" i="72" s="1"/>
  <c r="AN19" i="72"/>
  <c r="AM19" i="72" s="1"/>
  <c r="AL19" i="72"/>
  <c r="AK19" i="72" s="1"/>
  <c r="AJ19" i="72"/>
  <c r="AI19" i="72" s="1"/>
  <c r="AH19" i="72"/>
  <c r="AF19" i="72"/>
  <c r="AA19" i="72"/>
  <c r="Y19" i="72"/>
  <c r="W19" i="72"/>
  <c r="AP18" i="72"/>
  <c r="AO18" i="72" s="1"/>
  <c r="AN18" i="72"/>
  <c r="AM18" i="72" s="1"/>
  <c r="AL18" i="72"/>
  <c r="AK18" i="72" s="1"/>
  <c r="AJ18" i="72"/>
  <c r="AI18" i="72" s="1"/>
  <c r="AH18" i="72"/>
  <c r="AF18" i="72"/>
  <c r="AA18" i="72"/>
  <c r="Y18" i="72"/>
  <c r="W18" i="72"/>
  <c r="AP17" i="72"/>
  <c r="AO17" i="72" s="1"/>
  <c r="AN17" i="72"/>
  <c r="AM17" i="72" s="1"/>
  <c r="AL17" i="72"/>
  <c r="AK17" i="72" s="1"/>
  <c r="AJ17" i="72"/>
  <c r="AI17" i="72" s="1"/>
  <c r="AH17" i="72"/>
  <c r="AF17" i="72"/>
  <c r="AA17" i="72"/>
  <c r="Y17" i="72"/>
  <c r="W17" i="72"/>
  <c r="AP16" i="72"/>
  <c r="AO16" i="72" s="1"/>
  <c r="AN16" i="72"/>
  <c r="AM16" i="72" s="1"/>
  <c r="AL16" i="72"/>
  <c r="AK16" i="72" s="1"/>
  <c r="AJ16" i="72"/>
  <c r="AI16" i="72" s="1"/>
  <c r="AH16" i="72"/>
  <c r="AF16" i="72"/>
  <c r="AA16" i="72"/>
  <c r="Y16" i="72"/>
  <c r="W16" i="72"/>
  <c r="AP15" i="72"/>
  <c r="AO15" i="72" s="1"/>
  <c r="AN15" i="72"/>
  <c r="AM15" i="72" s="1"/>
  <c r="AL15" i="72"/>
  <c r="AK15" i="72" s="1"/>
  <c r="AJ15" i="72"/>
  <c r="AI15" i="72" s="1"/>
  <c r="AH15" i="72"/>
  <c r="AF15" i="72"/>
  <c r="AA15" i="72"/>
  <c r="Y15" i="72"/>
  <c r="W15" i="72"/>
  <c r="AP14" i="72"/>
  <c r="AO14" i="72" s="1"/>
  <c r="AN14" i="72"/>
  <c r="AM14" i="72" s="1"/>
  <c r="AL14" i="72"/>
  <c r="AK14" i="72" s="1"/>
  <c r="AJ14" i="72"/>
  <c r="AI14" i="72" s="1"/>
  <c r="AH14" i="72"/>
  <c r="AF14" i="72"/>
  <c r="AA14" i="72"/>
  <c r="Y14" i="72"/>
  <c r="W14" i="72"/>
  <c r="AP13" i="72"/>
  <c r="AO13" i="72" s="1"/>
  <c r="AN13" i="72"/>
  <c r="AM13" i="72" s="1"/>
  <c r="AL13" i="72"/>
  <c r="AK13" i="72" s="1"/>
  <c r="AJ13" i="72"/>
  <c r="AI13" i="72" s="1"/>
  <c r="AH13" i="72"/>
  <c r="AF13" i="72"/>
  <c r="AA13" i="72"/>
  <c r="Y13" i="72"/>
  <c r="W13" i="72"/>
  <c r="AP12" i="72"/>
  <c r="AO12" i="72" s="1"/>
  <c r="AN12" i="72"/>
  <c r="AM12" i="72" s="1"/>
  <c r="AL12" i="72"/>
  <c r="AK12" i="72" s="1"/>
  <c r="AJ12" i="72"/>
  <c r="AI12" i="72" s="1"/>
  <c r="AH12" i="72"/>
  <c r="AF12" i="72"/>
  <c r="AA12" i="72"/>
  <c r="Y12" i="72"/>
  <c r="W12" i="72"/>
  <c r="AP11" i="72"/>
  <c r="AO11" i="72" s="1"/>
  <c r="AN11" i="72"/>
  <c r="AM11" i="72" s="1"/>
  <c r="AL11" i="72"/>
  <c r="AK11" i="72" s="1"/>
  <c r="AJ11" i="72"/>
  <c r="AI11" i="72" s="1"/>
  <c r="AH11" i="72"/>
  <c r="AF11" i="72"/>
  <c r="AA11" i="72"/>
  <c r="Y11" i="72"/>
  <c r="W11" i="72"/>
  <c r="AP10" i="72"/>
  <c r="AO10" i="72" s="1"/>
  <c r="AN10" i="72"/>
  <c r="AM10" i="72" s="1"/>
  <c r="AL10" i="72"/>
  <c r="AK10" i="72" s="1"/>
  <c r="AJ10" i="72"/>
  <c r="AI10" i="72" s="1"/>
  <c r="AH10" i="72"/>
  <c r="AF10" i="72"/>
  <c r="AA10" i="72"/>
  <c r="Y10" i="72"/>
  <c r="W10" i="72"/>
  <c r="AP9" i="72"/>
  <c r="AO9" i="72" s="1"/>
  <c r="AN9" i="72"/>
  <c r="AM9" i="72" s="1"/>
  <c r="AL9" i="72"/>
  <c r="AK9" i="72" s="1"/>
  <c r="AJ9" i="72"/>
  <c r="AI9" i="72" s="1"/>
  <c r="AH9" i="72"/>
  <c r="AF9" i="72"/>
  <c r="AA9" i="72"/>
  <c r="Y9" i="72"/>
  <c r="W9" i="72"/>
  <c r="AP8" i="72"/>
  <c r="AO8" i="72" s="1"/>
  <c r="AN8" i="72"/>
  <c r="AM8" i="72" s="1"/>
  <c r="AL8" i="72"/>
  <c r="AK8" i="72" s="1"/>
  <c r="AJ8" i="72"/>
  <c r="AI8" i="72" s="1"/>
  <c r="AH8" i="72"/>
  <c r="AF8" i="72"/>
  <c r="AA8" i="72"/>
  <c r="Y8" i="72"/>
  <c r="W8" i="72"/>
  <c r="AP7" i="72"/>
  <c r="AO7" i="72" s="1"/>
  <c r="AN7" i="72"/>
  <c r="AM7" i="72" s="1"/>
  <c r="AL7" i="72"/>
  <c r="AK7" i="72" s="1"/>
  <c r="AJ7" i="72"/>
  <c r="AI7" i="72" s="1"/>
  <c r="AH7" i="72"/>
  <c r="AF7" i="72"/>
  <c r="AA7" i="72"/>
  <c r="Y7" i="72"/>
  <c r="W7" i="72"/>
  <c r="AB19" i="72" l="1"/>
  <c r="AB17" i="72"/>
  <c r="AB10" i="72"/>
  <c r="AB15" i="72"/>
  <c r="AB12" i="72"/>
  <c r="AB13" i="72"/>
  <c r="AB8" i="72"/>
  <c r="AB16" i="72"/>
  <c r="AB7" i="72"/>
  <c r="AB9" i="72"/>
  <c r="AB11" i="72"/>
  <c r="AB14" i="72"/>
  <c r="AB18" i="72"/>
  <c r="V70" i="16"/>
  <c r="V73" i="16"/>
  <c r="C315" i="71"/>
  <c r="C314" i="71"/>
  <c r="C313" i="71"/>
  <c r="C312" i="71"/>
  <c r="C311" i="71"/>
  <c r="C310" i="71"/>
  <c r="C309" i="71"/>
  <c r="C308" i="71"/>
  <c r="C307" i="71"/>
  <c r="C306" i="71"/>
  <c r="C305" i="71"/>
  <c r="C304" i="71"/>
  <c r="C303" i="71"/>
  <c r="C302" i="71"/>
  <c r="C301" i="71"/>
  <c r="C300" i="71"/>
  <c r="AH64" i="71"/>
  <c r="AH63" i="71"/>
  <c r="AH62" i="71"/>
  <c r="AH61" i="71"/>
  <c r="AH60" i="71"/>
  <c r="AH59" i="71"/>
  <c r="AH58" i="71"/>
  <c r="AH57" i="71"/>
  <c r="AH56" i="71"/>
  <c r="AH55" i="71"/>
  <c r="AH54" i="71"/>
  <c r="AH53" i="71"/>
  <c r="AH52" i="71"/>
  <c r="AH51" i="71"/>
  <c r="AH50" i="71"/>
  <c r="AH49" i="71"/>
  <c r="AH48" i="71"/>
  <c r="AH47" i="71"/>
  <c r="AH46" i="71"/>
  <c r="AH45" i="71"/>
  <c r="AH44" i="71"/>
  <c r="AH43" i="71"/>
  <c r="AH42" i="71"/>
  <c r="AH41" i="71"/>
  <c r="AH40" i="71"/>
  <c r="AH39" i="71"/>
  <c r="AH38" i="71"/>
  <c r="AH37" i="71"/>
  <c r="AH36" i="71"/>
  <c r="AH35" i="71"/>
  <c r="AH34" i="71"/>
  <c r="AH33" i="71"/>
  <c r="AH32" i="71"/>
  <c r="P32" i="71"/>
  <c r="O32" i="71"/>
  <c r="N32" i="71"/>
  <c r="H32" i="71"/>
  <c r="Q32" i="71" s="1"/>
  <c r="AP31" i="71"/>
  <c r="AO31" i="71" s="1"/>
  <c r="AN31" i="71"/>
  <c r="AM31" i="71" s="1"/>
  <c r="AL31" i="71"/>
  <c r="AK31" i="71" s="1"/>
  <c r="AJ31" i="71"/>
  <c r="AI31" i="71" s="1"/>
  <c r="AH31" i="71"/>
  <c r="AF31" i="71"/>
  <c r="P31" i="71"/>
  <c r="O31" i="71"/>
  <c r="N31" i="71"/>
  <c r="H31" i="71"/>
  <c r="Q31" i="71" s="1"/>
  <c r="AP30" i="71"/>
  <c r="AO30" i="71" s="1"/>
  <c r="AN30" i="71"/>
  <c r="AM30" i="71" s="1"/>
  <c r="AL30" i="71"/>
  <c r="AK30" i="71" s="1"/>
  <c r="AJ30" i="71"/>
  <c r="AI30" i="71" s="1"/>
  <c r="AH30" i="71"/>
  <c r="AF30" i="71"/>
  <c r="P30" i="71"/>
  <c r="O30" i="71"/>
  <c r="N30" i="71"/>
  <c r="H30" i="71"/>
  <c r="Q30" i="71" s="1"/>
  <c r="AP29" i="71"/>
  <c r="AO29" i="71" s="1"/>
  <c r="AN29" i="71"/>
  <c r="AM29" i="71" s="1"/>
  <c r="AL29" i="71"/>
  <c r="AK29" i="71" s="1"/>
  <c r="AJ29" i="71"/>
  <c r="AI29" i="71" s="1"/>
  <c r="AH29" i="71"/>
  <c r="AF29" i="71"/>
  <c r="P29" i="71"/>
  <c r="O29" i="71"/>
  <c r="N29" i="71"/>
  <c r="H29" i="71"/>
  <c r="Q29" i="71" s="1"/>
  <c r="AP28" i="71"/>
  <c r="AO28" i="71" s="1"/>
  <c r="AN28" i="71"/>
  <c r="AM28" i="71" s="1"/>
  <c r="AL28" i="71"/>
  <c r="AK28" i="71" s="1"/>
  <c r="AJ28" i="71"/>
  <c r="AI28" i="71" s="1"/>
  <c r="AH28" i="71"/>
  <c r="AF28" i="71"/>
  <c r="P28" i="71"/>
  <c r="O28" i="71"/>
  <c r="N28" i="71"/>
  <c r="H28" i="71"/>
  <c r="Q28" i="71" s="1"/>
  <c r="AP27" i="71"/>
  <c r="AO27" i="71" s="1"/>
  <c r="AN27" i="71"/>
  <c r="AM27" i="71" s="1"/>
  <c r="AL27" i="71"/>
  <c r="AK27" i="71" s="1"/>
  <c r="AJ27" i="71"/>
  <c r="AI27" i="71" s="1"/>
  <c r="AH27" i="71"/>
  <c r="AG27" i="71" s="1"/>
  <c r="AF27" i="71"/>
  <c r="AE27" i="71" s="1"/>
  <c r="R27" i="71"/>
  <c r="AP26" i="71"/>
  <c r="AO26" i="71" s="1"/>
  <c r="AN26" i="71"/>
  <c r="AM26" i="71" s="1"/>
  <c r="AL26" i="71"/>
  <c r="AK26" i="71" s="1"/>
  <c r="AJ26" i="71"/>
  <c r="AI26" i="71" s="1"/>
  <c r="AH26" i="71"/>
  <c r="AG26" i="71" s="1"/>
  <c r="AF26" i="71"/>
  <c r="AE26" i="71" s="1"/>
  <c r="AP25" i="71"/>
  <c r="AO25" i="71" s="1"/>
  <c r="AN25" i="71"/>
  <c r="AM25" i="71" s="1"/>
  <c r="AL25" i="71"/>
  <c r="AK25" i="71" s="1"/>
  <c r="AJ25" i="71"/>
  <c r="AI25" i="71" s="1"/>
  <c r="AH25" i="71"/>
  <c r="AG25" i="71" s="1"/>
  <c r="AF25" i="71"/>
  <c r="AE25" i="71" s="1"/>
  <c r="P25" i="71"/>
  <c r="O25" i="71"/>
  <c r="N25" i="71"/>
  <c r="H25" i="71"/>
  <c r="Q25" i="71" s="1"/>
  <c r="AP24" i="71"/>
  <c r="AO24" i="71" s="1"/>
  <c r="AN24" i="71"/>
  <c r="AM24" i="71" s="1"/>
  <c r="AL24" i="71"/>
  <c r="AK24" i="71" s="1"/>
  <c r="AJ24" i="71"/>
  <c r="AI24" i="71" s="1"/>
  <c r="AH24" i="71"/>
  <c r="AF24" i="71"/>
  <c r="P24" i="71"/>
  <c r="O24" i="71"/>
  <c r="N24" i="71"/>
  <c r="H24" i="71"/>
  <c r="Q24" i="71" s="1"/>
  <c r="AP23" i="71"/>
  <c r="AO23" i="71" s="1"/>
  <c r="AN23" i="71"/>
  <c r="AM23" i="71" s="1"/>
  <c r="AL23" i="71"/>
  <c r="AJ23" i="71"/>
  <c r="AH23" i="71"/>
  <c r="AF23" i="71"/>
  <c r="P23" i="71"/>
  <c r="O23" i="71"/>
  <c r="N23" i="71"/>
  <c r="H23" i="71"/>
  <c r="Q23" i="71" s="1"/>
  <c r="AP22" i="71"/>
  <c r="AO22" i="71" s="1"/>
  <c r="AN22" i="71"/>
  <c r="AM22" i="71" s="1"/>
  <c r="AL22" i="71"/>
  <c r="AK22" i="71" s="1"/>
  <c r="AJ22" i="71"/>
  <c r="AI22" i="71" s="1"/>
  <c r="AH22" i="71"/>
  <c r="AF22" i="71"/>
  <c r="P22" i="71"/>
  <c r="O22" i="71"/>
  <c r="N22" i="71"/>
  <c r="H22" i="71"/>
  <c r="Q22" i="71" s="1"/>
  <c r="AP21" i="71"/>
  <c r="AO21" i="71" s="1"/>
  <c r="AN21" i="71"/>
  <c r="AM21" i="71" s="1"/>
  <c r="AL21" i="71"/>
  <c r="AJ21" i="71"/>
  <c r="AH21" i="71"/>
  <c r="AF21" i="71"/>
  <c r="P21" i="71"/>
  <c r="O21" i="71"/>
  <c r="N21" i="71"/>
  <c r="H21" i="71"/>
  <c r="Q21" i="71" s="1"/>
  <c r="AP20" i="71"/>
  <c r="AO20" i="71" s="1"/>
  <c r="AN20" i="71"/>
  <c r="AM20" i="71" s="1"/>
  <c r="AL20" i="71"/>
  <c r="AK20" i="71" s="1"/>
  <c r="AJ20" i="71"/>
  <c r="AI20" i="71" s="1"/>
  <c r="AH20" i="71"/>
  <c r="AG20" i="71" s="1"/>
  <c r="AF20" i="71"/>
  <c r="AE20" i="71" s="1"/>
  <c r="R20" i="71"/>
  <c r="I25" i="71" s="1"/>
  <c r="AP19" i="71"/>
  <c r="AO19" i="71"/>
  <c r="AN19" i="71"/>
  <c r="AM19" i="71"/>
  <c r="AL19" i="71"/>
  <c r="AK19" i="71"/>
  <c r="AJ19" i="71"/>
  <c r="AI19" i="71"/>
  <c r="AH19" i="71"/>
  <c r="AG19" i="71"/>
  <c r="AF19" i="71"/>
  <c r="AE19" i="71"/>
  <c r="AD19" i="71" s="1"/>
  <c r="AP18" i="71"/>
  <c r="AO18" i="71" s="1"/>
  <c r="AN18" i="71"/>
  <c r="AM18" i="71" s="1"/>
  <c r="AL18" i="71"/>
  <c r="AK18" i="71" s="1"/>
  <c r="AJ18" i="71"/>
  <c r="AI18" i="71" s="1"/>
  <c r="AH18" i="71"/>
  <c r="AG18" i="71" s="1"/>
  <c r="AF18" i="71"/>
  <c r="AE18" i="71" s="1"/>
  <c r="P18" i="71"/>
  <c r="O18" i="71"/>
  <c r="N18" i="71"/>
  <c r="H18" i="71"/>
  <c r="Q18" i="71" s="1"/>
  <c r="AP17" i="71"/>
  <c r="AO17" i="71" s="1"/>
  <c r="AN17" i="71"/>
  <c r="AM17" i="71" s="1"/>
  <c r="AL17" i="71"/>
  <c r="AK17" i="71" s="1"/>
  <c r="AJ17" i="71"/>
  <c r="AI17" i="71" s="1"/>
  <c r="AH17" i="71"/>
  <c r="AF17" i="71"/>
  <c r="P17" i="71"/>
  <c r="O17" i="71"/>
  <c r="N17" i="71"/>
  <c r="H17" i="71"/>
  <c r="Q17" i="71" s="1"/>
  <c r="AP16" i="71"/>
  <c r="AO16" i="71" s="1"/>
  <c r="AN16" i="71"/>
  <c r="AM16" i="71" s="1"/>
  <c r="AL16" i="71"/>
  <c r="AK16" i="71" s="1"/>
  <c r="AJ16" i="71"/>
  <c r="AI16" i="71" s="1"/>
  <c r="AH16" i="71"/>
  <c r="AF16" i="71"/>
  <c r="P16" i="71"/>
  <c r="O16" i="71"/>
  <c r="N16" i="71"/>
  <c r="H16" i="71"/>
  <c r="Q16" i="71" s="1"/>
  <c r="AP15" i="71"/>
  <c r="AO15" i="71" s="1"/>
  <c r="AN15" i="71"/>
  <c r="AM15" i="71" s="1"/>
  <c r="AL15" i="71"/>
  <c r="AK15" i="71" s="1"/>
  <c r="AJ15" i="71"/>
  <c r="AI15" i="71" s="1"/>
  <c r="AH15" i="71"/>
  <c r="AF15" i="71"/>
  <c r="P15" i="71"/>
  <c r="O15" i="71"/>
  <c r="N15" i="71"/>
  <c r="H15" i="71"/>
  <c r="Q15" i="71" s="1"/>
  <c r="AP14" i="71"/>
  <c r="AO14" i="71" s="1"/>
  <c r="AN14" i="71"/>
  <c r="AM14" i="71" s="1"/>
  <c r="AL14" i="71"/>
  <c r="AK14" i="71" s="1"/>
  <c r="AJ14" i="71"/>
  <c r="AI14" i="71" s="1"/>
  <c r="AH14" i="71"/>
  <c r="AF14" i="71"/>
  <c r="P14" i="71"/>
  <c r="O14" i="71"/>
  <c r="N14" i="71"/>
  <c r="H14" i="71"/>
  <c r="Q14" i="71" s="1"/>
  <c r="AP13" i="71"/>
  <c r="AO13" i="71" s="1"/>
  <c r="AN13" i="71"/>
  <c r="AM13" i="71" s="1"/>
  <c r="AL13" i="71"/>
  <c r="AK13" i="71" s="1"/>
  <c r="AJ13" i="71"/>
  <c r="AI13" i="71" s="1"/>
  <c r="AH13" i="71"/>
  <c r="AG13" i="71" s="1"/>
  <c r="AF13" i="71"/>
  <c r="AE13" i="71" s="1"/>
  <c r="R13" i="71"/>
  <c r="AP12" i="71"/>
  <c r="AO12" i="71" s="1"/>
  <c r="AN12" i="71"/>
  <c r="AM12" i="71" s="1"/>
  <c r="AL12" i="71"/>
  <c r="AK12" i="71" s="1"/>
  <c r="AJ12" i="71"/>
  <c r="AI12" i="71" s="1"/>
  <c r="AH12" i="71"/>
  <c r="AG12" i="71" s="1"/>
  <c r="AF12" i="71"/>
  <c r="AE12" i="71" s="1"/>
  <c r="AP11" i="71"/>
  <c r="AO11" i="71" s="1"/>
  <c r="AN11" i="71"/>
  <c r="AM11" i="71" s="1"/>
  <c r="AL11" i="71"/>
  <c r="AK11" i="71" s="1"/>
  <c r="AJ11" i="71"/>
  <c r="AI11" i="71" s="1"/>
  <c r="AH11" i="71"/>
  <c r="AG11" i="71" s="1"/>
  <c r="AF11" i="71"/>
  <c r="AE11" i="71" s="1"/>
  <c r="P11" i="71"/>
  <c r="O11" i="71"/>
  <c r="N11" i="71"/>
  <c r="H11" i="71"/>
  <c r="Q11" i="71" s="1"/>
  <c r="AP10" i="71"/>
  <c r="AO10" i="71" s="1"/>
  <c r="AN10" i="71"/>
  <c r="AM10" i="71" s="1"/>
  <c r="AL10" i="71"/>
  <c r="AK10" i="71" s="1"/>
  <c r="AJ10" i="71"/>
  <c r="AI10" i="71" s="1"/>
  <c r="AH10" i="71"/>
  <c r="AF10" i="71"/>
  <c r="P10" i="71"/>
  <c r="O10" i="71"/>
  <c r="N10" i="71"/>
  <c r="H10" i="71"/>
  <c r="Q10" i="71" s="1"/>
  <c r="AP9" i="71"/>
  <c r="AO9" i="71" s="1"/>
  <c r="AN9" i="71"/>
  <c r="AM9" i="71" s="1"/>
  <c r="AL9" i="71"/>
  <c r="AK9" i="71" s="1"/>
  <c r="AJ9" i="71"/>
  <c r="AI9" i="71" s="1"/>
  <c r="AH9" i="71"/>
  <c r="AF9" i="71"/>
  <c r="P9" i="71"/>
  <c r="O9" i="71"/>
  <c r="N9" i="71"/>
  <c r="H9" i="71"/>
  <c r="Q9" i="71" s="1"/>
  <c r="AP8" i="71"/>
  <c r="AO8" i="71" s="1"/>
  <c r="AN8" i="71"/>
  <c r="AM8" i="71" s="1"/>
  <c r="AL8" i="71"/>
  <c r="AK8" i="71" s="1"/>
  <c r="AJ8" i="71"/>
  <c r="AI8" i="71" s="1"/>
  <c r="AH8" i="71"/>
  <c r="AF8" i="71"/>
  <c r="P8" i="71"/>
  <c r="O8" i="71"/>
  <c r="N8" i="71"/>
  <c r="H8" i="71"/>
  <c r="Q8" i="71" s="1"/>
  <c r="AP7" i="71"/>
  <c r="AO7" i="71" s="1"/>
  <c r="AN7" i="71"/>
  <c r="AM7" i="71" s="1"/>
  <c r="AL7" i="71"/>
  <c r="AK7" i="71" s="1"/>
  <c r="AJ7" i="71"/>
  <c r="AI7" i="71" s="1"/>
  <c r="AH7" i="71"/>
  <c r="AF7" i="71"/>
  <c r="P7" i="71"/>
  <c r="O7" i="71"/>
  <c r="N7" i="71"/>
  <c r="H7" i="71"/>
  <c r="Q7" i="71" s="1"/>
  <c r="R6" i="71"/>
  <c r="I11" i="71" s="1"/>
  <c r="AD26" i="71" l="1"/>
  <c r="AD11" i="71"/>
  <c r="AD27" i="71"/>
  <c r="AD20" i="71"/>
  <c r="AD12" i="71"/>
  <c r="AD25" i="71"/>
  <c r="L8" i="71"/>
  <c r="J8" i="71"/>
  <c r="L9" i="71"/>
  <c r="J9" i="71"/>
  <c r="T9" i="71" s="1"/>
  <c r="L11" i="71"/>
  <c r="J11" i="71"/>
  <c r="T11" i="71" s="1"/>
  <c r="AD13" i="71"/>
  <c r="L21" i="71"/>
  <c r="J21" i="71"/>
  <c r="L22" i="71"/>
  <c r="J22" i="71"/>
  <c r="L23" i="71"/>
  <c r="J23" i="71"/>
  <c r="L7" i="71"/>
  <c r="J7" i="71"/>
  <c r="L10" i="71"/>
  <c r="J10" i="71"/>
  <c r="AD18" i="71"/>
  <c r="I18" i="71"/>
  <c r="I32" i="71"/>
  <c r="J28" i="71"/>
  <c r="J14" i="71"/>
  <c r="T14" i="71" s="1"/>
  <c r="L14" i="71"/>
  <c r="J15" i="71"/>
  <c r="T15" i="71" s="1"/>
  <c r="L15" i="71"/>
  <c r="J16" i="71"/>
  <c r="T16" i="71" s="1"/>
  <c r="L16" i="71"/>
  <c r="J17" i="71"/>
  <c r="T17" i="71" s="1"/>
  <c r="L17" i="71"/>
  <c r="J18" i="71"/>
  <c r="T18" i="71" s="1"/>
  <c r="L18" i="71"/>
  <c r="L24" i="71"/>
  <c r="J24" i="71"/>
  <c r="L25" i="71"/>
  <c r="J25" i="71"/>
  <c r="L28" i="71"/>
  <c r="L29" i="71"/>
  <c r="J29" i="71"/>
  <c r="T29" i="71" s="1"/>
  <c r="L30" i="71"/>
  <c r="J30" i="71"/>
  <c r="T30" i="71" s="1"/>
  <c r="L31" i="71"/>
  <c r="J31" i="71"/>
  <c r="T31" i="71" s="1"/>
  <c r="L32" i="71"/>
  <c r="J32" i="71"/>
  <c r="T32" i="71" s="1"/>
  <c r="L125" i="7"/>
  <c r="K18" i="71" l="1"/>
  <c r="R18" i="71" s="1"/>
  <c r="K17" i="71"/>
  <c r="R17" i="71" s="1"/>
  <c r="K16" i="71"/>
  <c r="R16" i="71" s="1"/>
  <c r="K15" i="71"/>
  <c r="R15" i="71" s="1"/>
  <c r="K14" i="71"/>
  <c r="R14" i="71" s="1"/>
  <c r="T25" i="71"/>
  <c r="T24" i="71"/>
  <c r="T28" i="71"/>
  <c r="K28" i="71" s="1"/>
  <c r="R28" i="71" s="1"/>
  <c r="T10" i="71"/>
  <c r="T7" i="71"/>
  <c r="T23" i="71"/>
  <c r="T22" i="71"/>
  <c r="T21" i="71"/>
  <c r="T8" i="71"/>
  <c r="K8" i="71" s="1"/>
  <c r="R8" i="71" s="1"/>
  <c r="V68" i="16"/>
  <c r="AF31" i="70"/>
  <c r="AF30" i="70"/>
  <c r="AF29" i="70"/>
  <c r="AF28" i="70"/>
  <c r="AF27" i="70"/>
  <c r="AE27" i="70" s="1"/>
  <c r="AD27" i="70" s="1"/>
  <c r="AF26" i="70"/>
  <c r="AE26" i="70"/>
  <c r="AD26" i="70" s="1"/>
  <c r="AF25" i="70"/>
  <c r="AE25" i="70" s="1"/>
  <c r="AD25" i="70" s="1"/>
  <c r="AF24" i="70"/>
  <c r="AF23" i="70"/>
  <c r="AF22" i="70"/>
  <c r="AF21" i="70"/>
  <c r="AF20" i="70"/>
  <c r="AE20" i="70" s="1"/>
  <c r="AD20" i="70" s="1"/>
  <c r="AF19" i="70"/>
  <c r="AE19" i="70" s="1"/>
  <c r="AD19" i="70" s="1"/>
  <c r="AF18" i="70"/>
  <c r="AE18" i="70"/>
  <c r="AD18" i="70" s="1"/>
  <c r="AF17" i="70"/>
  <c r="AF16" i="70"/>
  <c r="AF15" i="70"/>
  <c r="AF14" i="70"/>
  <c r="AF13" i="70"/>
  <c r="AE13" i="70" s="1"/>
  <c r="AD13" i="70" s="1"/>
  <c r="AF12" i="70"/>
  <c r="AE12" i="70" s="1"/>
  <c r="AD12" i="70" s="1"/>
  <c r="AF11" i="70"/>
  <c r="AE11" i="70" s="1"/>
  <c r="AD11" i="70" s="1"/>
  <c r="AF10" i="70"/>
  <c r="AF9" i="70"/>
  <c r="AF8" i="70"/>
  <c r="AF7" i="70"/>
  <c r="B224" i="70"/>
  <c r="C224" i="70" s="1"/>
  <c r="B214" i="70"/>
  <c r="C214" i="70" s="1"/>
  <c r="B208" i="70"/>
  <c r="C208" i="70" s="1"/>
  <c r="B198" i="70"/>
  <c r="C198" i="70" s="1"/>
  <c r="G125" i="69"/>
  <c r="G109" i="69"/>
  <c r="G113" i="69"/>
  <c r="G121" i="69"/>
  <c r="B130" i="70"/>
  <c r="C130" i="70" s="1"/>
  <c r="B120" i="70"/>
  <c r="C120" i="70" s="1"/>
  <c r="B114" i="70"/>
  <c r="C114" i="70" s="1"/>
  <c r="B104" i="70"/>
  <c r="C104" i="70" s="1"/>
  <c r="P46" i="70"/>
  <c r="O46" i="70"/>
  <c r="N46" i="70"/>
  <c r="H46" i="70"/>
  <c r="Q46" i="70" s="1"/>
  <c r="P45" i="70"/>
  <c r="O45" i="70"/>
  <c r="N45" i="70"/>
  <c r="H45" i="70"/>
  <c r="Q45" i="70" s="1"/>
  <c r="P44" i="70"/>
  <c r="O44" i="70"/>
  <c r="N44" i="70"/>
  <c r="H44" i="70"/>
  <c r="Q44" i="70" s="1"/>
  <c r="P43" i="70"/>
  <c r="O43" i="70"/>
  <c r="N43" i="70"/>
  <c r="H43" i="70"/>
  <c r="Q43" i="70" s="1"/>
  <c r="P42" i="70"/>
  <c r="O42" i="70"/>
  <c r="N42" i="70"/>
  <c r="H42" i="70"/>
  <c r="Q42" i="70" s="1"/>
  <c r="R41" i="70"/>
  <c r="P39" i="70"/>
  <c r="O39" i="70"/>
  <c r="N39" i="70"/>
  <c r="H39" i="70"/>
  <c r="Q39" i="70" s="1"/>
  <c r="P38" i="70"/>
  <c r="O38" i="70"/>
  <c r="N38" i="70"/>
  <c r="H38" i="70"/>
  <c r="Q38" i="70" s="1"/>
  <c r="P37" i="70"/>
  <c r="O37" i="70"/>
  <c r="N37" i="70"/>
  <c r="H37" i="70"/>
  <c r="Q37" i="70" s="1"/>
  <c r="P36" i="70"/>
  <c r="O36" i="70"/>
  <c r="N36" i="70"/>
  <c r="H36" i="70"/>
  <c r="Q36" i="70" s="1"/>
  <c r="P35" i="70"/>
  <c r="O35" i="70"/>
  <c r="N35" i="70"/>
  <c r="H35" i="70"/>
  <c r="Q35" i="70" s="1"/>
  <c r="R34" i="70"/>
  <c r="I39" i="70" s="1"/>
  <c r="P32" i="70"/>
  <c r="O32" i="70"/>
  <c r="N32" i="70"/>
  <c r="H32" i="70"/>
  <c r="Q32" i="70" s="1"/>
  <c r="P31" i="70"/>
  <c r="O31" i="70"/>
  <c r="N31" i="70"/>
  <c r="H31" i="70"/>
  <c r="Q31" i="70" s="1"/>
  <c r="P30" i="70"/>
  <c r="O30" i="70"/>
  <c r="N30" i="70"/>
  <c r="H30" i="70"/>
  <c r="Q30" i="70" s="1"/>
  <c r="P29" i="70"/>
  <c r="O29" i="70"/>
  <c r="N29" i="70"/>
  <c r="H29" i="70"/>
  <c r="Q29" i="70" s="1"/>
  <c r="P28" i="70"/>
  <c r="O28" i="70"/>
  <c r="N28" i="70"/>
  <c r="H28" i="70"/>
  <c r="Q28" i="70" s="1"/>
  <c r="R27" i="70"/>
  <c r="I32" i="70" s="1"/>
  <c r="P25" i="70"/>
  <c r="O25" i="70"/>
  <c r="N25" i="70"/>
  <c r="H25" i="70"/>
  <c r="Q25" i="70" s="1"/>
  <c r="P24" i="70"/>
  <c r="O24" i="70"/>
  <c r="N24" i="70"/>
  <c r="H24" i="70"/>
  <c r="Q24" i="70" s="1"/>
  <c r="P23" i="70"/>
  <c r="O23" i="70"/>
  <c r="N23" i="70"/>
  <c r="H23" i="70"/>
  <c r="Q23" i="70" s="1"/>
  <c r="P22" i="70"/>
  <c r="O22" i="70"/>
  <c r="N22" i="70"/>
  <c r="H22" i="70"/>
  <c r="Q22" i="70" s="1"/>
  <c r="P21" i="70"/>
  <c r="O21" i="70"/>
  <c r="N21" i="70"/>
  <c r="H21" i="70"/>
  <c r="Q21" i="70" s="1"/>
  <c r="R20" i="70"/>
  <c r="I25" i="70" s="1"/>
  <c r="P18" i="70"/>
  <c r="O18" i="70"/>
  <c r="N18" i="70"/>
  <c r="H18" i="70"/>
  <c r="Q18" i="70" s="1"/>
  <c r="P17" i="70"/>
  <c r="O17" i="70"/>
  <c r="N17" i="70"/>
  <c r="H17" i="70"/>
  <c r="Q17" i="70" s="1"/>
  <c r="P16" i="70"/>
  <c r="O16" i="70"/>
  <c r="N16" i="70"/>
  <c r="H16" i="70"/>
  <c r="Q16" i="70" s="1"/>
  <c r="P15" i="70"/>
  <c r="O15" i="70"/>
  <c r="N15" i="70"/>
  <c r="H15" i="70"/>
  <c r="Q15" i="70" s="1"/>
  <c r="P14" i="70"/>
  <c r="O14" i="70"/>
  <c r="N14" i="70"/>
  <c r="H14" i="70"/>
  <c r="Q14" i="70" s="1"/>
  <c r="R13" i="70"/>
  <c r="P11" i="70"/>
  <c r="O11" i="70"/>
  <c r="N11" i="70"/>
  <c r="H11" i="70"/>
  <c r="Q11" i="70" s="1"/>
  <c r="P10" i="70"/>
  <c r="O10" i="70"/>
  <c r="N10" i="70"/>
  <c r="H10" i="70"/>
  <c r="Q10" i="70" s="1"/>
  <c r="P9" i="70"/>
  <c r="O9" i="70"/>
  <c r="N9" i="70"/>
  <c r="H9" i="70"/>
  <c r="Q9" i="70" s="1"/>
  <c r="P8" i="70"/>
  <c r="O8" i="70"/>
  <c r="N8" i="70"/>
  <c r="H8" i="70"/>
  <c r="Q8" i="70" s="1"/>
  <c r="P7" i="70"/>
  <c r="O7" i="70"/>
  <c r="N7" i="70"/>
  <c r="H7" i="70"/>
  <c r="Q7" i="70" s="1"/>
  <c r="R6" i="70"/>
  <c r="K29" i="71" l="1"/>
  <c r="R29" i="71" s="1"/>
  <c r="K30" i="71"/>
  <c r="R30" i="71" s="1"/>
  <c r="K31" i="71"/>
  <c r="R31" i="71" s="1"/>
  <c r="K22" i="71"/>
  <c r="R22" i="71" s="1"/>
  <c r="K7" i="71"/>
  <c r="R7" i="71" s="1"/>
  <c r="K25" i="71"/>
  <c r="R25" i="71" s="1"/>
  <c r="M14" i="71"/>
  <c r="S14" i="71" s="1"/>
  <c r="M16" i="71"/>
  <c r="S16" i="71" s="1"/>
  <c r="K11" i="71"/>
  <c r="R11" i="71" s="1"/>
  <c r="K21" i="71"/>
  <c r="R21" i="71" s="1"/>
  <c r="K23" i="71"/>
  <c r="R23" i="71" s="1"/>
  <c r="K10" i="71"/>
  <c r="R10" i="71" s="1"/>
  <c r="K24" i="71"/>
  <c r="R24" i="71" s="1"/>
  <c r="K32" i="71"/>
  <c r="R32" i="71" s="1"/>
  <c r="M15" i="71"/>
  <c r="S15" i="71" s="1"/>
  <c r="M18" i="71"/>
  <c r="S18" i="71" s="1"/>
  <c r="K9" i="71"/>
  <c r="R9" i="71" s="1"/>
  <c r="M17" i="71"/>
  <c r="S17" i="71" s="1"/>
  <c r="I18" i="70"/>
  <c r="L14" i="70"/>
  <c r="L15" i="70"/>
  <c r="L16" i="70"/>
  <c r="L17" i="70"/>
  <c r="L18" i="70"/>
  <c r="L21" i="70"/>
  <c r="J21" i="70"/>
  <c r="T21" i="70" s="1"/>
  <c r="L22" i="70"/>
  <c r="J22" i="70"/>
  <c r="T22" i="70" s="1"/>
  <c r="L23" i="70"/>
  <c r="J23" i="70"/>
  <c r="T23" i="70" s="1"/>
  <c r="L28" i="70"/>
  <c r="J28" i="70"/>
  <c r="T28" i="70" s="1"/>
  <c r="L29" i="70"/>
  <c r="J29" i="70"/>
  <c r="T29" i="70" s="1"/>
  <c r="L30" i="70"/>
  <c r="J30" i="70"/>
  <c r="T30" i="70" s="1"/>
  <c r="L31" i="70"/>
  <c r="J31" i="70"/>
  <c r="T31" i="70" s="1"/>
  <c r="L32" i="70"/>
  <c r="J32" i="70"/>
  <c r="I11" i="70"/>
  <c r="J7" i="70"/>
  <c r="T7" i="70" s="1"/>
  <c r="L7" i="70"/>
  <c r="J8" i="70"/>
  <c r="T8" i="70" s="1"/>
  <c r="L8" i="70"/>
  <c r="J9" i="70"/>
  <c r="T9" i="70" s="1"/>
  <c r="L9" i="70"/>
  <c r="J10" i="70"/>
  <c r="T10" i="70" s="1"/>
  <c r="L10" i="70"/>
  <c r="J11" i="70"/>
  <c r="T11" i="70" s="1"/>
  <c r="K11" i="70" s="1"/>
  <c r="R11" i="70" s="1"/>
  <c r="L11" i="70"/>
  <c r="J14" i="70"/>
  <c r="T14" i="70" s="1"/>
  <c r="J15" i="70"/>
  <c r="T15" i="70" s="1"/>
  <c r="J16" i="70"/>
  <c r="T16" i="70" s="1"/>
  <c r="J17" i="70"/>
  <c r="T17" i="70" s="1"/>
  <c r="J18" i="70"/>
  <c r="T18" i="70" s="1"/>
  <c r="K18" i="70" s="1"/>
  <c r="I46" i="70"/>
  <c r="J24" i="70"/>
  <c r="T24" i="70" s="1"/>
  <c r="L24" i="70"/>
  <c r="J25" i="70"/>
  <c r="T25" i="70" s="1"/>
  <c r="L25" i="70"/>
  <c r="J35" i="70"/>
  <c r="T35" i="70" s="1"/>
  <c r="L35" i="70"/>
  <c r="J36" i="70"/>
  <c r="T36" i="70" s="1"/>
  <c r="L36" i="70"/>
  <c r="L37" i="70"/>
  <c r="J37" i="70"/>
  <c r="L38" i="70"/>
  <c r="J38" i="70"/>
  <c r="T38" i="70" s="1"/>
  <c r="L39" i="70"/>
  <c r="J39" i="70"/>
  <c r="T39" i="70" s="1"/>
  <c r="L42" i="70"/>
  <c r="J42" i="70"/>
  <c r="T42" i="70" s="1"/>
  <c r="L43" i="70"/>
  <c r="J43" i="70"/>
  <c r="T43" i="70" s="1"/>
  <c r="L44" i="70"/>
  <c r="J44" i="70"/>
  <c r="T44" i="70" s="1"/>
  <c r="L45" i="70"/>
  <c r="J45" i="70"/>
  <c r="T45" i="70" s="1"/>
  <c r="L46" i="70"/>
  <c r="J46" i="70"/>
  <c r="M56" i="7"/>
  <c r="M110" i="7"/>
  <c r="I14" i="71" l="1"/>
  <c r="M8" i="71"/>
  <c r="S8" i="71" s="1"/>
  <c r="I17" i="71"/>
  <c r="I15" i="71"/>
  <c r="M24" i="71"/>
  <c r="S24" i="71" s="1"/>
  <c r="M23" i="71"/>
  <c r="S23" i="71" s="1"/>
  <c r="M11" i="71"/>
  <c r="S11" i="71" s="1"/>
  <c r="M9" i="71"/>
  <c r="S9" i="71" s="1"/>
  <c r="M32" i="71"/>
  <c r="S32" i="71" s="1"/>
  <c r="M10" i="71"/>
  <c r="S10" i="71" s="1"/>
  <c r="M21" i="71"/>
  <c r="S21" i="71" s="1"/>
  <c r="M25" i="71"/>
  <c r="S25" i="71"/>
  <c r="M31" i="71"/>
  <c r="S31" i="71" s="1"/>
  <c r="M29" i="71"/>
  <c r="S29" i="71" s="1"/>
  <c r="M28" i="71"/>
  <c r="S28" i="71" s="1"/>
  <c r="M22" i="71"/>
  <c r="S22" i="71" s="1"/>
  <c r="M30" i="71"/>
  <c r="S30" i="71" s="1"/>
  <c r="I16" i="71"/>
  <c r="M7" i="71"/>
  <c r="S7" i="71" s="1"/>
  <c r="K25" i="70"/>
  <c r="R25" i="70" s="1"/>
  <c r="K24" i="70"/>
  <c r="R24" i="70" s="1"/>
  <c r="T32" i="70"/>
  <c r="K32" i="70" s="1"/>
  <c r="R32" i="70" s="1"/>
  <c r="T46" i="70"/>
  <c r="K46" i="70" s="1"/>
  <c r="R46" i="70" s="1"/>
  <c r="K16" i="70"/>
  <c r="K10" i="70"/>
  <c r="R10" i="70" s="1"/>
  <c r="K14" i="70"/>
  <c r="R14" i="70" s="1"/>
  <c r="K8" i="70"/>
  <c r="R8" i="70" s="1"/>
  <c r="K17" i="70"/>
  <c r="K15" i="70"/>
  <c r="K9" i="70"/>
  <c r="R9" i="70" s="1"/>
  <c r="K7" i="70"/>
  <c r="R7" i="70" s="1"/>
  <c r="K45" i="70"/>
  <c r="R45" i="70" s="1"/>
  <c r="K43" i="70"/>
  <c r="R43" i="70" s="1"/>
  <c r="T37" i="70"/>
  <c r="K37" i="70" s="1"/>
  <c r="R37" i="70" s="1"/>
  <c r="R18" i="70"/>
  <c r="R17" i="70"/>
  <c r="R16" i="70"/>
  <c r="R15" i="70"/>
  <c r="K44" i="70"/>
  <c r="R44" i="70" s="1"/>
  <c r="K42" i="70"/>
  <c r="R42" i="70" s="1"/>
  <c r="K31" i="70"/>
  <c r="R31" i="70" s="1"/>
  <c r="K30" i="70"/>
  <c r="R30" i="70" s="1"/>
  <c r="K29" i="70"/>
  <c r="R29" i="70" s="1"/>
  <c r="K28" i="70"/>
  <c r="R28" i="70" s="1"/>
  <c r="K23" i="70"/>
  <c r="R23" i="70" s="1"/>
  <c r="K22" i="70"/>
  <c r="R22" i="70" s="1"/>
  <c r="K21" i="70"/>
  <c r="R21" i="70" s="1"/>
  <c r="C317" i="69"/>
  <c r="C316" i="69"/>
  <c r="C315" i="69"/>
  <c r="C314" i="69"/>
  <c r="C313" i="69"/>
  <c r="C312" i="69"/>
  <c r="C311" i="69"/>
  <c r="C310" i="69"/>
  <c r="C309" i="69"/>
  <c r="C308" i="69"/>
  <c r="C307" i="69"/>
  <c r="C306" i="69"/>
  <c r="C305" i="69"/>
  <c r="C304" i="69"/>
  <c r="C303" i="69"/>
  <c r="C302" i="69"/>
  <c r="C301" i="69"/>
  <c r="C300" i="69"/>
  <c r="C208" i="69"/>
  <c r="E208" i="69" s="1"/>
  <c r="E198" i="69"/>
  <c r="C198" i="69"/>
  <c r="B130" i="69"/>
  <c r="C130" i="69" s="1"/>
  <c r="I125" i="69"/>
  <c r="B120" i="69"/>
  <c r="C120" i="69" s="1"/>
  <c r="C114" i="69"/>
  <c r="B114" i="69"/>
  <c r="I109" i="69"/>
  <c r="J126" i="69" s="1"/>
  <c r="B104" i="69"/>
  <c r="C104" i="69" s="1"/>
  <c r="Q46" i="69"/>
  <c r="P46" i="69"/>
  <c r="O46" i="69"/>
  <c r="N46" i="69"/>
  <c r="H46" i="69"/>
  <c r="P45" i="69"/>
  <c r="O45" i="69"/>
  <c r="N45" i="69"/>
  <c r="H45" i="69"/>
  <c r="Q45" i="69" s="1"/>
  <c r="AP44" i="69"/>
  <c r="AO44" i="69"/>
  <c r="AN44" i="69"/>
  <c r="AM44" i="69"/>
  <c r="AL44" i="69"/>
  <c r="AK44" i="69"/>
  <c r="AJ44" i="69"/>
  <c r="AI44" i="69"/>
  <c r="AH44" i="69"/>
  <c r="AG44" i="69"/>
  <c r="AF44" i="69"/>
  <c r="AE44" i="69"/>
  <c r="AD44" i="69" s="1"/>
  <c r="P44" i="69"/>
  <c r="O44" i="69"/>
  <c r="N44" i="69"/>
  <c r="H44" i="69"/>
  <c r="Q44" i="69" s="1"/>
  <c r="AP43" i="69"/>
  <c r="AO43" i="69"/>
  <c r="AN43" i="69"/>
  <c r="AM43" i="69"/>
  <c r="AL43" i="69"/>
  <c r="AK43" i="69"/>
  <c r="AJ43" i="69"/>
  <c r="AI43" i="69"/>
  <c r="AH43" i="69"/>
  <c r="AG43" i="69"/>
  <c r="AF43" i="69"/>
  <c r="AE43" i="69"/>
  <c r="AD43" i="69" s="1"/>
  <c r="P43" i="69"/>
  <c r="O43" i="69"/>
  <c r="N43" i="69"/>
  <c r="H43" i="69"/>
  <c r="Q43" i="69" s="1"/>
  <c r="AP42" i="69"/>
  <c r="AO42" i="69"/>
  <c r="AN42" i="69"/>
  <c r="AM42" i="69"/>
  <c r="AL42" i="69"/>
  <c r="AK42" i="69"/>
  <c r="AJ42" i="69"/>
  <c r="AI42" i="69"/>
  <c r="AH42" i="69"/>
  <c r="AG42" i="69"/>
  <c r="AF42" i="69"/>
  <c r="AE42" i="69"/>
  <c r="AD42" i="69" s="1"/>
  <c r="P42" i="69"/>
  <c r="O42" i="69"/>
  <c r="N42" i="69"/>
  <c r="H42" i="69"/>
  <c r="Q42" i="69" s="1"/>
  <c r="AP41" i="69"/>
  <c r="AO41" i="69"/>
  <c r="AN41" i="69"/>
  <c r="AM41" i="69"/>
  <c r="AL41" i="69"/>
  <c r="AK41" i="69"/>
  <c r="AJ41" i="69"/>
  <c r="AI41" i="69"/>
  <c r="AH41" i="69"/>
  <c r="AG41" i="69"/>
  <c r="AF41" i="69"/>
  <c r="AE41" i="69"/>
  <c r="AD41" i="69" s="1"/>
  <c r="R41" i="69"/>
  <c r="I46" i="69" s="1"/>
  <c r="AP40" i="69"/>
  <c r="AO40" i="69"/>
  <c r="AN40" i="69"/>
  <c r="AM40" i="69"/>
  <c r="AL40" i="69"/>
  <c r="AK40" i="69"/>
  <c r="AJ40" i="69"/>
  <c r="AI40" i="69"/>
  <c r="AH40" i="69"/>
  <c r="AG40" i="69"/>
  <c r="AF40" i="69"/>
  <c r="AE40" i="69"/>
  <c r="AD40" i="69" s="1"/>
  <c r="AP39" i="69"/>
  <c r="AO39" i="69" s="1"/>
  <c r="AN39" i="69"/>
  <c r="AM39" i="69" s="1"/>
  <c r="AL39" i="69"/>
  <c r="AK39" i="69" s="1"/>
  <c r="AJ39" i="69"/>
  <c r="AI39" i="69" s="1"/>
  <c r="AH39" i="69"/>
  <c r="AG39" i="69" s="1"/>
  <c r="AF39" i="69"/>
  <c r="AE39" i="69" s="1"/>
  <c r="Q39" i="69"/>
  <c r="P39" i="69"/>
  <c r="O39" i="69"/>
  <c r="N39" i="69"/>
  <c r="I39" i="69"/>
  <c r="H39" i="69"/>
  <c r="AP38" i="69"/>
  <c r="AO38" i="69" s="1"/>
  <c r="AN38" i="69"/>
  <c r="AM38" i="69" s="1"/>
  <c r="AL38" i="69"/>
  <c r="AK38" i="69" s="1"/>
  <c r="AJ38" i="69"/>
  <c r="AI38" i="69" s="1"/>
  <c r="AH38" i="69"/>
  <c r="AG38" i="69" s="1"/>
  <c r="AF38" i="69"/>
  <c r="AE38" i="69" s="1"/>
  <c r="Q38" i="69"/>
  <c r="P38" i="69"/>
  <c r="O38" i="69"/>
  <c r="N38" i="69"/>
  <c r="I38" i="69"/>
  <c r="H38" i="69"/>
  <c r="AP37" i="69"/>
  <c r="AO37" i="69" s="1"/>
  <c r="AN37" i="69"/>
  <c r="AM37" i="69" s="1"/>
  <c r="AL37" i="69"/>
  <c r="AK37" i="69" s="1"/>
  <c r="AJ37" i="69"/>
  <c r="AI37" i="69" s="1"/>
  <c r="AH37" i="69"/>
  <c r="AG37" i="69" s="1"/>
  <c r="AF37" i="69"/>
  <c r="AE37" i="69" s="1"/>
  <c r="Q37" i="69"/>
  <c r="P37" i="69"/>
  <c r="O37" i="69"/>
  <c r="N37" i="69"/>
  <c r="I37" i="69"/>
  <c r="H37" i="69"/>
  <c r="AP36" i="69"/>
  <c r="AO36" i="69" s="1"/>
  <c r="AN36" i="69"/>
  <c r="AM36" i="69" s="1"/>
  <c r="AL36" i="69"/>
  <c r="AK36" i="69" s="1"/>
  <c r="AJ36" i="69"/>
  <c r="AI36" i="69" s="1"/>
  <c r="AH36" i="69"/>
  <c r="AG36" i="69" s="1"/>
  <c r="AF36" i="69"/>
  <c r="AE36" i="69" s="1"/>
  <c r="Q36" i="69"/>
  <c r="P36" i="69"/>
  <c r="O36" i="69"/>
  <c r="N36" i="69"/>
  <c r="I36" i="69"/>
  <c r="H36" i="69"/>
  <c r="AP35" i="69"/>
  <c r="AO35" i="69" s="1"/>
  <c r="AN35" i="69"/>
  <c r="AM35" i="69" s="1"/>
  <c r="AL35" i="69"/>
  <c r="AK35" i="69" s="1"/>
  <c r="AJ35" i="69"/>
  <c r="AI35" i="69" s="1"/>
  <c r="AH35" i="69"/>
  <c r="AG35" i="69" s="1"/>
  <c r="AF35" i="69"/>
  <c r="AE35" i="69" s="1"/>
  <c r="Q35" i="69"/>
  <c r="P35" i="69"/>
  <c r="O35" i="69"/>
  <c r="N35" i="69"/>
  <c r="I35" i="69"/>
  <c r="H35" i="69"/>
  <c r="AP34" i="69"/>
  <c r="AO34" i="69" s="1"/>
  <c r="AN34" i="69"/>
  <c r="AM34" i="69" s="1"/>
  <c r="AL34" i="69"/>
  <c r="AK34" i="69" s="1"/>
  <c r="AJ34" i="69"/>
  <c r="AI34" i="69" s="1"/>
  <c r="AH34" i="69"/>
  <c r="AG34" i="69" s="1"/>
  <c r="AF34" i="69"/>
  <c r="AE34" i="69" s="1"/>
  <c r="R34" i="69"/>
  <c r="AP33" i="69"/>
  <c r="AO33" i="69" s="1"/>
  <c r="AN33" i="69"/>
  <c r="AM33" i="69" s="1"/>
  <c r="AL33" i="69"/>
  <c r="AK33" i="69" s="1"/>
  <c r="AJ33" i="69"/>
  <c r="AI33" i="69" s="1"/>
  <c r="AH33" i="69"/>
  <c r="AG33" i="69" s="1"/>
  <c r="AF33" i="69"/>
  <c r="AE33" i="69" s="1"/>
  <c r="AP32" i="69"/>
  <c r="AO32" i="69"/>
  <c r="AN32" i="69"/>
  <c r="AM32" i="69"/>
  <c r="AL32" i="69"/>
  <c r="AK32" i="69"/>
  <c r="AJ32" i="69"/>
  <c r="AI32" i="69"/>
  <c r="AH32" i="69"/>
  <c r="AG32" i="69"/>
  <c r="AF32" i="69"/>
  <c r="AE32" i="69"/>
  <c r="AD32" i="69" s="1"/>
  <c r="P32" i="69"/>
  <c r="O32" i="69"/>
  <c r="N32" i="69"/>
  <c r="H32" i="69"/>
  <c r="Q32" i="69" s="1"/>
  <c r="AP31" i="69"/>
  <c r="AO31" i="69"/>
  <c r="AN31" i="69"/>
  <c r="AM31" i="69"/>
  <c r="AL31" i="69"/>
  <c r="AK31" i="69"/>
  <c r="AJ31" i="69"/>
  <c r="AI31" i="69"/>
  <c r="AH31" i="69"/>
  <c r="AG31" i="69"/>
  <c r="AF31" i="69"/>
  <c r="AE31" i="69"/>
  <c r="AD31" i="69" s="1"/>
  <c r="P31" i="69"/>
  <c r="O31" i="69"/>
  <c r="N31" i="69"/>
  <c r="H31" i="69"/>
  <c r="Q31" i="69" s="1"/>
  <c r="AP30" i="69"/>
  <c r="AO30" i="69"/>
  <c r="AN30" i="69"/>
  <c r="AM30" i="69"/>
  <c r="AL30" i="69"/>
  <c r="AK30" i="69"/>
  <c r="AJ30" i="69"/>
  <c r="AI30" i="69"/>
  <c r="AH30" i="69"/>
  <c r="AG30" i="69"/>
  <c r="AF30" i="69"/>
  <c r="AE30" i="69"/>
  <c r="AD30" i="69" s="1"/>
  <c r="P30" i="69"/>
  <c r="O30" i="69"/>
  <c r="N30" i="69"/>
  <c r="H30" i="69"/>
  <c r="Q30" i="69" s="1"/>
  <c r="AP29" i="69"/>
  <c r="AO29" i="69"/>
  <c r="AN29" i="69"/>
  <c r="AM29" i="69"/>
  <c r="AL29" i="69"/>
  <c r="AK29" i="69"/>
  <c r="AJ29" i="69"/>
  <c r="AI29" i="69"/>
  <c r="AH29" i="69"/>
  <c r="AG29" i="69"/>
  <c r="AF29" i="69"/>
  <c r="AE29" i="69"/>
  <c r="AD29" i="69" s="1"/>
  <c r="P29" i="69"/>
  <c r="O29" i="69"/>
  <c r="N29" i="69"/>
  <c r="H29" i="69"/>
  <c r="Q29" i="69" s="1"/>
  <c r="AP28" i="69"/>
  <c r="AO28" i="69"/>
  <c r="AN28" i="69"/>
  <c r="AM28" i="69"/>
  <c r="AL28" i="69"/>
  <c r="AK28" i="69"/>
  <c r="AJ28" i="69"/>
  <c r="AI28" i="69"/>
  <c r="AH28" i="69"/>
  <c r="AG28" i="69"/>
  <c r="AF28" i="69"/>
  <c r="AE28" i="69"/>
  <c r="AD28" i="69" s="1"/>
  <c r="P28" i="69"/>
  <c r="O28" i="69"/>
  <c r="N28" i="69"/>
  <c r="H28" i="69"/>
  <c r="Q28" i="69" s="1"/>
  <c r="AP27" i="69"/>
  <c r="AO27" i="69"/>
  <c r="AN27" i="69"/>
  <c r="AM27" i="69"/>
  <c r="AL27" i="69"/>
  <c r="AK27" i="69"/>
  <c r="AJ27" i="69"/>
  <c r="AI27" i="69"/>
  <c r="AH27" i="69"/>
  <c r="AG27" i="69"/>
  <c r="AF27" i="69"/>
  <c r="AE27" i="69"/>
  <c r="AD27" i="69" s="1"/>
  <c r="R27" i="69"/>
  <c r="AP26" i="69"/>
  <c r="AO26" i="69"/>
  <c r="AN26" i="69"/>
  <c r="AM26" i="69"/>
  <c r="AL26" i="69"/>
  <c r="AK26" i="69"/>
  <c r="AJ26" i="69"/>
  <c r="AI26" i="69"/>
  <c r="AH26" i="69"/>
  <c r="AG26" i="69"/>
  <c r="AF26" i="69"/>
  <c r="AE26" i="69"/>
  <c r="AD26" i="69" s="1"/>
  <c r="AP25" i="69"/>
  <c r="AO25" i="69" s="1"/>
  <c r="AN25" i="69"/>
  <c r="AM25" i="69" s="1"/>
  <c r="AL25" i="69"/>
  <c r="AK25" i="69" s="1"/>
  <c r="AJ25" i="69"/>
  <c r="AI25" i="69" s="1"/>
  <c r="AH25" i="69"/>
  <c r="AG25" i="69" s="1"/>
  <c r="AF25" i="69"/>
  <c r="AE25" i="69" s="1"/>
  <c r="Q25" i="69"/>
  <c r="P25" i="69"/>
  <c r="O25" i="69"/>
  <c r="N25" i="69"/>
  <c r="I25" i="69"/>
  <c r="H25" i="69"/>
  <c r="AP24" i="69"/>
  <c r="AO24" i="69" s="1"/>
  <c r="AN24" i="69"/>
  <c r="AM24" i="69" s="1"/>
  <c r="AL24" i="69"/>
  <c r="AK24" i="69" s="1"/>
  <c r="AJ24" i="69"/>
  <c r="AI24" i="69" s="1"/>
  <c r="AH24" i="69"/>
  <c r="AG24" i="69" s="1"/>
  <c r="AF24" i="69"/>
  <c r="AE24" i="69" s="1"/>
  <c r="Q24" i="69"/>
  <c r="P24" i="69"/>
  <c r="O24" i="69"/>
  <c r="N24" i="69"/>
  <c r="I24" i="69"/>
  <c r="H24" i="69"/>
  <c r="AP23" i="69"/>
  <c r="AO23" i="69" s="1"/>
  <c r="AN23" i="69"/>
  <c r="AM23" i="69" s="1"/>
  <c r="AL23" i="69"/>
  <c r="AK23" i="69" s="1"/>
  <c r="AJ23" i="69"/>
  <c r="AI23" i="69" s="1"/>
  <c r="AH23" i="69"/>
  <c r="AG23" i="69" s="1"/>
  <c r="AF23" i="69"/>
  <c r="AE23" i="69" s="1"/>
  <c r="Q23" i="69"/>
  <c r="P23" i="69"/>
  <c r="O23" i="69"/>
  <c r="N23" i="69"/>
  <c r="I23" i="69"/>
  <c r="H23" i="69"/>
  <c r="AP22" i="69"/>
  <c r="AO22" i="69" s="1"/>
  <c r="AN22" i="69"/>
  <c r="AM22" i="69" s="1"/>
  <c r="AL22" i="69"/>
  <c r="AK22" i="69" s="1"/>
  <c r="AJ22" i="69"/>
  <c r="AI22" i="69" s="1"/>
  <c r="AH22" i="69"/>
  <c r="AG22" i="69" s="1"/>
  <c r="AF22" i="69"/>
  <c r="AE22" i="69" s="1"/>
  <c r="Q22" i="69"/>
  <c r="P22" i="69"/>
  <c r="O22" i="69"/>
  <c r="N22" i="69"/>
  <c r="I22" i="69"/>
  <c r="H22" i="69"/>
  <c r="AP21" i="69"/>
  <c r="AO21" i="69" s="1"/>
  <c r="AN21" i="69"/>
  <c r="AM21" i="69" s="1"/>
  <c r="AL21" i="69"/>
  <c r="AK21" i="69" s="1"/>
  <c r="AJ21" i="69"/>
  <c r="AI21" i="69" s="1"/>
  <c r="AH21" i="69"/>
  <c r="AG21" i="69" s="1"/>
  <c r="AF21" i="69"/>
  <c r="AE21" i="69" s="1"/>
  <c r="Q21" i="69"/>
  <c r="P21" i="69"/>
  <c r="O21" i="69"/>
  <c r="N21" i="69"/>
  <c r="I21" i="69"/>
  <c r="H21" i="69"/>
  <c r="AP20" i="69"/>
  <c r="AO20" i="69" s="1"/>
  <c r="AN20" i="69"/>
  <c r="AM20" i="69" s="1"/>
  <c r="AL20" i="69"/>
  <c r="AK20" i="69" s="1"/>
  <c r="AJ20" i="69"/>
  <c r="AI20" i="69" s="1"/>
  <c r="AH20" i="69"/>
  <c r="AG20" i="69" s="1"/>
  <c r="AF20" i="69"/>
  <c r="AE20" i="69" s="1"/>
  <c r="R20" i="69"/>
  <c r="AP19" i="69"/>
  <c r="AO19" i="69" s="1"/>
  <c r="AN19" i="69"/>
  <c r="AM19" i="69" s="1"/>
  <c r="AL19" i="69"/>
  <c r="AK19" i="69" s="1"/>
  <c r="AJ19" i="69"/>
  <c r="AI19" i="69" s="1"/>
  <c r="AH19" i="69"/>
  <c r="AG19" i="69" s="1"/>
  <c r="AF19" i="69"/>
  <c r="AE19" i="69" s="1"/>
  <c r="AP18" i="69"/>
  <c r="AO18" i="69"/>
  <c r="AN18" i="69"/>
  <c r="AM18" i="69"/>
  <c r="AL18" i="69"/>
  <c r="AK18" i="69"/>
  <c r="AJ18" i="69"/>
  <c r="AI18" i="69"/>
  <c r="AH18" i="69"/>
  <c r="AG18" i="69"/>
  <c r="AF18" i="69"/>
  <c r="AE18" i="69"/>
  <c r="AD18" i="69" s="1"/>
  <c r="P18" i="69"/>
  <c r="O18" i="69"/>
  <c r="N18" i="69"/>
  <c r="H18" i="69"/>
  <c r="Q18" i="69" s="1"/>
  <c r="AP17" i="69"/>
  <c r="AO17" i="69"/>
  <c r="AN17" i="69"/>
  <c r="AM17" i="69"/>
  <c r="AL17" i="69"/>
  <c r="AK17" i="69"/>
  <c r="AJ17" i="69"/>
  <c r="AI17" i="69"/>
  <c r="AH17" i="69"/>
  <c r="AG17" i="69"/>
  <c r="AF17" i="69"/>
  <c r="AE17" i="69"/>
  <c r="AD17" i="69" s="1"/>
  <c r="P17" i="69"/>
  <c r="O17" i="69"/>
  <c r="N17" i="69"/>
  <c r="H17" i="69"/>
  <c r="Q17" i="69" s="1"/>
  <c r="AP16" i="69"/>
  <c r="AO16" i="69"/>
  <c r="AN16" i="69"/>
  <c r="AM16" i="69"/>
  <c r="AL16" i="69"/>
  <c r="AK16" i="69"/>
  <c r="AJ16" i="69"/>
  <c r="AI16" i="69"/>
  <c r="AH16" i="69"/>
  <c r="AG16" i="69"/>
  <c r="AF16" i="69"/>
  <c r="AE16" i="69"/>
  <c r="AD16" i="69" s="1"/>
  <c r="P16" i="69"/>
  <c r="O16" i="69"/>
  <c r="N16" i="69"/>
  <c r="H16" i="69"/>
  <c r="Q16" i="69" s="1"/>
  <c r="AP15" i="69"/>
  <c r="AO15" i="69"/>
  <c r="AN15" i="69"/>
  <c r="AM15" i="69"/>
  <c r="AL15" i="69"/>
  <c r="AK15" i="69"/>
  <c r="AJ15" i="69"/>
  <c r="AI15" i="69"/>
  <c r="AH15" i="69"/>
  <c r="AG15" i="69"/>
  <c r="AF15" i="69"/>
  <c r="AE15" i="69"/>
  <c r="AD15" i="69" s="1"/>
  <c r="P15" i="69"/>
  <c r="O15" i="69"/>
  <c r="N15" i="69"/>
  <c r="H15" i="69"/>
  <c r="Q15" i="69" s="1"/>
  <c r="AP14" i="69"/>
  <c r="AO14" i="69"/>
  <c r="AN14" i="69"/>
  <c r="AM14" i="69"/>
  <c r="AL14" i="69"/>
  <c r="AK14" i="69"/>
  <c r="AJ14" i="69"/>
  <c r="AI14" i="69"/>
  <c r="AH14" i="69"/>
  <c r="AG14" i="69"/>
  <c r="AF14" i="69"/>
  <c r="AE14" i="69"/>
  <c r="AD14" i="69" s="1"/>
  <c r="P14" i="69"/>
  <c r="O14" i="69"/>
  <c r="N14" i="69"/>
  <c r="H14" i="69"/>
  <c r="Q14" i="69" s="1"/>
  <c r="AP13" i="69"/>
  <c r="AO13" i="69"/>
  <c r="AN13" i="69"/>
  <c r="AM13" i="69"/>
  <c r="AL13" i="69"/>
  <c r="AK13" i="69"/>
  <c r="AJ13" i="69"/>
  <c r="AI13" i="69"/>
  <c r="AH13" i="69"/>
  <c r="AG13" i="69"/>
  <c r="AF13" i="69"/>
  <c r="AE13" i="69"/>
  <c r="AD13" i="69" s="1"/>
  <c r="R13" i="69"/>
  <c r="AP12" i="69"/>
  <c r="AO12" i="69"/>
  <c r="AN12" i="69"/>
  <c r="AM12" i="69"/>
  <c r="AL12" i="69"/>
  <c r="AK12" i="69"/>
  <c r="AJ12" i="69"/>
  <c r="AI12" i="69"/>
  <c r="AH12" i="69"/>
  <c r="AG12" i="69"/>
  <c r="AF12" i="69"/>
  <c r="AE12" i="69"/>
  <c r="AD12" i="69" s="1"/>
  <c r="AP11" i="69"/>
  <c r="AO11" i="69" s="1"/>
  <c r="AN11" i="69"/>
  <c r="AM11" i="69" s="1"/>
  <c r="AL11" i="69"/>
  <c r="AK11" i="69" s="1"/>
  <c r="AJ11" i="69"/>
  <c r="AI11" i="69" s="1"/>
  <c r="AH11" i="69"/>
  <c r="AG11" i="69" s="1"/>
  <c r="AF11" i="69"/>
  <c r="AE11" i="69" s="1"/>
  <c r="Q11" i="69"/>
  <c r="P11" i="69"/>
  <c r="O11" i="69"/>
  <c r="N11" i="69"/>
  <c r="H11" i="69"/>
  <c r="AP10" i="69"/>
  <c r="AO10" i="69" s="1"/>
  <c r="AN10" i="69"/>
  <c r="AM10" i="69" s="1"/>
  <c r="AL10" i="69"/>
  <c r="AK10" i="69" s="1"/>
  <c r="AJ10" i="69"/>
  <c r="AI10" i="69" s="1"/>
  <c r="AH10" i="69"/>
  <c r="AG10" i="69" s="1"/>
  <c r="AF10" i="69"/>
  <c r="AE10" i="69" s="1"/>
  <c r="Q10" i="69"/>
  <c r="P10" i="69"/>
  <c r="O10" i="69"/>
  <c r="N10" i="69"/>
  <c r="H10" i="69"/>
  <c r="AP9" i="69"/>
  <c r="AO9" i="69" s="1"/>
  <c r="AN9" i="69"/>
  <c r="AM9" i="69" s="1"/>
  <c r="AL9" i="69"/>
  <c r="AK9" i="69" s="1"/>
  <c r="AJ9" i="69"/>
  <c r="AI9" i="69" s="1"/>
  <c r="AH9" i="69"/>
  <c r="AG9" i="69" s="1"/>
  <c r="AF9" i="69"/>
  <c r="AE9" i="69" s="1"/>
  <c r="Q9" i="69"/>
  <c r="P9" i="69"/>
  <c r="O9" i="69"/>
  <c r="N9" i="69"/>
  <c r="H9" i="69"/>
  <c r="AP8" i="69"/>
  <c r="AO8" i="69" s="1"/>
  <c r="AN8" i="69"/>
  <c r="AM8" i="69" s="1"/>
  <c r="AL8" i="69"/>
  <c r="AK8" i="69" s="1"/>
  <c r="AJ8" i="69"/>
  <c r="AI8" i="69" s="1"/>
  <c r="AH8" i="69"/>
  <c r="AG8" i="69" s="1"/>
  <c r="AF8" i="69"/>
  <c r="AE8" i="69" s="1"/>
  <c r="Q8" i="69"/>
  <c r="P8" i="69"/>
  <c r="O8" i="69"/>
  <c r="N8" i="69"/>
  <c r="H8" i="69"/>
  <c r="AP7" i="69"/>
  <c r="AO7" i="69" s="1"/>
  <c r="AN7" i="69"/>
  <c r="AM7" i="69" s="1"/>
  <c r="AL7" i="69"/>
  <c r="AK7" i="69" s="1"/>
  <c r="AJ7" i="69"/>
  <c r="AI7" i="69" s="1"/>
  <c r="AH7" i="69"/>
  <c r="AG7" i="69" s="1"/>
  <c r="AF7" i="69"/>
  <c r="AE7" i="69" s="1"/>
  <c r="Q7" i="69"/>
  <c r="P7" i="69"/>
  <c r="O7" i="69"/>
  <c r="N7" i="69"/>
  <c r="H7" i="69"/>
  <c r="R6" i="69"/>
  <c r="I9" i="69" s="1"/>
  <c r="C208" i="68"/>
  <c r="E208" i="68" s="1"/>
  <c r="C198" i="68"/>
  <c r="E198" i="68" s="1"/>
  <c r="B130" i="68"/>
  <c r="C130" i="68" s="1"/>
  <c r="B120" i="68"/>
  <c r="C120" i="68" s="1"/>
  <c r="B114" i="68"/>
  <c r="C114" i="68" s="1"/>
  <c r="C104" i="68"/>
  <c r="P46" i="68"/>
  <c r="O46" i="68"/>
  <c r="N46" i="68"/>
  <c r="H46" i="68"/>
  <c r="Q46" i="68" s="1"/>
  <c r="P45" i="68"/>
  <c r="O45" i="68"/>
  <c r="N45" i="68"/>
  <c r="H45" i="68"/>
  <c r="Q45" i="68" s="1"/>
  <c r="AP44" i="68"/>
  <c r="AO44" i="68" s="1"/>
  <c r="AN44" i="68"/>
  <c r="AM44" i="68" s="1"/>
  <c r="AL44" i="68"/>
  <c r="AJ44" i="68"/>
  <c r="AH44" i="68"/>
  <c r="AG44" i="68" s="1"/>
  <c r="AF44" i="68"/>
  <c r="AE44" i="68" s="1"/>
  <c r="P44" i="68"/>
  <c r="O44" i="68"/>
  <c r="N44" i="68"/>
  <c r="H44" i="68"/>
  <c r="Q44" i="68" s="1"/>
  <c r="AP43" i="68"/>
  <c r="AO43" i="68" s="1"/>
  <c r="AN43" i="68"/>
  <c r="AM43" i="68" s="1"/>
  <c r="AL43" i="68"/>
  <c r="AK43" i="68" s="1"/>
  <c r="AJ43" i="68"/>
  <c r="AI43" i="68" s="1"/>
  <c r="AH43" i="68"/>
  <c r="AG43" i="68" s="1"/>
  <c r="AF43" i="68"/>
  <c r="AE43" i="68" s="1"/>
  <c r="P43" i="68"/>
  <c r="O43" i="68"/>
  <c r="N43" i="68"/>
  <c r="H43" i="68"/>
  <c r="Q43" i="68" s="1"/>
  <c r="AP42" i="68"/>
  <c r="AO42" i="68" s="1"/>
  <c r="AN42" i="68"/>
  <c r="AM42" i="68" s="1"/>
  <c r="AL42" i="68"/>
  <c r="AK42" i="68" s="1"/>
  <c r="AJ42" i="68"/>
  <c r="AI42" i="68" s="1"/>
  <c r="AH42" i="68"/>
  <c r="AG42" i="68" s="1"/>
  <c r="AF42" i="68"/>
  <c r="AE42" i="68" s="1"/>
  <c r="P42" i="68"/>
  <c r="O42" i="68"/>
  <c r="N42" i="68"/>
  <c r="H42" i="68"/>
  <c r="Q42" i="68" s="1"/>
  <c r="AP41" i="68"/>
  <c r="AO41" i="68"/>
  <c r="AN41" i="68"/>
  <c r="AM41" i="68"/>
  <c r="AL41" i="68"/>
  <c r="AK41" i="68"/>
  <c r="AJ41" i="68"/>
  <c r="AI41" i="68"/>
  <c r="AH41" i="68"/>
  <c r="AG41" i="68"/>
  <c r="AF41" i="68"/>
  <c r="AE41" i="68"/>
  <c r="AD41" i="68" s="1"/>
  <c r="R41" i="68"/>
  <c r="I46" i="68" s="1"/>
  <c r="AP40" i="68"/>
  <c r="AO40" i="68" s="1"/>
  <c r="AN40" i="68"/>
  <c r="AM40" i="68" s="1"/>
  <c r="AL40" i="68"/>
  <c r="AK40" i="68" s="1"/>
  <c r="AJ40" i="68"/>
  <c r="AI40" i="68" s="1"/>
  <c r="AH40" i="68"/>
  <c r="AG40" i="68" s="1"/>
  <c r="AF40" i="68"/>
  <c r="AE40" i="68" s="1"/>
  <c r="AP39" i="68"/>
  <c r="AO39" i="68" s="1"/>
  <c r="AN39" i="68"/>
  <c r="AM39" i="68" s="1"/>
  <c r="AL39" i="68"/>
  <c r="AK39" i="68" s="1"/>
  <c r="AJ39" i="68"/>
  <c r="AI39" i="68" s="1"/>
  <c r="AH39" i="68"/>
  <c r="AG39" i="68" s="1"/>
  <c r="AF39" i="68"/>
  <c r="AE39" i="68" s="1"/>
  <c r="P39" i="68"/>
  <c r="O39" i="68"/>
  <c r="N39" i="68"/>
  <c r="H39" i="68"/>
  <c r="Q39" i="68" s="1"/>
  <c r="AP38" i="68"/>
  <c r="AO38" i="68" s="1"/>
  <c r="AN38" i="68"/>
  <c r="AM38" i="68" s="1"/>
  <c r="AL38" i="68"/>
  <c r="AK38" i="68" s="1"/>
  <c r="AJ38" i="68"/>
  <c r="AI38" i="68" s="1"/>
  <c r="AH38" i="68"/>
  <c r="AG38" i="68" s="1"/>
  <c r="AF38" i="68"/>
  <c r="AE38" i="68" s="1"/>
  <c r="P38" i="68"/>
  <c r="O38" i="68"/>
  <c r="N38" i="68"/>
  <c r="H38" i="68"/>
  <c r="Q38" i="68" s="1"/>
  <c r="AP37" i="68"/>
  <c r="AO37" i="68" s="1"/>
  <c r="AN37" i="68"/>
  <c r="AM37" i="68" s="1"/>
  <c r="AL37" i="68"/>
  <c r="AK37" i="68" s="1"/>
  <c r="AJ37" i="68"/>
  <c r="AH37" i="68"/>
  <c r="AG37" i="68" s="1"/>
  <c r="AF37" i="68"/>
  <c r="AE37" i="68" s="1"/>
  <c r="P37" i="68"/>
  <c r="O37" i="68"/>
  <c r="N37" i="68"/>
  <c r="H37" i="68"/>
  <c r="Q37" i="68" s="1"/>
  <c r="AP36" i="68"/>
  <c r="AO36" i="68" s="1"/>
  <c r="AN36" i="68"/>
  <c r="AM36" i="68" s="1"/>
  <c r="AL36" i="68"/>
  <c r="AJ36" i="68"/>
  <c r="AH36" i="68"/>
  <c r="AG36" i="68" s="1"/>
  <c r="AF36" i="68"/>
  <c r="AE36" i="68" s="1"/>
  <c r="P36" i="68"/>
  <c r="O36" i="68"/>
  <c r="N36" i="68"/>
  <c r="H36" i="68"/>
  <c r="Q36" i="68" s="1"/>
  <c r="AP35" i="68"/>
  <c r="AO35" i="68" s="1"/>
  <c r="AN35" i="68"/>
  <c r="AM35" i="68" s="1"/>
  <c r="AL35" i="68"/>
  <c r="AJ35" i="68"/>
  <c r="AH35" i="68"/>
  <c r="AG35" i="68" s="1"/>
  <c r="AF35" i="68"/>
  <c r="AE35" i="68" s="1"/>
  <c r="P35" i="68"/>
  <c r="O35" i="68"/>
  <c r="N35" i="68"/>
  <c r="H35" i="68"/>
  <c r="Q35" i="68" s="1"/>
  <c r="AP34" i="68"/>
  <c r="AO34" i="68" s="1"/>
  <c r="AN34" i="68"/>
  <c r="AM34" i="68" s="1"/>
  <c r="AL34" i="68"/>
  <c r="AK34" i="68" s="1"/>
  <c r="AJ34" i="68"/>
  <c r="AI34" i="68" s="1"/>
  <c r="AH34" i="68"/>
  <c r="AG34" i="68" s="1"/>
  <c r="AF34" i="68"/>
  <c r="AE34" i="68" s="1"/>
  <c r="R34" i="68"/>
  <c r="I39" i="68" s="1"/>
  <c r="AP33" i="68"/>
  <c r="AO33" i="68" s="1"/>
  <c r="AN33" i="68"/>
  <c r="AM33" i="68" s="1"/>
  <c r="AL33" i="68"/>
  <c r="AK33" i="68" s="1"/>
  <c r="AJ33" i="68"/>
  <c r="AI33" i="68" s="1"/>
  <c r="AH33" i="68"/>
  <c r="AG33" i="68" s="1"/>
  <c r="AF33" i="68"/>
  <c r="AE33" i="68" s="1"/>
  <c r="AP32" i="68"/>
  <c r="AO32" i="68" s="1"/>
  <c r="AN32" i="68"/>
  <c r="AM32" i="68" s="1"/>
  <c r="AL32" i="68"/>
  <c r="AK32" i="68" s="1"/>
  <c r="AJ32" i="68"/>
  <c r="AI32" i="68" s="1"/>
  <c r="AH32" i="68"/>
  <c r="AG32" i="68" s="1"/>
  <c r="AF32" i="68"/>
  <c r="AE32" i="68" s="1"/>
  <c r="P32" i="68"/>
  <c r="O32" i="68"/>
  <c r="N32" i="68"/>
  <c r="H32" i="68"/>
  <c r="Q32" i="68" s="1"/>
  <c r="AP31" i="68"/>
  <c r="AO31" i="68" s="1"/>
  <c r="AN31" i="68"/>
  <c r="AM31" i="68" s="1"/>
  <c r="AL31" i="68"/>
  <c r="AK31" i="68" s="1"/>
  <c r="AJ31" i="68"/>
  <c r="AI31" i="68" s="1"/>
  <c r="AH31" i="68"/>
  <c r="AG31" i="68" s="1"/>
  <c r="AF31" i="68"/>
  <c r="AE31" i="68" s="1"/>
  <c r="P31" i="68"/>
  <c r="O31" i="68"/>
  <c r="N31" i="68"/>
  <c r="H31" i="68"/>
  <c r="Q31" i="68" s="1"/>
  <c r="AP30" i="68"/>
  <c r="AO30" i="68" s="1"/>
  <c r="AN30" i="68"/>
  <c r="AM30" i="68" s="1"/>
  <c r="AL30" i="68"/>
  <c r="AJ30" i="68"/>
  <c r="AH30" i="68"/>
  <c r="AG30" i="68" s="1"/>
  <c r="AF30" i="68"/>
  <c r="AE30" i="68" s="1"/>
  <c r="P30" i="68"/>
  <c r="O30" i="68"/>
  <c r="N30" i="68"/>
  <c r="H30" i="68"/>
  <c r="Q30" i="68" s="1"/>
  <c r="AP29" i="68"/>
  <c r="AO29" i="68" s="1"/>
  <c r="AN29" i="68"/>
  <c r="AM29" i="68" s="1"/>
  <c r="AL29" i="68"/>
  <c r="AJ29" i="68"/>
  <c r="AH29" i="68"/>
  <c r="AG29" i="68" s="1"/>
  <c r="AF29" i="68"/>
  <c r="AE29" i="68" s="1"/>
  <c r="P29" i="68"/>
  <c r="O29" i="68"/>
  <c r="N29" i="68"/>
  <c r="H29" i="68"/>
  <c r="Q29" i="68" s="1"/>
  <c r="AP28" i="68"/>
  <c r="AO28" i="68" s="1"/>
  <c r="AN28" i="68"/>
  <c r="AM28" i="68" s="1"/>
  <c r="AL28" i="68"/>
  <c r="AJ28" i="68"/>
  <c r="AH28" i="68"/>
  <c r="AG28" i="68" s="1"/>
  <c r="AF28" i="68"/>
  <c r="AE28" i="68" s="1"/>
  <c r="P28" i="68"/>
  <c r="O28" i="68"/>
  <c r="N28" i="68"/>
  <c r="H28" i="68"/>
  <c r="Q28" i="68" s="1"/>
  <c r="AP27" i="68"/>
  <c r="AO27" i="68" s="1"/>
  <c r="AN27" i="68"/>
  <c r="AM27" i="68" s="1"/>
  <c r="AL27" i="68"/>
  <c r="AK27" i="68" s="1"/>
  <c r="AJ27" i="68"/>
  <c r="AI27" i="68" s="1"/>
  <c r="AH27" i="68"/>
  <c r="AG27" i="68" s="1"/>
  <c r="AF27" i="68"/>
  <c r="AE27" i="68" s="1"/>
  <c r="R27" i="68"/>
  <c r="AP26" i="68"/>
  <c r="AO26" i="68" s="1"/>
  <c r="AN26" i="68"/>
  <c r="AM26" i="68" s="1"/>
  <c r="AL26" i="68"/>
  <c r="AK26" i="68" s="1"/>
  <c r="AJ26" i="68"/>
  <c r="AI26" i="68" s="1"/>
  <c r="AH26" i="68"/>
  <c r="AG26" i="68" s="1"/>
  <c r="AF26" i="68"/>
  <c r="AE26" i="68" s="1"/>
  <c r="AP25" i="68"/>
  <c r="AO25" i="68" s="1"/>
  <c r="AN25" i="68"/>
  <c r="AM25" i="68" s="1"/>
  <c r="AL25" i="68"/>
  <c r="AK25" i="68" s="1"/>
  <c r="AJ25" i="68"/>
  <c r="AI25" i="68" s="1"/>
  <c r="AH25" i="68"/>
  <c r="AG25" i="68" s="1"/>
  <c r="AF25" i="68"/>
  <c r="AE25" i="68" s="1"/>
  <c r="P25" i="68"/>
  <c r="O25" i="68"/>
  <c r="N25" i="68"/>
  <c r="H25" i="68"/>
  <c r="Q25" i="68" s="1"/>
  <c r="AP24" i="68"/>
  <c r="AO24" i="68" s="1"/>
  <c r="AN24" i="68"/>
  <c r="AM24" i="68" s="1"/>
  <c r="AL24" i="68"/>
  <c r="AK24" i="68" s="1"/>
  <c r="AJ24" i="68"/>
  <c r="AI24" i="68" s="1"/>
  <c r="AH24" i="68"/>
  <c r="AG24" i="68" s="1"/>
  <c r="AF24" i="68"/>
  <c r="AE24" i="68" s="1"/>
  <c r="P24" i="68"/>
  <c r="O24" i="68"/>
  <c r="N24" i="68"/>
  <c r="H24" i="68"/>
  <c r="Q24" i="68" s="1"/>
  <c r="AP23" i="68"/>
  <c r="AO23" i="68" s="1"/>
  <c r="AN23" i="68"/>
  <c r="AM23" i="68" s="1"/>
  <c r="AL23" i="68"/>
  <c r="AK23" i="68" s="1"/>
  <c r="AJ23" i="68"/>
  <c r="AI23" i="68" s="1"/>
  <c r="AH23" i="68"/>
  <c r="AG23" i="68" s="1"/>
  <c r="AF23" i="68"/>
  <c r="AE23" i="68" s="1"/>
  <c r="P23" i="68"/>
  <c r="O23" i="68"/>
  <c r="N23" i="68"/>
  <c r="H23" i="68"/>
  <c r="Q23" i="68" s="1"/>
  <c r="AP22" i="68"/>
  <c r="AO22" i="68" s="1"/>
  <c r="AN22" i="68"/>
  <c r="AM22" i="68" s="1"/>
  <c r="AL22" i="68"/>
  <c r="AJ22" i="68"/>
  <c r="AH22" i="68"/>
  <c r="AG22" i="68" s="1"/>
  <c r="AF22" i="68"/>
  <c r="AE22" i="68" s="1"/>
  <c r="P22" i="68"/>
  <c r="O22" i="68"/>
  <c r="N22" i="68"/>
  <c r="H22" i="68"/>
  <c r="Q22" i="68" s="1"/>
  <c r="AP21" i="68"/>
  <c r="AO21" i="68" s="1"/>
  <c r="AN21" i="68"/>
  <c r="AM21" i="68" s="1"/>
  <c r="AL21" i="68"/>
  <c r="AJ21" i="68"/>
  <c r="AH21" i="68"/>
  <c r="AG21" i="68" s="1"/>
  <c r="AF21" i="68"/>
  <c r="AE21" i="68" s="1"/>
  <c r="P21" i="68"/>
  <c r="O21" i="68"/>
  <c r="N21" i="68"/>
  <c r="H21" i="68"/>
  <c r="Q21" i="68" s="1"/>
  <c r="AP20" i="68"/>
  <c r="AO20" i="68" s="1"/>
  <c r="AN20" i="68"/>
  <c r="AM20" i="68" s="1"/>
  <c r="AL20" i="68"/>
  <c r="AK20" i="68" s="1"/>
  <c r="AJ20" i="68"/>
  <c r="AI20" i="68" s="1"/>
  <c r="AH20" i="68"/>
  <c r="AG20" i="68" s="1"/>
  <c r="AF20" i="68"/>
  <c r="AE20" i="68" s="1"/>
  <c r="R20" i="68"/>
  <c r="I25" i="68" s="1"/>
  <c r="AP19" i="68"/>
  <c r="AO19" i="68" s="1"/>
  <c r="AN19" i="68"/>
  <c r="AM19" i="68" s="1"/>
  <c r="AL19" i="68"/>
  <c r="AK19" i="68" s="1"/>
  <c r="AJ19" i="68"/>
  <c r="AI19" i="68" s="1"/>
  <c r="AH19" i="68"/>
  <c r="AG19" i="68" s="1"/>
  <c r="AF19" i="68"/>
  <c r="AE19" i="68" s="1"/>
  <c r="AP18" i="68"/>
  <c r="AO18" i="68" s="1"/>
  <c r="AN18" i="68"/>
  <c r="AM18" i="68" s="1"/>
  <c r="AL18" i="68"/>
  <c r="AK18" i="68" s="1"/>
  <c r="AJ18" i="68"/>
  <c r="AI18" i="68" s="1"/>
  <c r="AH18" i="68"/>
  <c r="AG18" i="68" s="1"/>
  <c r="AF18" i="68"/>
  <c r="AE18" i="68" s="1"/>
  <c r="P18" i="68"/>
  <c r="O18" i="68"/>
  <c r="N18" i="68"/>
  <c r="H18" i="68"/>
  <c r="Q18" i="68" s="1"/>
  <c r="AP17" i="68"/>
  <c r="AO17" i="68" s="1"/>
  <c r="AN17" i="68"/>
  <c r="AM17" i="68" s="1"/>
  <c r="AL17" i="68"/>
  <c r="AK17" i="68" s="1"/>
  <c r="AJ17" i="68"/>
  <c r="AI17" i="68" s="1"/>
  <c r="AH17" i="68"/>
  <c r="AG17" i="68" s="1"/>
  <c r="AF17" i="68"/>
  <c r="AE17" i="68" s="1"/>
  <c r="P17" i="68"/>
  <c r="O17" i="68"/>
  <c r="N17" i="68"/>
  <c r="H17" i="68"/>
  <c r="Q17" i="68" s="1"/>
  <c r="AP16" i="68"/>
  <c r="AO16" i="68" s="1"/>
  <c r="AN16" i="68"/>
  <c r="AM16" i="68" s="1"/>
  <c r="AL16" i="68"/>
  <c r="AJ16" i="68"/>
  <c r="AH16" i="68"/>
  <c r="AG16" i="68" s="1"/>
  <c r="AF16" i="68"/>
  <c r="AE16" i="68" s="1"/>
  <c r="P16" i="68"/>
  <c r="O16" i="68"/>
  <c r="N16" i="68"/>
  <c r="H16" i="68"/>
  <c r="Q16" i="68" s="1"/>
  <c r="AP15" i="68"/>
  <c r="AO15" i="68" s="1"/>
  <c r="AN15" i="68"/>
  <c r="AM15" i="68" s="1"/>
  <c r="AL15" i="68"/>
  <c r="AJ15" i="68"/>
  <c r="AH15" i="68"/>
  <c r="AG15" i="68" s="1"/>
  <c r="AF15" i="68"/>
  <c r="AE15" i="68" s="1"/>
  <c r="P15" i="68"/>
  <c r="O15" i="68"/>
  <c r="N15" i="68"/>
  <c r="H15" i="68"/>
  <c r="Q15" i="68" s="1"/>
  <c r="AP14" i="68"/>
  <c r="AO14" i="68" s="1"/>
  <c r="AN14" i="68"/>
  <c r="AL14" i="68"/>
  <c r="AK14" i="68" s="1"/>
  <c r="AJ14" i="68"/>
  <c r="AH14" i="68"/>
  <c r="AG14" i="68" s="1"/>
  <c r="AF14" i="68"/>
  <c r="AE14" i="68" s="1"/>
  <c r="P14" i="68"/>
  <c r="O14" i="68"/>
  <c r="N14" i="68"/>
  <c r="H14" i="68"/>
  <c r="Q14" i="68" s="1"/>
  <c r="AP13" i="68"/>
  <c r="AO13" i="68" s="1"/>
  <c r="AN13" i="68"/>
  <c r="AM13" i="68" s="1"/>
  <c r="AL13" i="68"/>
  <c r="AK13" i="68" s="1"/>
  <c r="AJ13" i="68"/>
  <c r="AI13" i="68" s="1"/>
  <c r="AH13" i="68"/>
  <c r="AG13" i="68" s="1"/>
  <c r="AF13" i="68"/>
  <c r="AE13" i="68" s="1"/>
  <c r="R13" i="68"/>
  <c r="AP12" i="68"/>
  <c r="AO12" i="68" s="1"/>
  <c r="AN12" i="68"/>
  <c r="AM12" i="68" s="1"/>
  <c r="AL12" i="68"/>
  <c r="AK12" i="68" s="1"/>
  <c r="AJ12" i="68"/>
  <c r="AI12" i="68" s="1"/>
  <c r="AH12" i="68"/>
  <c r="AG12" i="68" s="1"/>
  <c r="AF12" i="68"/>
  <c r="AE12" i="68" s="1"/>
  <c r="AP11" i="68"/>
  <c r="AO11" i="68" s="1"/>
  <c r="AN11" i="68"/>
  <c r="AM11" i="68" s="1"/>
  <c r="AL11" i="68"/>
  <c r="AK11" i="68" s="1"/>
  <c r="AJ11" i="68"/>
  <c r="AI11" i="68" s="1"/>
  <c r="AH11" i="68"/>
  <c r="AG11" i="68" s="1"/>
  <c r="AF11" i="68"/>
  <c r="AE11" i="68" s="1"/>
  <c r="P11" i="68"/>
  <c r="O11" i="68"/>
  <c r="N11" i="68"/>
  <c r="H11" i="68"/>
  <c r="Q11" i="68" s="1"/>
  <c r="AP10" i="68"/>
  <c r="AO10" i="68" s="1"/>
  <c r="AN10" i="68"/>
  <c r="AM10" i="68" s="1"/>
  <c r="AL10" i="68"/>
  <c r="AK10" i="68" s="1"/>
  <c r="AJ10" i="68"/>
  <c r="AI10" i="68" s="1"/>
  <c r="AH10" i="68"/>
  <c r="AG10" i="68" s="1"/>
  <c r="AF10" i="68"/>
  <c r="AE10" i="68" s="1"/>
  <c r="P10" i="68"/>
  <c r="O10" i="68"/>
  <c r="N10" i="68"/>
  <c r="H10" i="68"/>
  <c r="Q10" i="68" s="1"/>
  <c r="AP9" i="68"/>
  <c r="AN9" i="68"/>
  <c r="AL9" i="68"/>
  <c r="AK9" i="68" s="1"/>
  <c r="AJ9" i="68"/>
  <c r="AH9" i="68"/>
  <c r="AG9" i="68" s="1"/>
  <c r="AF9" i="68"/>
  <c r="AE9" i="68" s="1"/>
  <c r="P9" i="68"/>
  <c r="O9" i="68"/>
  <c r="N9" i="68"/>
  <c r="H9" i="68"/>
  <c r="Q9" i="68" s="1"/>
  <c r="AP8" i="68"/>
  <c r="AO8" i="68" s="1"/>
  <c r="AN8" i="68"/>
  <c r="AM8" i="68" s="1"/>
  <c r="AL8" i="68"/>
  <c r="AJ8" i="68"/>
  <c r="AH8" i="68"/>
  <c r="AG8" i="68" s="1"/>
  <c r="AF8" i="68"/>
  <c r="AE8" i="68" s="1"/>
  <c r="P8" i="68"/>
  <c r="O8" i="68"/>
  <c r="N8" i="68"/>
  <c r="H8" i="68"/>
  <c r="Q8" i="68" s="1"/>
  <c r="AP7" i="68"/>
  <c r="AO7" i="68" s="1"/>
  <c r="AN7" i="68"/>
  <c r="AM7" i="68" s="1"/>
  <c r="AL7" i="68"/>
  <c r="AK7" i="68" s="1"/>
  <c r="AJ7" i="68"/>
  <c r="AI7" i="68" s="1"/>
  <c r="AH7" i="68"/>
  <c r="AG7" i="68" s="1"/>
  <c r="AF7" i="68"/>
  <c r="AE7" i="68" s="1"/>
  <c r="P7" i="68"/>
  <c r="O7" i="68"/>
  <c r="N7" i="68"/>
  <c r="H7" i="68"/>
  <c r="Q7" i="68" s="1"/>
  <c r="R6" i="68"/>
  <c r="I11" i="68" s="1"/>
  <c r="AD13" i="68" l="1"/>
  <c r="AD27" i="68"/>
  <c r="AD31" i="68"/>
  <c r="AD17" i="68"/>
  <c r="AD32" i="68"/>
  <c r="AD18" i="68"/>
  <c r="I21" i="71"/>
  <c r="AD25" i="68"/>
  <c r="AD25" i="69"/>
  <c r="AD24" i="68"/>
  <c r="AD20" i="69"/>
  <c r="AD21" i="69"/>
  <c r="AD22" i="69"/>
  <c r="AD23" i="69"/>
  <c r="I7" i="71"/>
  <c r="I8" i="71"/>
  <c r="I10" i="71"/>
  <c r="I9" i="71"/>
  <c r="I23" i="71"/>
  <c r="I24" i="71"/>
  <c r="I30" i="71"/>
  <c r="I28" i="71"/>
  <c r="I31" i="71"/>
  <c r="I22" i="71"/>
  <c r="I29" i="71"/>
  <c r="AD40" i="68"/>
  <c r="AD33" i="69"/>
  <c r="AD12" i="68"/>
  <c r="AD26" i="68"/>
  <c r="AD33" i="68"/>
  <c r="AD42" i="68"/>
  <c r="AD43" i="68"/>
  <c r="AD8" i="69"/>
  <c r="AD10" i="69"/>
  <c r="AD24" i="69"/>
  <c r="AD34" i="69"/>
  <c r="M22" i="70"/>
  <c r="S22" i="70" s="1"/>
  <c r="M28" i="70"/>
  <c r="S28" i="70" s="1"/>
  <c r="M32" i="70"/>
  <c r="S32" i="70" s="1"/>
  <c r="M30" i="70"/>
  <c r="S30" i="70" s="1"/>
  <c r="M42" i="70"/>
  <c r="S42" i="70" s="1"/>
  <c r="M46" i="70"/>
  <c r="S46" i="70" s="1"/>
  <c r="M43" i="70"/>
  <c r="S43" i="70" s="1"/>
  <c r="M21" i="70"/>
  <c r="S21" i="70" s="1"/>
  <c r="M25" i="70"/>
  <c r="S25" i="70" s="1"/>
  <c r="M24" i="70"/>
  <c r="S24" i="70" s="1"/>
  <c r="M23" i="70"/>
  <c r="S23" i="70" s="1"/>
  <c r="I23" i="70" s="1"/>
  <c r="M29" i="70"/>
  <c r="S29" i="70" s="1"/>
  <c r="M31" i="70"/>
  <c r="S31" i="70" s="1"/>
  <c r="M44" i="70"/>
  <c r="S44" i="70" s="1"/>
  <c r="M45" i="70"/>
  <c r="S45" i="70" s="1"/>
  <c r="I45" i="70" s="1"/>
  <c r="M14" i="70"/>
  <c r="S14" i="70" s="1"/>
  <c r="M16" i="70"/>
  <c r="S16" i="70" s="1"/>
  <c r="M18" i="70"/>
  <c r="S18" i="70" s="1"/>
  <c r="K38" i="70"/>
  <c r="R38" i="70" s="1"/>
  <c r="M9" i="70"/>
  <c r="S9" i="70" s="1"/>
  <c r="M15" i="70"/>
  <c r="S15" i="70" s="1"/>
  <c r="M17" i="70"/>
  <c r="S17" i="70" s="1"/>
  <c r="K39" i="70"/>
  <c r="R39" i="70" s="1"/>
  <c r="M7" i="70"/>
  <c r="S7" i="70" s="1"/>
  <c r="M11" i="70"/>
  <c r="S11" i="70" s="1"/>
  <c r="K36" i="70"/>
  <c r="R36" i="70" s="1"/>
  <c r="M8" i="70"/>
  <c r="S8" i="70" s="1"/>
  <c r="I8" i="70" s="1"/>
  <c r="M10" i="70"/>
  <c r="S10" i="70" s="1"/>
  <c r="K35" i="70"/>
  <c r="R35" i="70" s="1"/>
  <c r="AD11" i="68"/>
  <c r="AD20" i="68"/>
  <c r="L21" i="68"/>
  <c r="AD23" i="68"/>
  <c r="AD34" i="68"/>
  <c r="L14" i="69"/>
  <c r="J14" i="69"/>
  <c r="L15" i="69"/>
  <c r="J15" i="69"/>
  <c r="L16" i="69"/>
  <c r="J16" i="69"/>
  <c r="L17" i="69"/>
  <c r="J17" i="69"/>
  <c r="L18" i="69"/>
  <c r="J18" i="69"/>
  <c r="AD19" i="69"/>
  <c r="AD7" i="69"/>
  <c r="AD9" i="69"/>
  <c r="AD11" i="69"/>
  <c r="I10" i="69"/>
  <c r="I11" i="69"/>
  <c r="J7" i="69"/>
  <c r="T7" i="69" s="1"/>
  <c r="L7" i="69"/>
  <c r="J8" i="69"/>
  <c r="T8" i="69" s="1"/>
  <c r="L8" i="69"/>
  <c r="J9" i="69"/>
  <c r="T9" i="69" s="1"/>
  <c r="L9" i="69"/>
  <c r="J10" i="69"/>
  <c r="T10" i="69" s="1"/>
  <c r="L10" i="69"/>
  <c r="J11" i="69"/>
  <c r="T11" i="69" s="1"/>
  <c r="K11" i="69" s="1"/>
  <c r="R11" i="69" s="1"/>
  <c r="L11" i="69"/>
  <c r="I14" i="69"/>
  <c r="I15" i="69"/>
  <c r="I16" i="69"/>
  <c r="I17" i="69"/>
  <c r="I18" i="69"/>
  <c r="J21" i="69"/>
  <c r="T21" i="69" s="1"/>
  <c r="L21" i="69"/>
  <c r="J22" i="69"/>
  <c r="T22" i="69" s="1"/>
  <c r="L22" i="69"/>
  <c r="J23" i="69"/>
  <c r="T23" i="69" s="1"/>
  <c r="L23" i="69"/>
  <c r="J24" i="69"/>
  <c r="T24" i="69" s="1"/>
  <c r="L24" i="69"/>
  <c r="I32" i="69"/>
  <c r="I31" i="69"/>
  <c r="I30" i="69"/>
  <c r="I29" i="69"/>
  <c r="I28" i="69"/>
  <c r="J28" i="69"/>
  <c r="T28" i="69" s="1"/>
  <c r="J29" i="69"/>
  <c r="J30" i="69"/>
  <c r="T30" i="69" s="1"/>
  <c r="J31" i="69"/>
  <c r="J32" i="69"/>
  <c r="T32" i="69" s="1"/>
  <c r="AD35" i="69"/>
  <c r="AD36" i="69"/>
  <c r="AD37" i="69"/>
  <c r="AD38" i="69"/>
  <c r="AD39" i="69"/>
  <c r="I7" i="69"/>
  <c r="I8" i="69"/>
  <c r="L25" i="69"/>
  <c r="J25" i="69"/>
  <c r="T25" i="69" s="1"/>
  <c r="K25" i="69" s="1"/>
  <c r="L28" i="69"/>
  <c r="L29" i="69"/>
  <c r="L30" i="69"/>
  <c r="L31" i="69"/>
  <c r="L32" i="69"/>
  <c r="L42" i="69"/>
  <c r="J42" i="69"/>
  <c r="T42" i="69" s="1"/>
  <c r="L43" i="69"/>
  <c r="J43" i="69"/>
  <c r="T43" i="69" s="1"/>
  <c r="L44" i="69"/>
  <c r="J44" i="69"/>
  <c r="T44" i="69" s="1"/>
  <c r="L45" i="69"/>
  <c r="J45" i="69"/>
  <c r="T45" i="69" s="1"/>
  <c r="J35" i="69"/>
  <c r="T35" i="69" s="1"/>
  <c r="L35" i="69"/>
  <c r="J36" i="69"/>
  <c r="T36" i="69" s="1"/>
  <c r="L36" i="69"/>
  <c r="J37" i="69"/>
  <c r="T37" i="69" s="1"/>
  <c r="L37" i="69"/>
  <c r="J38" i="69"/>
  <c r="T38" i="69" s="1"/>
  <c r="L38" i="69"/>
  <c r="J39" i="69"/>
  <c r="T39" i="69" s="1"/>
  <c r="K39" i="69" s="1"/>
  <c r="R39" i="69" s="1"/>
  <c r="L39" i="69"/>
  <c r="I42" i="69"/>
  <c r="I43" i="69"/>
  <c r="I44" i="69"/>
  <c r="I45" i="69"/>
  <c r="J46" i="69"/>
  <c r="T46" i="69" s="1"/>
  <c r="K46" i="69" s="1"/>
  <c r="R46" i="69" s="1"/>
  <c r="L46" i="69"/>
  <c r="J117" i="69"/>
  <c r="I24" i="68"/>
  <c r="I38" i="68"/>
  <c r="AD7" i="68"/>
  <c r="AD10" i="68"/>
  <c r="L14" i="68"/>
  <c r="J14" i="68"/>
  <c r="L15" i="68"/>
  <c r="J15" i="68"/>
  <c r="T15" i="68" s="1"/>
  <c r="L16" i="68"/>
  <c r="J16" i="68"/>
  <c r="L17" i="68"/>
  <c r="J17" i="68"/>
  <c r="L18" i="68"/>
  <c r="J18" i="68"/>
  <c r="AD19" i="68"/>
  <c r="I10" i="68"/>
  <c r="J7" i="68"/>
  <c r="T7" i="68" s="1"/>
  <c r="L7" i="68"/>
  <c r="J8" i="68"/>
  <c r="T8" i="68" s="1"/>
  <c r="L8" i="68"/>
  <c r="J9" i="68"/>
  <c r="T9" i="68" s="1"/>
  <c r="L9" i="68"/>
  <c r="J10" i="68"/>
  <c r="T10" i="68" s="1"/>
  <c r="L10" i="68"/>
  <c r="J11" i="68"/>
  <c r="T11" i="68" s="1"/>
  <c r="K11" i="68" s="1"/>
  <c r="R11" i="68" s="1"/>
  <c r="L11" i="68"/>
  <c r="I17" i="68"/>
  <c r="I18" i="68"/>
  <c r="J21" i="68"/>
  <c r="T21" i="68" s="1"/>
  <c r="I32" i="68"/>
  <c r="I31" i="68"/>
  <c r="J28" i="68"/>
  <c r="J29" i="68"/>
  <c r="J30" i="68"/>
  <c r="J31" i="68"/>
  <c r="J32" i="68"/>
  <c r="AD38" i="68"/>
  <c r="AD39" i="68"/>
  <c r="L22" i="68"/>
  <c r="J22" i="68"/>
  <c r="L23" i="68"/>
  <c r="J23" i="68"/>
  <c r="L24" i="68"/>
  <c r="J24" i="68"/>
  <c r="L25" i="68"/>
  <c r="J25" i="68"/>
  <c r="L28" i="68"/>
  <c r="L29" i="68"/>
  <c r="L30" i="68"/>
  <c r="L31" i="68"/>
  <c r="L32" i="68"/>
  <c r="L42" i="68"/>
  <c r="J42" i="68"/>
  <c r="T42" i="68" s="1"/>
  <c r="L43" i="68"/>
  <c r="J43" i="68"/>
  <c r="T43" i="68" s="1"/>
  <c r="L44" i="68"/>
  <c r="J44" i="68"/>
  <c r="T44" i="68" s="1"/>
  <c r="L45" i="68"/>
  <c r="J45" i="68"/>
  <c r="T45" i="68" s="1"/>
  <c r="J35" i="68"/>
  <c r="T35" i="68" s="1"/>
  <c r="L35" i="68"/>
  <c r="J36" i="68"/>
  <c r="T36" i="68" s="1"/>
  <c r="L36" i="68"/>
  <c r="J37" i="68"/>
  <c r="T37" i="68" s="1"/>
  <c r="L37" i="68"/>
  <c r="J38" i="68"/>
  <c r="T38" i="68" s="1"/>
  <c r="L38" i="68"/>
  <c r="J39" i="68"/>
  <c r="T39" i="68" s="1"/>
  <c r="K39" i="68" s="1"/>
  <c r="L39" i="68"/>
  <c r="I45" i="68"/>
  <c r="L46" i="68"/>
  <c r="J46" i="68"/>
  <c r="AG7" i="16"/>
  <c r="C167" i="67"/>
  <c r="E167" i="67" s="1"/>
  <c r="C165" i="67"/>
  <c r="E165" i="67" s="1"/>
  <c r="C163" i="67"/>
  <c r="C161" i="67"/>
  <c r="C154" i="67"/>
  <c r="C152" i="67"/>
  <c r="C153" i="67" s="1"/>
  <c r="C150" i="67"/>
  <c r="C149" i="67"/>
  <c r="C148" i="67"/>
  <c r="C313" i="67"/>
  <c r="C312" i="67"/>
  <c r="C311" i="67"/>
  <c r="C310" i="67"/>
  <c r="C309" i="67"/>
  <c r="C308" i="67"/>
  <c r="C307" i="67"/>
  <c r="C306" i="67"/>
  <c r="C305" i="67"/>
  <c r="C304" i="67"/>
  <c r="C303" i="67"/>
  <c r="C302" i="67"/>
  <c r="C301" i="67"/>
  <c r="C300" i="67"/>
  <c r="AH60" i="67"/>
  <c r="AH59" i="67"/>
  <c r="AH58" i="67"/>
  <c r="AH57" i="67"/>
  <c r="AH56" i="67"/>
  <c r="AH55" i="67"/>
  <c r="AH54" i="67"/>
  <c r="AH53" i="67"/>
  <c r="AH52" i="67"/>
  <c r="AH51" i="67"/>
  <c r="AH50" i="67"/>
  <c r="AH49" i="67"/>
  <c r="AH48" i="67"/>
  <c r="AH47" i="67"/>
  <c r="AH46" i="67"/>
  <c r="AH45" i="67"/>
  <c r="AH44" i="67"/>
  <c r="AH43" i="67"/>
  <c r="AH42" i="67"/>
  <c r="AH41" i="67"/>
  <c r="AH40" i="67"/>
  <c r="AH39" i="67"/>
  <c r="AH38" i="67"/>
  <c r="AH37" i="67"/>
  <c r="AH36" i="67"/>
  <c r="AH35" i="67"/>
  <c r="AH34" i="67"/>
  <c r="AH33" i="67"/>
  <c r="AH32" i="67"/>
  <c r="P32" i="67"/>
  <c r="O32" i="67"/>
  <c r="N32" i="67"/>
  <c r="H32" i="67"/>
  <c r="Q32" i="67" s="1"/>
  <c r="AP31" i="67"/>
  <c r="AO31" i="67" s="1"/>
  <c r="AN31" i="67"/>
  <c r="AM31" i="67" s="1"/>
  <c r="AL31" i="67"/>
  <c r="AK31" i="67" s="1"/>
  <c r="AJ31" i="67"/>
  <c r="AI31" i="67" s="1"/>
  <c r="AH31" i="67"/>
  <c r="AF31" i="67"/>
  <c r="P31" i="67"/>
  <c r="O31" i="67"/>
  <c r="N31" i="67"/>
  <c r="H31" i="67"/>
  <c r="Q31" i="67" s="1"/>
  <c r="AP30" i="67"/>
  <c r="AO30" i="67" s="1"/>
  <c r="AN30" i="67"/>
  <c r="AM30" i="67" s="1"/>
  <c r="AL30" i="67"/>
  <c r="AK30" i="67" s="1"/>
  <c r="AJ30" i="67"/>
  <c r="AI30" i="67" s="1"/>
  <c r="AH30" i="67"/>
  <c r="AF30" i="67"/>
  <c r="P30" i="67"/>
  <c r="O30" i="67"/>
  <c r="N30" i="67"/>
  <c r="H30" i="67"/>
  <c r="Q30" i="67" s="1"/>
  <c r="AP29" i="67"/>
  <c r="AO29" i="67" s="1"/>
  <c r="AN29" i="67"/>
  <c r="AM29" i="67" s="1"/>
  <c r="AL29" i="67"/>
  <c r="AK29" i="67" s="1"/>
  <c r="AJ29" i="67"/>
  <c r="AI29" i="67" s="1"/>
  <c r="AH29" i="67"/>
  <c r="AF29" i="67"/>
  <c r="P29" i="67"/>
  <c r="O29" i="67"/>
  <c r="N29" i="67"/>
  <c r="H29" i="67"/>
  <c r="Q29" i="67" s="1"/>
  <c r="AP28" i="67"/>
  <c r="AO28" i="67" s="1"/>
  <c r="AN28" i="67"/>
  <c r="AM28" i="67" s="1"/>
  <c r="AL28" i="67"/>
  <c r="AK28" i="67" s="1"/>
  <c r="AJ28" i="67"/>
  <c r="AI28" i="67" s="1"/>
  <c r="AH28" i="67"/>
  <c r="AF28" i="67"/>
  <c r="P28" i="67"/>
  <c r="O28" i="67"/>
  <c r="N28" i="67"/>
  <c r="H28" i="67"/>
  <c r="Q28" i="67" s="1"/>
  <c r="AP27" i="67"/>
  <c r="AO27" i="67" s="1"/>
  <c r="AN27" i="67"/>
  <c r="AM27" i="67" s="1"/>
  <c r="AL27" i="67"/>
  <c r="AK27" i="67" s="1"/>
  <c r="AJ27" i="67"/>
  <c r="AI27" i="67" s="1"/>
  <c r="AH27" i="67"/>
  <c r="AG27" i="67" s="1"/>
  <c r="AF27" i="67"/>
  <c r="AE27" i="67" s="1"/>
  <c r="R27" i="67"/>
  <c r="I32" i="67" s="1"/>
  <c r="AP26" i="67"/>
  <c r="AO26" i="67" s="1"/>
  <c r="AN26" i="67"/>
  <c r="AM26" i="67" s="1"/>
  <c r="AL26" i="67"/>
  <c r="AK26" i="67" s="1"/>
  <c r="AJ26" i="67"/>
  <c r="AI26" i="67" s="1"/>
  <c r="AH26" i="67"/>
  <c r="AG26" i="67" s="1"/>
  <c r="AF26" i="67"/>
  <c r="AE26" i="67" s="1"/>
  <c r="AP25" i="67"/>
  <c r="AO25" i="67" s="1"/>
  <c r="AN25" i="67"/>
  <c r="AM25" i="67" s="1"/>
  <c r="AL25" i="67"/>
  <c r="AK25" i="67" s="1"/>
  <c r="AJ25" i="67"/>
  <c r="AI25" i="67" s="1"/>
  <c r="AH25" i="67"/>
  <c r="AG25" i="67" s="1"/>
  <c r="AF25" i="67"/>
  <c r="AE25" i="67" s="1"/>
  <c r="P25" i="67"/>
  <c r="O25" i="67"/>
  <c r="N25" i="67"/>
  <c r="H25" i="67"/>
  <c r="Q25" i="67" s="1"/>
  <c r="AP24" i="67"/>
  <c r="AO24" i="67" s="1"/>
  <c r="AN24" i="67"/>
  <c r="AM24" i="67" s="1"/>
  <c r="AL24" i="67"/>
  <c r="AK24" i="67" s="1"/>
  <c r="AJ24" i="67"/>
  <c r="AI24" i="67" s="1"/>
  <c r="AH24" i="67"/>
  <c r="AF24" i="67"/>
  <c r="P24" i="67"/>
  <c r="O24" i="67"/>
  <c r="N24" i="67"/>
  <c r="H24" i="67"/>
  <c r="Q24" i="67" s="1"/>
  <c r="AP23" i="67"/>
  <c r="AO23" i="67" s="1"/>
  <c r="AN23" i="67"/>
  <c r="AM23" i="67" s="1"/>
  <c r="AL23" i="67"/>
  <c r="AK23" i="67" s="1"/>
  <c r="AJ23" i="67"/>
  <c r="AI23" i="67" s="1"/>
  <c r="AH23" i="67"/>
  <c r="AF23" i="67"/>
  <c r="P23" i="67"/>
  <c r="O23" i="67"/>
  <c r="N23" i="67"/>
  <c r="H23" i="67"/>
  <c r="Q23" i="67" s="1"/>
  <c r="AP22" i="67"/>
  <c r="AO22" i="67" s="1"/>
  <c r="AN22" i="67"/>
  <c r="AM22" i="67" s="1"/>
  <c r="AL22" i="67"/>
  <c r="AK22" i="67" s="1"/>
  <c r="AJ22" i="67"/>
  <c r="AI22" i="67" s="1"/>
  <c r="AH22" i="67"/>
  <c r="AF22" i="67"/>
  <c r="P22" i="67"/>
  <c r="O22" i="67"/>
  <c r="N22" i="67"/>
  <c r="H22" i="67"/>
  <c r="Q22" i="67" s="1"/>
  <c r="AP21" i="67"/>
  <c r="AO21" i="67" s="1"/>
  <c r="AN21" i="67"/>
  <c r="AM21" i="67" s="1"/>
  <c r="AL21" i="67"/>
  <c r="AK21" i="67" s="1"/>
  <c r="AJ21" i="67"/>
  <c r="AI21" i="67" s="1"/>
  <c r="AH21" i="67"/>
  <c r="AF21" i="67"/>
  <c r="P21" i="67"/>
  <c r="O21" i="67"/>
  <c r="N21" i="67"/>
  <c r="H21" i="67"/>
  <c r="Q21" i="67" s="1"/>
  <c r="AP20" i="67"/>
  <c r="AO20" i="67" s="1"/>
  <c r="AN20" i="67"/>
  <c r="AM20" i="67" s="1"/>
  <c r="AL20" i="67"/>
  <c r="AK20" i="67" s="1"/>
  <c r="AJ20" i="67"/>
  <c r="AI20" i="67" s="1"/>
  <c r="AH20" i="67"/>
  <c r="AG20" i="67" s="1"/>
  <c r="AF20" i="67"/>
  <c r="AE20" i="67" s="1"/>
  <c r="R20" i="67"/>
  <c r="I25" i="67" s="1"/>
  <c r="AP19" i="67"/>
  <c r="AO19" i="67" s="1"/>
  <c r="AN19" i="67"/>
  <c r="AM19" i="67" s="1"/>
  <c r="AL19" i="67"/>
  <c r="AK19" i="67" s="1"/>
  <c r="AJ19" i="67"/>
  <c r="AI19" i="67" s="1"/>
  <c r="AH19" i="67"/>
  <c r="AG19" i="67" s="1"/>
  <c r="AF19" i="67"/>
  <c r="AE19" i="67" s="1"/>
  <c r="AP18" i="67"/>
  <c r="AO18" i="67" s="1"/>
  <c r="AN18" i="67"/>
  <c r="AM18" i="67" s="1"/>
  <c r="AL18" i="67"/>
  <c r="AK18" i="67" s="1"/>
  <c r="AJ18" i="67"/>
  <c r="AI18" i="67" s="1"/>
  <c r="AH18" i="67"/>
  <c r="AG18" i="67" s="1"/>
  <c r="AF18" i="67"/>
  <c r="AE18" i="67" s="1"/>
  <c r="P18" i="67"/>
  <c r="O18" i="67"/>
  <c r="N18" i="67"/>
  <c r="H18" i="67"/>
  <c r="Q18" i="67" s="1"/>
  <c r="AP17" i="67"/>
  <c r="AO17" i="67" s="1"/>
  <c r="AN17" i="67"/>
  <c r="AM17" i="67" s="1"/>
  <c r="AL17" i="67"/>
  <c r="AK17" i="67" s="1"/>
  <c r="AJ17" i="67"/>
  <c r="AI17" i="67" s="1"/>
  <c r="AH17" i="67"/>
  <c r="AG17" i="67" s="1"/>
  <c r="AF17" i="67"/>
  <c r="AE17" i="67" s="1"/>
  <c r="P17" i="67"/>
  <c r="O17" i="67"/>
  <c r="N17" i="67"/>
  <c r="H17" i="67"/>
  <c r="Q17" i="67" s="1"/>
  <c r="AP16" i="67"/>
  <c r="AO16" i="67" s="1"/>
  <c r="AN16" i="67"/>
  <c r="AM16" i="67" s="1"/>
  <c r="AL16" i="67"/>
  <c r="AK16" i="67" s="1"/>
  <c r="AJ16" i="67"/>
  <c r="AI16" i="67" s="1"/>
  <c r="AH16" i="67"/>
  <c r="AF16" i="67"/>
  <c r="P16" i="67"/>
  <c r="O16" i="67"/>
  <c r="N16" i="67"/>
  <c r="H16" i="67"/>
  <c r="Q16" i="67" s="1"/>
  <c r="AP15" i="67"/>
  <c r="AO15" i="67" s="1"/>
  <c r="AN15" i="67"/>
  <c r="AM15" i="67" s="1"/>
  <c r="AL15" i="67"/>
  <c r="AK15" i="67" s="1"/>
  <c r="AJ15" i="67"/>
  <c r="AI15" i="67" s="1"/>
  <c r="AH15" i="67"/>
  <c r="AF15" i="67"/>
  <c r="P15" i="67"/>
  <c r="O15" i="67"/>
  <c r="N15" i="67"/>
  <c r="H15" i="67"/>
  <c r="Q15" i="67" s="1"/>
  <c r="AP14" i="67"/>
  <c r="AO14" i="67" s="1"/>
  <c r="AN14" i="67"/>
  <c r="AM14" i="67" s="1"/>
  <c r="AL14" i="67"/>
  <c r="AK14" i="67" s="1"/>
  <c r="AJ14" i="67"/>
  <c r="AI14" i="67" s="1"/>
  <c r="AH14" i="67"/>
  <c r="AF14" i="67"/>
  <c r="P14" i="67"/>
  <c r="O14" i="67"/>
  <c r="N14" i="67"/>
  <c r="H14" i="67"/>
  <c r="Q14" i="67" s="1"/>
  <c r="AP13" i="67"/>
  <c r="AO13" i="67" s="1"/>
  <c r="AN13" i="67"/>
  <c r="AM13" i="67" s="1"/>
  <c r="AL13" i="67"/>
  <c r="AK13" i="67" s="1"/>
  <c r="AJ13" i="67"/>
  <c r="AI13" i="67" s="1"/>
  <c r="AH13" i="67"/>
  <c r="AG13" i="67" s="1"/>
  <c r="AF13" i="67"/>
  <c r="AE13" i="67" s="1"/>
  <c r="R13" i="67"/>
  <c r="AP12" i="67"/>
  <c r="AO12" i="67" s="1"/>
  <c r="AN12" i="67"/>
  <c r="AM12" i="67" s="1"/>
  <c r="AL12" i="67"/>
  <c r="AK12" i="67" s="1"/>
  <c r="AJ12" i="67"/>
  <c r="AI12" i="67" s="1"/>
  <c r="AH12" i="67"/>
  <c r="AG12" i="67" s="1"/>
  <c r="AF12" i="67"/>
  <c r="AE12" i="67" s="1"/>
  <c r="AP11" i="67"/>
  <c r="AO11" i="67" s="1"/>
  <c r="AN11" i="67"/>
  <c r="AM11" i="67" s="1"/>
  <c r="AL11" i="67"/>
  <c r="AK11" i="67" s="1"/>
  <c r="AJ11" i="67"/>
  <c r="AI11" i="67" s="1"/>
  <c r="AH11" i="67"/>
  <c r="AG11" i="67" s="1"/>
  <c r="AF11" i="67"/>
  <c r="AE11" i="67" s="1"/>
  <c r="P11" i="67"/>
  <c r="O11" i="67"/>
  <c r="N11" i="67"/>
  <c r="H11" i="67"/>
  <c r="Q11" i="67" s="1"/>
  <c r="AP10" i="67"/>
  <c r="AO10" i="67" s="1"/>
  <c r="AN10" i="67"/>
  <c r="AM10" i="67" s="1"/>
  <c r="AL10" i="67"/>
  <c r="AK10" i="67" s="1"/>
  <c r="AJ10" i="67"/>
  <c r="AI10" i="67" s="1"/>
  <c r="AH10" i="67"/>
  <c r="AG10" i="67" s="1"/>
  <c r="AF10" i="67"/>
  <c r="AE10" i="67" s="1"/>
  <c r="P10" i="67"/>
  <c r="O10" i="67"/>
  <c r="N10" i="67"/>
  <c r="H10" i="67"/>
  <c r="Q10" i="67" s="1"/>
  <c r="AP9" i="67"/>
  <c r="AO9" i="67" s="1"/>
  <c r="AN9" i="67"/>
  <c r="AM9" i="67" s="1"/>
  <c r="AL9" i="67"/>
  <c r="AK9" i="67" s="1"/>
  <c r="AJ9" i="67"/>
  <c r="AI9" i="67" s="1"/>
  <c r="AH9" i="67"/>
  <c r="AF9" i="67"/>
  <c r="P9" i="67"/>
  <c r="O9" i="67"/>
  <c r="N9" i="67"/>
  <c r="H9" i="67"/>
  <c r="Q9" i="67" s="1"/>
  <c r="AP8" i="67"/>
  <c r="AO8" i="67" s="1"/>
  <c r="AN8" i="67"/>
  <c r="AM8" i="67" s="1"/>
  <c r="AL8" i="67"/>
  <c r="AK8" i="67" s="1"/>
  <c r="AJ8" i="67"/>
  <c r="AI8" i="67" s="1"/>
  <c r="AH8" i="67"/>
  <c r="AF8" i="67"/>
  <c r="P8" i="67"/>
  <c r="O8" i="67"/>
  <c r="N8" i="67"/>
  <c r="H8" i="67"/>
  <c r="Q8" i="67" s="1"/>
  <c r="AP7" i="67"/>
  <c r="AO7" i="67" s="1"/>
  <c r="AN7" i="67"/>
  <c r="AM7" i="67" s="1"/>
  <c r="AL7" i="67"/>
  <c r="AK7" i="67" s="1"/>
  <c r="AJ7" i="67"/>
  <c r="AI7" i="67" s="1"/>
  <c r="AH7" i="67"/>
  <c r="AF7" i="67"/>
  <c r="P7" i="67"/>
  <c r="O7" i="67"/>
  <c r="N7" i="67"/>
  <c r="H7" i="67"/>
  <c r="Q7" i="67" s="1"/>
  <c r="R6" i="67"/>
  <c r="I11" i="67" s="1"/>
  <c r="B150" i="71" l="1"/>
  <c r="B146" i="71"/>
  <c r="B142" i="71"/>
  <c r="B116" i="71"/>
  <c r="B114" i="71"/>
  <c r="B112" i="71"/>
  <c r="B110" i="71"/>
  <c r="B106" i="71"/>
  <c r="B102" i="71"/>
  <c r="B154" i="71"/>
  <c r="B152" i="71"/>
  <c r="B148" i="71"/>
  <c r="B144" i="71"/>
  <c r="B140" i="71"/>
  <c r="B108" i="71"/>
  <c r="B104" i="71"/>
  <c r="I17" i="70"/>
  <c r="I29" i="70"/>
  <c r="AD27" i="67"/>
  <c r="I44" i="70"/>
  <c r="I43" i="70"/>
  <c r="I42" i="70"/>
  <c r="I30" i="70"/>
  <c r="I28" i="70"/>
  <c r="I31" i="70"/>
  <c r="I24" i="70"/>
  <c r="I21" i="70"/>
  <c r="I22" i="70"/>
  <c r="I14" i="70"/>
  <c r="I15" i="70"/>
  <c r="I16" i="70"/>
  <c r="I9" i="70"/>
  <c r="I10" i="70"/>
  <c r="I7" i="70"/>
  <c r="M35" i="70"/>
  <c r="S35" i="70" s="1"/>
  <c r="M36" i="70"/>
  <c r="S36" i="70" s="1"/>
  <c r="M39" i="70"/>
  <c r="S39" i="70" s="1"/>
  <c r="M38" i="70"/>
  <c r="S38" i="70" s="1"/>
  <c r="M37" i="70"/>
  <c r="S37" i="70" s="1"/>
  <c r="I37" i="70" s="1"/>
  <c r="K38" i="69"/>
  <c r="R38" i="69" s="1"/>
  <c r="K37" i="69"/>
  <c r="R37" i="69" s="1"/>
  <c r="K36" i="69"/>
  <c r="R36" i="69" s="1"/>
  <c r="K35" i="69"/>
  <c r="R35" i="69" s="1"/>
  <c r="K24" i="69"/>
  <c r="R24" i="69" s="1"/>
  <c r="K23" i="69"/>
  <c r="R23" i="69" s="1"/>
  <c r="K22" i="69"/>
  <c r="R22" i="69" s="1"/>
  <c r="K21" i="69"/>
  <c r="R21" i="69" s="1"/>
  <c r="K45" i="69"/>
  <c r="K44" i="69"/>
  <c r="K43" i="69"/>
  <c r="K42" i="69"/>
  <c r="K10" i="69"/>
  <c r="R10" i="69" s="1"/>
  <c r="K9" i="69"/>
  <c r="R9" i="69" s="1"/>
  <c r="K8" i="69"/>
  <c r="R8" i="69" s="1"/>
  <c r="K7" i="69"/>
  <c r="R7" i="69" s="1"/>
  <c r="R45" i="69"/>
  <c r="R44" i="69"/>
  <c r="R43" i="69"/>
  <c r="R42" i="69"/>
  <c r="R25" i="69"/>
  <c r="T18" i="69"/>
  <c r="T17" i="69"/>
  <c r="T16" i="69"/>
  <c r="T15" i="69"/>
  <c r="T14" i="69"/>
  <c r="K14" i="69" s="1"/>
  <c r="R14" i="69" s="1"/>
  <c r="B301" i="69"/>
  <c r="B300" i="69"/>
  <c r="C210" i="69"/>
  <c r="E210" i="69" s="1"/>
  <c r="C202" i="69"/>
  <c r="C200" i="69"/>
  <c r="E200" i="69" s="1"/>
  <c r="C196" i="69"/>
  <c r="E196" i="69" s="1"/>
  <c r="C206" i="69"/>
  <c r="C204" i="69"/>
  <c r="E204" i="69" s="1"/>
  <c r="B132" i="69"/>
  <c r="C132" i="69" s="1"/>
  <c r="B128" i="69"/>
  <c r="B124" i="69"/>
  <c r="B122" i="69"/>
  <c r="C122" i="69" s="1"/>
  <c r="B118" i="69"/>
  <c r="C118" i="69" s="1"/>
  <c r="B108" i="69"/>
  <c r="B106" i="69"/>
  <c r="C106" i="69" s="1"/>
  <c r="B102" i="69"/>
  <c r="C102" i="69" s="1"/>
  <c r="B126" i="69"/>
  <c r="C126" i="69" s="1"/>
  <c r="B116" i="69"/>
  <c r="C116" i="69" s="1"/>
  <c r="B112" i="69"/>
  <c r="B110" i="69"/>
  <c r="C110" i="69" s="1"/>
  <c r="T31" i="69"/>
  <c r="T29" i="69"/>
  <c r="K29" i="69" s="1"/>
  <c r="R29" i="69" s="1"/>
  <c r="T46" i="68"/>
  <c r="K46" i="68" s="1"/>
  <c r="R46" i="68" s="1"/>
  <c r="K10" i="68"/>
  <c r="R10" i="68" s="1"/>
  <c r="K9" i="68"/>
  <c r="R9" i="68" s="1"/>
  <c r="K8" i="68"/>
  <c r="R8" i="68" s="1"/>
  <c r="K7" i="68"/>
  <c r="R7" i="68" s="1"/>
  <c r="K38" i="68"/>
  <c r="R38" i="68" s="1"/>
  <c r="K37" i="68"/>
  <c r="K36" i="68"/>
  <c r="R36" i="68" s="1"/>
  <c r="K35" i="68"/>
  <c r="R35" i="68" s="1"/>
  <c r="R39" i="68"/>
  <c r="R37" i="68"/>
  <c r="T25" i="68"/>
  <c r="T24" i="68"/>
  <c r="T23" i="68"/>
  <c r="T22" i="68"/>
  <c r="K22" i="68" s="1"/>
  <c r="R22" i="68" s="1"/>
  <c r="T32" i="68"/>
  <c r="T31" i="68"/>
  <c r="T30" i="68"/>
  <c r="T29" i="68"/>
  <c r="T28" i="68"/>
  <c r="T18" i="68"/>
  <c r="T17" i="68"/>
  <c r="T16" i="68"/>
  <c r="T14" i="68"/>
  <c r="K45" i="68"/>
  <c r="R45" i="68" s="1"/>
  <c r="K44" i="68"/>
  <c r="R44" i="68" s="1"/>
  <c r="K43" i="68"/>
  <c r="R43" i="68" s="1"/>
  <c r="K42" i="68"/>
  <c r="R42" i="68" s="1"/>
  <c r="AD26" i="67"/>
  <c r="E169" i="67"/>
  <c r="E162" i="67"/>
  <c r="E171" i="67"/>
  <c r="G171" i="67" s="1"/>
  <c r="E166" i="67"/>
  <c r="G166" i="67" s="1"/>
  <c r="AD20" i="67"/>
  <c r="AD25" i="67"/>
  <c r="AD13" i="67"/>
  <c r="AD17" i="67"/>
  <c r="AD10" i="67"/>
  <c r="AD11" i="67"/>
  <c r="AD19" i="67"/>
  <c r="L24" i="67"/>
  <c r="J24" i="67"/>
  <c r="T24" i="67" s="1"/>
  <c r="L21" i="67"/>
  <c r="J21" i="67"/>
  <c r="L22" i="67"/>
  <c r="J22" i="67"/>
  <c r="L23" i="67"/>
  <c r="J23" i="67"/>
  <c r="L25" i="67"/>
  <c r="J25" i="67"/>
  <c r="J7" i="67"/>
  <c r="L7" i="67"/>
  <c r="L8" i="67"/>
  <c r="J8" i="67"/>
  <c r="L9" i="67"/>
  <c r="J9" i="67"/>
  <c r="T9" i="67" s="1"/>
  <c r="L10" i="67"/>
  <c r="J10" i="67"/>
  <c r="L11" i="67"/>
  <c r="J11" i="67"/>
  <c r="T11" i="67" s="1"/>
  <c r="AD12" i="67"/>
  <c r="AD18" i="67"/>
  <c r="I18" i="67"/>
  <c r="I10" i="67"/>
  <c r="J14" i="67"/>
  <c r="T14" i="67" s="1"/>
  <c r="L14" i="67"/>
  <c r="J15" i="67"/>
  <c r="T15" i="67" s="1"/>
  <c r="L15" i="67"/>
  <c r="J16" i="67"/>
  <c r="T16" i="67" s="1"/>
  <c r="L16" i="67"/>
  <c r="J17" i="67"/>
  <c r="T17" i="67" s="1"/>
  <c r="L17" i="67"/>
  <c r="J18" i="67"/>
  <c r="T18" i="67" s="1"/>
  <c r="K18" i="67" s="1"/>
  <c r="R18" i="67" s="1"/>
  <c r="L18" i="67"/>
  <c r="L28" i="67"/>
  <c r="J28" i="67"/>
  <c r="T28" i="67" s="1"/>
  <c r="L29" i="67"/>
  <c r="J29" i="67"/>
  <c r="T29" i="67" s="1"/>
  <c r="L30" i="67"/>
  <c r="J30" i="67"/>
  <c r="T30" i="67" s="1"/>
  <c r="L32" i="67"/>
  <c r="J32" i="67"/>
  <c r="T32" i="67" s="1"/>
  <c r="J31" i="67"/>
  <c r="T31" i="67" s="1"/>
  <c r="L31" i="67"/>
  <c r="M74" i="7"/>
  <c r="M86" i="7"/>
  <c r="P74" i="16"/>
  <c r="K16" i="68" l="1"/>
  <c r="R16" i="68" s="1"/>
  <c r="K29" i="68"/>
  <c r="R29" i="68" s="1"/>
  <c r="C153" i="71"/>
  <c r="C127" i="71"/>
  <c r="C167" i="71"/>
  <c r="C111" i="71"/>
  <c r="C115" i="71"/>
  <c r="C129" i="71"/>
  <c r="C161" i="71"/>
  <c r="C165" i="71"/>
  <c r="B200" i="70"/>
  <c r="C253" i="70" s="1"/>
  <c r="B196" i="70"/>
  <c r="C196" i="70" s="1"/>
  <c r="B226" i="70"/>
  <c r="C226" i="70" s="1"/>
  <c r="B222" i="70"/>
  <c r="C263" i="70" s="1"/>
  <c r="B216" i="70"/>
  <c r="C217" i="70" s="1"/>
  <c r="E238" i="70" s="1"/>
  <c r="B210" i="70"/>
  <c r="C210" i="70" s="1"/>
  <c r="B206" i="70"/>
  <c r="C205" i="70" s="1"/>
  <c r="E207" i="70" s="1"/>
  <c r="B212" i="70"/>
  <c r="C212" i="70" s="1"/>
  <c r="G225" i="70"/>
  <c r="I38" i="70"/>
  <c r="I36" i="70"/>
  <c r="I35" i="70"/>
  <c r="B220" i="70" s="1"/>
  <c r="C221" i="70" s="1"/>
  <c r="E223" i="70" s="1"/>
  <c r="G227" i="70" s="1"/>
  <c r="B128" i="70"/>
  <c r="B116" i="70"/>
  <c r="C116" i="70" s="1"/>
  <c r="B110" i="70"/>
  <c r="B122" i="70"/>
  <c r="B108" i="70"/>
  <c r="B102" i="70"/>
  <c r="C102" i="70" s="1"/>
  <c r="B132" i="70"/>
  <c r="C132" i="70" s="1"/>
  <c r="B124" i="70"/>
  <c r="B112" i="70"/>
  <c r="B126" i="70"/>
  <c r="B118" i="70"/>
  <c r="C118" i="70" s="1"/>
  <c r="B106" i="70"/>
  <c r="K31" i="69"/>
  <c r="R31" i="69" s="1"/>
  <c r="C112" i="69"/>
  <c r="C165" i="69"/>
  <c r="E165" i="69" s="1"/>
  <c r="C119" i="69"/>
  <c r="C124" i="69"/>
  <c r="C171" i="69"/>
  <c r="E171" i="69" s="1"/>
  <c r="C131" i="69"/>
  <c r="E206" i="69"/>
  <c r="E209" i="69"/>
  <c r="E224" i="69"/>
  <c r="G224" i="69" s="1"/>
  <c r="K15" i="69"/>
  <c r="R15" i="69" s="1"/>
  <c r="M14" i="69" s="1"/>
  <c r="S14" i="69" s="1"/>
  <c r="K17" i="69"/>
  <c r="R17" i="69" s="1"/>
  <c r="S42" i="69"/>
  <c r="M42" i="69"/>
  <c r="S44" i="69"/>
  <c r="M44" i="69"/>
  <c r="S7" i="69"/>
  <c r="M7" i="69"/>
  <c r="M9" i="69"/>
  <c r="S9" i="69" s="1"/>
  <c r="M11" i="69"/>
  <c r="S11" i="69" s="1"/>
  <c r="K28" i="69"/>
  <c r="R28" i="69" s="1"/>
  <c r="K32" i="69"/>
  <c r="R32" i="69" s="1"/>
  <c r="M21" i="69"/>
  <c r="S21" i="69" s="1"/>
  <c r="M23" i="69"/>
  <c r="S23" i="69" s="1"/>
  <c r="M35" i="69"/>
  <c r="S35" i="69" s="1"/>
  <c r="M37" i="69"/>
  <c r="S37" i="69" s="1"/>
  <c r="M39" i="69"/>
  <c r="S39" i="69" s="1"/>
  <c r="M46" i="69"/>
  <c r="S46" i="69" s="1"/>
  <c r="C161" i="69"/>
  <c r="C111" i="69"/>
  <c r="E111" i="69" s="1"/>
  <c r="C115" i="69"/>
  <c r="C163" i="69"/>
  <c r="E163" i="69" s="1"/>
  <c r="C157" i="69"/>
  <c r="E157" i="69" s="1"/>
  <c r="C103" i="69"/>
  <c r="C108" i="69"/>
  <c r="C159" i="69" s="1"/>
  <c r="E159" i="69" s="1"/>
  <c r="C167" i="69"/>
  <c r="E167" i="69" s="1"/>
  <c r="C123" i="69"/>
  <c r="E123" i="69" s="1"/>
  <c r="C128" i="69"/>
  <c r="C169" i="69" s="1"/>
  <c r="E169" i="69" s="1"/>
  <c r="E222" i="69"/>
  <c r="G222" i="69" s="1"/>
  <c r="E205" i="69"/>
  <c r="G205" i="69" s="1"/>
  <c r="E197" i="69"/>
  <c r="E218" i="69"/>
  <c r="G218" i="69" s="1"/>
  <c r="E202" i="69"/>
  <c r="E201" i="69" s="1"/>
  <c r="G201" i="69" s="1"/>
  <c r="K16" i="69"/>
  <c r="R16" i="69" s="1"/>
  <c r="K18" i="69"/>
  <c r="R18" i="69" s="1"/>
  <c r="M25" i="69"/>
  <c r="S25" i="69" s="1"/>
  <c r="S43" i="69"/>
  <c r="M43" i="69"/>
  <c r="S45" i="69"/>
  <c r="M45" i="69"/>
  <c r="S8" i="69"/>
  <c r="M8" i="69"/>
  <c r="S10" i="69"/>
  <c r="M10" i="69"/>
  <c r="K30" i="69"/>
  <c r="R30" i="69" s="1"/>
  <c r="M22" i="69"/>
  <c r="S22" i="69" s="1"/>
  <c r="M24" i="69"/>
  <c r="S24" i="69" s="1"/>
  <c r="M36" i="69"/>
  <c r="S36" i="69" s="1"/>
  <c r="M38" i="69"/>
  <c r="S38" i="69" s="1"/>
  <c r="M43" i="68"/>
  <c r="S43" i="68" s="1"/>
  <c r="M45" i="68"/>
  <c r="S45" i="68" s="1"/>
  <c r="M42" i="68"/>
  <c r="S42" i="68" s="1"/>
  <c r="M46" i="68"/>
  <c r="S46" i="68" s="1"/>
  <c r="M44" i="68"/>
  <c r="S44" i="68" s="1"/>
  <c r="I44" i="68" s="1"/>
  <c r="K14" i="68"/>
  <c r="R14" i="68" s="1"/>
  <c r="K17" i="68"/>
  <c r="R17" i="68" s="1"/>
  <c r="K28" i="68"/>
  <c r="R28" i="68" s="1"/>
  <c r="K30" i="68"/>
  <c r="R30" i="68" s="1"/>
  <c r="K32" i="68"/>
  <c r="R32" i="68" s="1"/>
  <c r="K23" i="68"/>
  <c r="R23" i="68" s="1"/>
  <c r="K25" i="68"/>
  <c r="R25" i="68" s="1"/>
  <c r="M39" i="68"/>
  <c r="S39" i="68" s="1"/>
  <c r="K15" i="68"/>
  <c r="R15" i="68" s="1"/>
  <c r="M36" i="68"/>
  <c r="S36" i="68" s="1"/>
  <c r="M38" i="68"/>
  <c r="S38" i="68" s="1"/>
  <c r="M8" i="68"/>
  <c r="S8" i="68" s="1"/>
  <c r="M10" i="68"/>
  <c r="S10" i="68" s="1"/>
  <c r="K18" i="68"/>
  <c r="R18" i="68" s="1"/>
  <c r="K31" i="68"/>
  <c r="R31" i="68" s="1"/>
  <c r="K24" i="68"/>
  <c r="R24" i="68" s="1"/>
  <c r="M37" i="68"/>
  <c r="S37" i="68" s="1"/>
  <c r="M35" i="68"/>
  <c r="S35" i="68" s="1"/>
  <c r="M7" i="68"/>
  <c r="S7" i="68" s="1"/>
  <c r="M9" i="68"/>
  <c r="S9" i="68" s="1"/>
  <c r="M11" i="68"/>
  <c r="S11" i="68" s="1"/>
  <c r="K21" i="68"/>
  <c r="R21" i="68" s="1"/>
  <c r="G162" i="67"/>
  <c r="G169" i="67"/>
  <c r="K31" i="67"/>
  <c r="K17" i="67"/>
  <c r="R17" i="67" s="1"/>
  <c r="K16" i="67"/>
  <c r="R16" i="67" s="1"/>
  <c r="K14" i="67"/>
  <c r="R14" i="67" s="1"/>
  <c r="K15" i="67"/>
  <c r="R15" i="67" s="1"/>
  <c r="K32" i="67"/>
  <c r="R31" i="67"/>
  <c r="R32" i="67"/>
  <c r="K30" i="67"/>
  <c r="R30" i="67" s="1"/>
  <c r="K29" i="67"/>
  <c r="R29" i="67" s="1"/>
  <c r="K28" i="67"/>
  <c r="R28" i="67" s="1"/>
  <c r="T10" i="67"/>
  <c r="T8" i="67"/>
  <c r="T7" i="67"/>
  <c r="K7" i="67" s="1"/>
  <c r="R7" i="67" s="1"/>
  <c r="T25" i="67"/>
  <c r="T23" i="67"/>
  <c r="T22" i="67"/>
  <c r="T21" i="67"/>
  <c r="AH8" i="66"/>
  <c r="AH9" i="66"/>
  <c r="AH10" i="66"/>
  <c r="AH11" i="66"/>
  <c r="AH7" i="66"/>
  <c r="AF8" i="64"/>
  <c r="AF9" i="64"/>
  <c r="AF10" i="64"/>
  <c r="AF11" i="64"/>
  <c r="AF12" i="64"/>
  <c r="AF13" i="64"/>
  <c r="AF14" i="64"/>
  <c r="AF15" i="64"/>
  <c r="AF16" i="64"/>
  <c r="AF17" i="64"/>
  <c r="AF18" i="64"/>
  <c r="AF19" i="64"/>
  <c r="AF20" i="64"/>
  <c r="AF21" i="64"/>
  <c r="AF22" i="64"/>
  <c r="AF23" i="64"/>
  <c r="AF24" i="64"/>
  <c r="AF25" i="64"/>
  <c r="AF26" i="64"/>
  <c r="AF27" i="64"/>
  <c r="AF28" i="64"/>
  <c r="AF29" i="64"/>
  <c r="AF30" i="64"/>
  <c r="AF31" i="64"/>
  <c r="AF7" i="64"/>
  <c r="AH8" i="63"/>
  <c r="AH9" i="63"/>
  <c r="AH10" i="63"/>
  <c r="AH11" i="63"/>
  <c r="AH12" i="63"/>
  <c r="AH13" i="63"/>
  <c r="AH14" i="63"/>
  <c r="AH15" i="63"/>
  <c r="AH16" i="63"/>
  <c r="AH17" i="63"/>
  <c r="AH18" i="63"/>
  <c r="AH19" i="63"/>
  <c r="AH7" i="63"/>
  <c r="AH8" i="62"/>
  <c r="AH9" i="62"/>
  <c r="AH10" i="62"/>
  <c r="AH11" i="62"/>
  <c r="AH12" i="62"/>
  <c r="AH13" i="62"/>
  <c r="AH14" i="62"/>
  <c r="AH15" i="62"/>
  <c r="AH16" i="62"/>
  <c r="AH17" i="62"/>
  <c r="AH18" i="62"/>
  <c r="AH19" i="62"/>
  <c r="AH20" i="62"/>
  <c r="AH21" i="62"/>
  <c r="AH22" i="62"/>
  <c r="AH23" i="62"/>
  <c r="AH24" i="62"/>
  <c r="AH25" i="62"/>
  <c r="AH26" i="62"/>
  <c r="AH27" i="62"/>
  <c r="AH28" i="62"/>
  <c r="AH29" i="62"/>
  <c r="AH30" i="62"/>
  <c r="AH31" i="62"/>
  <c r="AH7" i="62"/>
  <c r="AH8" i="61"/>
  <c r="AH9" i="61"/>
  <c r="AH10" i="61"/>
  <c r="AH11" i="61"/>
  <c r="AH12" i="61"/>
  <c r="AH13" i="61"/>
  <c r="AH14" i="61"/>
  <c r="AH15" i="61"/>
  <c r="AH16" i="61"/>
  <c r="AH17" i="61"/>
  <c r="AH18" i="61"/>
  <c r="AH7" i="61"/>
  <c r="AH8" i="60"/>
  <c r="AH9" i="60"/>
  <c r="AH10" i="60"/>
  <c r="AH11" i="60"/>
  <c r="AH12" i="60"/>
  <c r="AH13" i="60"/>
  <c r="AH14" i="60"/>
  <c r="AH15" i="60"/>
  <c r="AH16" i="60"/>
  <c r="AH17" i="60"/>
  <c r="AH18" i="60"/>
  <c r="AH19" i="60"/>
  <c r="AH20" i="60"/>
  <c r="AH21" i="60"/>
  <c r="AH22" i="60"/>
  <c r="AH23" i="60"/>
  <c r="AH24" i="60"/>
  <c r="AH25" i="60"/>
  <c r="AH26" i="60"/>
  <c r="AH27" i="60"/>
  <c r="AH28" i="60"/>
  <c r="AH29" i="60"/>
  <c r="AH30" i="60"/>
  <c r="AH31" i="60"/>
  <c r="AH32" i="60"/>
  <c r="AH33" i="60"/>
  <c r="AH34" i="60"/>
  <c r="AH35" i="60"/>
  <c r="AH36" i="60"/>
  <c r="AH37" i="60"/>
  <c r="AH38" i="60"/>
  <c r="AH39" i="60"/>
  <c r="AH40" i="60"/>
  <c r="AH41" i="60"/>
  <c r="AH42" i="60"/>
  <c r="AH43" i="60"/>
  <c r="AH44" i="60"/>
  <c r="AH45" i="60"/>
  <c r="AH46" i="60"/>
  <c r="AH47" i="60"/>
  <c r="AH48" i="60"/>
  <c r="AH49" i="60"/>
  <c r="AH50" i="60"/>
  <c r="AH51" i="60"/>
  <c r="AH52" i="60"/>
  <c r="AH53" i="60"/>
  <c r="AH54" i="60"/>
  <c r="AH55" i="60"/>
  <c r="AH56" i="60"/>
  <c r="AH57" i="60"/>
  <c r="AH58" i="60"/>
  <c r="AH59" i="60"/>
  <c r="AH60" i="60"/>
  <c r="AH61" i="60"/>
  <c r="AH62" i="60"/>
  <c r="AH63" i="60"/>
  <c r="AH64" i="60"/>
  <c r="AH7" i="60"/>
  <c r="AH8" i="59"/>
  <c r="AH9" i="59"/>
  <c r="AH10" i="59"/>
  <c r="AH11" i="59"/>
  <c r="AH12" i="59"/>
  <c r="AH13" i="59"/>
  <c r="AH14" i="59"/>
  <c r="AH15" i="59"/>
  <c r="AH16" i="59"/>
  <c r="AH17" i="59"/>
  <c r="AH18" i="59"/>
  <c r="AH19" i="59"/>
  <c r="AH20" i="59"/>
  <c r="AH21" i="59"/>
  <c r="AH22" i="59"/>
  <c r="AH23" i="59"/>
  <c r="AH24" i="59"/>
  <c r="AH25" i="59"/>
  <c r="AH26" i="59"/>
  <c r="AH27" i="59"/>
  <c r="AH28" i="59"/>
  <c r="AH29" i="59"/>
  <c r="AH30" i="59"/>
  <c r="AH31" i="59"/>
  <c r="AH7" i="59"/>
  <c r="AH8" i="58"/>
  <c r="AH9" i="58"/>
  <c r="AH10" i="58"/>
  <c r="AH11" i="58"/>
  <c r="AH12" i="58"/>
  <c r="AH13" i="58"/>
  <c r="AH14" i="58"/>
  <c r="AH15" i="58"/>
  <c r="AH16" i="58"/>
  <c r="AH17" i="58"/>
  <c r="AH18" i="58"/>
  <c r="AH19" i="58"/>
  <c r="AH20" i="58"/>
  <c r="AH21" i="58"/>
  <c r="AH22" i="58"/>
  <c r="AH23" i="58"/>
  <c r="AH24" i="58"/>
  <c r="AH25" i="58"/>
  <c r="AH26" i="58"/>
  <c r="AH27" i="58"/>
  <c r="AH28" i="58"/>
  <c r="AH29" i="58"/>
  <c r="AH30" i="58"/>
  <c r="AH31" i="58"/>
  <c r="AH7" i="58"/>
  <c r="AH8" i="57"/>
  <c r="AH9" i="57"/>
  <c r="AH10" i="57"/>
  <c r="AH11" i="57"/>
  <c r="AH12" i="57"/>
  <c r="AH13" i="57"/>
  <c r="AH14" i="57"/>
  <c r="AH15" i="57"/>
  <c r="AH16" i="57"/>
  <c r="AH17" i="57"/>
  <c r="AH18" i="57"/>
  <c r="AH19" i="57"/>
  <c r="AH7" i="57"/>
  <c r="AH8" i="55"/>
  <c r="AH9" i="55"/>
  <c r="AH10" i="55"/>
  <c r="AH11" i="55"/>
  <c r="AH12" i="55"/>
  <c r="AH13" i="55"/>
  <c r="AH14" i="55"/>
  <c r="AH15" i="55"/>
  <c r="AH16" i="55"/>
  <c r="AH17" i="55"/>
  <c r="AH18" i="55"/>
  <c r="AH19" i="55"/>
  <c r="AH20" i="55"/>
  <c r="AH21" i="55"/>
  <c r="AH22" i="55"/>
  <c r="AH23" i="55"/>
  <c r="AH24" i="55"/>
  <c r="AH25" i="55"/>
  <c r="AH26" i="55"/>
  <c r="AH27" i="55"/>
  <c r="AH28" i="55"/>
  <c r="AH29" i="55"/>
  <c r="AH30" i="55"/>
  <c r="AH31" i="55"/>
  <c r="AH32" i="55"/>
  <c r="AH33" i="55"/>
  <c r="AH34" i="55"/>
  <c r="AH35" i="55"/>
  <c r="AH36" i="55"/>
  <c r="AH37" i="55"/>
  <c r="AH38" i="55"/>
  <c r="AH39" i="55"/>
  <c r="AH40" i="55"/>
  <c r="AH41" i="55"/>
  <c r="AH42" i="55"/>
  <c r="AH43" i="55"/>
  <c r="AH44" i="55"/>
  <c r="AH7" i="55"/>
  <c r="AH8" i="51"/>
  <c r="AH9" i="51"/>
  <c r="AH10" i="51"/>
  <c r="AH11" i="51"/>
  <c r="AH12" i="51"/>
  <c r="AH13" i="51"/>
  <c r="AH14" i="51"/>
  <c r="AH15" i="51"/>
  <c r="AH16" i="51"/>
  <c r="AH17" i="51"/>
  <c r="AH18" i="51"/>
  <c r="AH19" i="51"/>
  <c r="AH20" i="51"/>
  <c r="AH21" i="51"/>
  <c r="AH22" i="51"/>
  <c r="AH23" i="51"/>
  <c r="AH24" i="51"/>
  <c r="AH25" i="51"/>
  <c r="AH26" i="51"/>
  <c r="AH27" i="51"/>
  <c r="AH28" i="51"/>
  <c r="AH29" i="51"/>
  <c r="AH30" i="51"/>
  <c r="AH31" i="51"/>
  <c r="AH32" i="51"/>
  <c r="AH33" i="51"/>
  <c r="AH34" i="51"/>
  <c r="AH35" i="51"/>
  <c r="AH36" i="51"/>
  <c r="AH37" i="51"/>
  <c r="AH38" i="51"/>
  <c r="AH39" i="51"/>
  <c r="AH40" i="51"/>
  <c r="AH41" i="51"/>
  <c r="AH42" i="51"/>
  <c r="AH43" i="51"/>
  <c r="AH44" i="51"/>
  <c r="AH45" i="51"/>
  <c r="AH46" i="51"/>
  <c r="AH47" i="51"/>
  <c r="AH48" i="51"/>
  <c r="AH49" i="51"/>
  <c r="AH50" i="51"/>
  <c r="AH51" i="51"/>
  <c r="AH52" i="51"/>
  <c r="AH53" i="51"/>
  <c r="AH54" i="51"/>
  <c r="AH55" i="51"/>
  <c r="AH56" i="51"/>
  <c r="AH57" i="51"/>
  <c r="AH58" i="51"/>
  <c r="AH59" i="51"/>
  <c r="AH60" i="51"/>
  <c r="AH7" i="51"/>
  <c r="AH8" i="53"/>
  <c r="AH9" i="53"/>
  <c r="AH10" i="53"/>
  <c r="AH11" i="53"/>
  <c r="AH12" i="53"/>
  <c r="AH13" i="53"/>
  <c r="AH14" i="53"/>
  <c r="AH15" i="53"/>
  <c r="AH16" i="53"/>
  <c r="AH17" i="53"/>
  <c r="AH18" i="53"/>
  <c r="AH19" i="53"/>
  <c r="AH20" i="53"/>
  <c r="AH21" i="53"/>
  <c r="AH22" i="53"/>
  <c r="AH23" i="53"/>
  <c r="AH24" i="53"/>
  <c r="AH25" i="53"/>
  <c r="AH26" i="53"/>
  <c r="AH27" i="53"/>
  <c r="AH28" i="53"/>
  <c r="AH29" i="53"/>
  <c r="AH30" i="53"/>
  <c r="AH31" i="53"/>
  <c r="AH7" i="53"/>
  <c r="AH8" i="50"/>
  <c r="AH9" i="50"/>
  <c r="AH10" i="50"/>
  <c r="AH11" i="50"/>
  <c r="AH12" i="50"/>
  <c r="AH13" i="50"/>
  <c r="AH14" i="50"/>
  <c r="AH15" i="50"/>
  <c r="AH16" i="50"/>
  <c r="AH17" i="50"/>
  <c r="AH18" i="50"/>
  <c r="AH19" i="50"/>
  <c r="AH7" i="50"/>
  <c r="I8" i="68" l="1"/>
  <c r="I36" i="68"/>
  <c r="C163" i="71"/>
  <c r="C145" i="71"/>
  <c r="C107" i="71"/>
  <c r="C125" i="71"/>
  <c r="C149" i="71"/>
  <c r="C141" i="71"/>
  <c r="E113" i="71"/>
  <c r="C103" i="71"/>
  <c r="C123" i="71"/>
  <c r="E166" i="71"/>
  <c r="B204" i="70"/>
  <c r="C255" i="70" s="1"/>
  <c r="B218" i="70"/>
  <c r="C261" i="70" s="1"/>
  <c r="C251" i="70"/>
  <c r="E251" i="70" s="1"/>
  <c r="C197" i="70"/>
  <c r="E234" i="70" s="1"/>
  <c r="G242" i="70" s="1"/>
  <c r="J243" i="70" s="1"/>
  <c r="B202" i="70"/>
  <c r="C201" i="70" s="1"/>
  <c r="E199" i="70" s="1"/>
  <c r="G203" i="70" s="1"/>
  <c r="C265" i="70"/>
  <c r="E265" i="70" s="1"/>
  <c r="C225" i="70"/>
  <c r="E240" i="70" s="1"/>
  <c r="E253" i="70"/>
  <c r="E252" i="70" s="1"/>
  <c r="C259" i="70"/>
  <c r="E259" i="70" s="1"/>
  <c r="C213" i="70"/>
  <c r="E215" i="70" s="1"/>
  <c r="G219" i="70" s="1"/>
  <c r="C209" i="70"/>
  <c r="E236" i="70" s="1"/>
  <c r="G235" i="70" s="1"/>
  <c r="J237" i="70" s="1"/>
  <c r="C257" i="70"/>
  <c r="E257" i="70" s="1"/>
  <c r="J229" i="70"/>
  <c r="C131" i="70"/>
  <c r="C171" i="70"/>
  <c r="C107" i="70"/>
  <c r="C111" i="70"/>
  <c r="C165" i="70"/>
  <c r="E165" i="70" s="1"/>
  <c r="C119" i="70"/>
  <c r="C161" i="70"/>
  <c r="C157" i="70"/>
  <c r="E157" i="70" s="1"/>
  <c r="C103" i="70"/>
  <c r="C123" i="70"/>
  <c r="C163" i="70"/>
  <c r="E163" i="70" s="1"/>
  <c r="C115" i="70"/>
  <c r="C127" i="70"/>
  <c r="E185" i="69"/>
  <c r="G185" i="69" s="1"/>
  <c r="E170" i="69"/>
  <c r="M18" i="69"/>
  <c r="S18" i="69" s="1"/>
  <c r="G197" i="69"/>
  <c r="G228" i="69"/>
  <c r="I228" i="69" s="1"/>
  <c r="G223" i="69"/>
  <c r="E179" i="69"/>
  <c r="G179" i="69" s="1"/>
  <c r="E158" i="69"/>
  <c r="E115" i="69"/>
  <c r="E161" i="69"/>
  <c r="S28" i="69"/>
  <c r="M28" i="69"/>
  <c r="M17" i="69"/>
  <c r="S17" i="69" s="1"/>
  <c r="E220" i="69"/>
  <c r="G220" i="69" s="1"/>
  <c r="E119" i="69"/>
  <c r="C107" i="69"/>
  <c r="E107" i="69" s="1"/>
  <c r="C127" i="69"/>
  <c r="E127" i="69" s="1"/>
  <c r="M29" i="69"/>
  <c r="S29" i="69" s="1"/>
  <c r="M30" i="69"/>
  <c r="S30" i="69" s="1"/>
  <c r="M16" i="69"/>
  <c r="S16" i="69" s="1"/>
  <c r="G226" i="69"/>
  <c r="I226" i="69" s="1"/>
  <c r="G219" i="69"/>
  <c r="I219" i="69" s="1"/>
  <c r="E103" i="69"/>
  <c r="E142" i="69"/>
  <c r="G141" i="69" s="1"/>
  <c r="E113" i="69"/>
  <c r="S32" i="69"/>
  <c r="M32" i="69"/>
  <c r="S15" i="69"/>
  <c r="M15" i="69"/>
  <c r="G209" i="69"/>
  <c r="G213" i="69" s="1"/>
  <c r="E131" i="69"/>
  <c r="E183" i="69"/>
  <c r="G183" i="69" s="1"/>
  <c r="E166" i="69"/>
  <c r="G166" i="69" s="1"/>
  <c r="S31" i="69"/>
  <c r="M31" i="69"/>
  <c r="I42" i="68"/>
  <c r="I43" i="68"/>
  <c r="M21" i="68"/>
  <c r="S21" i="68" s="1"/>
  <c r="M24" i="68"/>
  <c r="S24" i="68" s="1"/>
  <c r="M18" i="68"/>
  <c r="S18" i="68" s="1"/>
  <c r="M25" i="68"/>
  <c r="S25" i="68" s="1"/>
  <c r="M32" i="68"/>
  <c r="S32" i="68" s="1"/>
  <c r="M28" i="68"/>
  <c r="S28" i="68" s="1"/>
  <c r="M14" i="68"/>
  <c r="S14" i="68" s="1"/>
  <c r="M29" i="68"/>
  <c r="S29" i="68" s="1"/>
  <c r="M16" i="68"/>
  <c r="S16" i="68" s="1"/>
  <c r="I9" i="68"/>
  <c r="I7" i="68"/>
  <c r="I35" i="68"/>
  <c r="I37" i="68"/>
  <c r="M31" i="68"/>
  <c r="S31" i="68" s="1"/>
  <c r="M15" i="68"/>
  <c r="S15" i="68" s="1"/>
  <c r="M23" i="68"/>
  <c r="S23" i="68" s="1"/>
  <c r="M30" i="68"/>
  <c r="S30" i="68" s="1"/>
  <c r="I30" i="68" s="1"/>
  <c r="M17" i="68"/>
  <c r="S17" i="68" s="1"/>
  <c r="M22" i="68"/>
  <c r="S22" i="68" s="1"/>
  <c r="K21" i="67"/>
  <c r="R21" i="67" s="1"/>
  <c r="M29" i="67"/>
  <c r="S29" i="67" s="1"/>
  <c r="M28" i="67"/>
  <c r="S28" i="67" s="1"/>
  <c r="M30" i="67"/>
  <c r="S30" i="67" s="1"/>
  <c r="K23" i="67"/>
  <c r="R23" i="67" s="1"/>
  <c r="M31" i="67"/>
  <c r="S31" i="67" s="1"/>
  <c r="I31" i="67" s="1"/>
  <c r="M15" i="67"/>
  <c r="S15" i="67" s="1"/>
  <c r="K24" i="67"/>
  <c r="R24" i="67" s="1"/>
  <c r="K9" i="67"/>
  <c r="R9" i="67" s="1"/>
  <c r="K11" i="67"/>
  <c r="R11" i="67" s="1"/>
  <c r="S16" i="67"/>
  <c r="M16" i="67"/>
  <c r="K22" i="67"/>
  <c r="R22" i="67" s="1"/>
  <c r="M21" i="67" s="1"/>
  <c r="S21" i="67" s="1"/>
  <c r="K25" i="67"/>
  <c r="R25" i="67" s="1"/>
  <c r="K8" i="67"/>
  <c r="R8" i="67" s="1"/>
  <c r="M7" i="67" s="1"/>
  <c r="S7" i="67" s="1"/>
  <c r="K10" i="67"/>
  <c r="R10" i="67" s="1"/>
  <c r="M32" i="67"/>
  <c r="S32" i="67" s="1"/>
  <c r="M18" i="67"/>
  <c r="S18" i="67" s="1"/>
  <c r="M14" i="67"/>
  <c r="S14" i="67" s="1"/>
  <c r="I14" i="67" s="1"/>
  <c r="M17" i="67"/>
  <c r="S17" i="67" s="1"/>
  <c r="I11" i="66"/>
  <c r="I10" i="66"/>
  <c r="I9" i="66"/>
  <c r="I8" i="66"/>
  <c r="I7" i="66"/>
  <c r="I32" i="64"/>
  <c r="I31" i="64"/>
  <c r="I30" i="64"/>
  <c r="I29" i="64"/>
  <c r="I28" i="64"/>
  <c r="I18" i="64"/>
  <c r="I17" i="64"/>
  <c r="I16" i="64"/>
  <c r="I15" i="64"/>
  <c r="I14" i="64"/>
  <c r="I11" i="64"/>
  <c r="I10" i="64"/>
  <c r="I9" i="64"/>
  <c r="I8" i="64"/>
  <c r="I7" i="64"/>
  <c r="I32" i="62"/>
  <c r="I31" i="62"/>
  <c r="I30" i="62"/>
  <c r="I29" i="62"/>
  <c r="I28" i="62"/>
  <c r="I25" i="62"/>
  <c r="I24" i="62"/>
  <c r="I23" i="62"/>
  <c r="I22" i="62"/>
  <c r="I21" i="62"/>
  <c r="I18" i="62"/>
  <c r="I11" i="62"/>
  <c r="I10" i="62"/>
  <c r="I9" i="62"/>
  <c r="I8" i="62"/>
  <c r="I7" i="62"/>
  <c r="I32" i="60"/>
  <c r="I31" i="60"/>
  <c r="I30" i="60"/>
  <c r="I29" i="60"/>
  <c r="I28" i="60"/>
  <c r="I25" i="60"/>
  <c r="I24" i="60"/>
  <c r="I23" i="60"/>
  <c r="I22" i="60"/>
  <c r="I21" i="60"/>
  <c r="I18" i="60"/>
  <c r="I17" i="60"/>
  <c r="I16" i="60"/>
  <c r="I15" i="60"/>
  <c r="I14" i="60"/>
  <c r="I11" i="60"/>
  <c r="I10" i="60"/>
  <c r="I9" i="60"/>
  <c r="I8" i="60"/>
  <c r="I7" i="60"/>
  <c r="I32" i="59"/>
  <c r="I31" i="59"/>
  <c r="I30" i="59"/>
  <c r="I29" i="59"/>
  <c r="I28" i="59"/>
  <c r="I25" i="59"/>
  <c r="I24" i="59"/>
  <c r="I23" i="59"/>
  <c r="I22" i="59"/>
  <c r="I21" i="59"/>
  <c r="I18" i="59"/>
  <c r="I17" i="59"/>
  <c r="I16" i="59"/>
  <c r="I15" i="59"/>
  <c r="I14" i="59"/>
  <c r="I11" i="59"/>
  <c r="I10" i="59"/>
  <c r="I9" i="59"/>
  <c r="I8" i="59"/>
  <c r="I7" i="59"/>
  <c r="I32" i="58"/>
  <c r="I31" i="58"/>
  <c r="I30" i="58"/>
  <c r="I29" i="58"/>
  <c r="I28" i="58"/>
  <c r="I25" i="58"/>
  <c r="I24" i="58"/>
  <c r="I23" i="58"/>
  <c r="I22" i="58"/>
  <c r="I21" i="58"/>
  <c r="I32" i="51"/>
  <c r="I31" i="51"/>
  <c r="I30" i="51"/>
  <c r="I29" i="51"/>
  <c r="I28" i="51"/>
  <c r="I25" i="51"/>
  <c r="I24" i="51"/>
  <c r="I23" i="51"/>
  <c r="I22" i="51"/>
  <c r="I21" i="51"/>
  <c r="I18" i="51"/>
  <c r="I17" i="51"/>
  <c r="I16" i="51"/>
  <c r="I15" i="51"/>
  <c r="I14" i="51"/>
  <c r="I11" i="51"/>
  <c r="I10" i="51"/>
  <c r="I9" i="51"/>
  <c r="I8" i="51"/>
  <c r="I7" i="51"/>
  <c r="I60" i="53"/>
  <c r="I59" i="53"/>
  <c r="I58" i="53"/>
  <c r="I57" i="53"/>
  <c r="I56" i="53"/>
  <c r="I53" i="53"/>
  <c r="I52" i="53"/>
  <c r="I51" i="53"/>
  <c r="I50" i="53"/>
  <c r="I49" i="53"/>
  <c r="I46" i="53"/>
  <c r="I45" i="53"/>
  <c r="I44" i="53"/>
  <c r="I43" i="53"/>
  <c r="I42" i="53"/>
  <c r="I39" i="53"/>
  <c r="I38" i="53"/>
  <c r="I37" i="53"/>
  <c r="I36" i="53"/>
  <c r="I35" i="53"/>
  <c r="I32" i="53"/>
  <c r="I31" i="53"/>
  <c r="I30" i="53"/>
  <c r="I29" i="53"/>
  <c r="I28" i="53"/>
  <c r="I25" i="53"/>
  <c r="I24" i="53"/>
  <c r="I23" i="53"/>
  <c r="I22" i="53"/>
  <c r="I21" i="53"/>
  <c r="I18" i="53"/>
  <c r="I17" i="53"/>
  <c r="I16" i="53"/>
  <c r="I15" i="53"/>
  <c r="I14" i="53"/>
  <c r="I11" i="53"/>
  <c r="I10" i="53"/>
  <c r="I9" i="53"/>
  <c r="I8" i="53"/>
  <c r="I7" i="53"/>
  <c r="AE10" i="64"/>
  <c r="AD10" i="64" s="1"/>
  <c r="AE11" i="64"/>
  <c r="AE12" i="64"/>
  <c r="AD12" i="64" s="1"/>
  <c r="AE13" i="64"/>
  <c r="AE18" i="64"/>
  <c r="AD18" i="64" s="1"/>
  <c r="AE19" i="64"/>
  <c r="AE20" i="64"/>
  <c r="AD20" i="64" s="1"/>
  <c r="AE25" i="64"/>
  <c r="AE26" i="64"/>
  <c r="AD26" i="64" s="1"/>
  <c r="AE27" i="64"/>
  <c r="AF8" i="63"/>
  <c r="AJ8" i="63"/>
  <c r="AI8" i="63" s="1"/>
  <c r="AL8" i="63"/>
  <c r="AK8" i="63" s="1"/>
  <c r="AN8" i="63"/>
  <c r="AM8" i="63" s="1"/>
  <c r="AP8" i="63"/>
  <c r="AO8" i="63" s="1"/>
  <c r="AF9" i="63"/>
  <c r="AI9" i="63"/>
  <c r="AJ9" i="63"/>
  <c r="AK9" i="63"/>
  <c r="AL9" i="63"/>
  <c r="AM9" i="63"/>
  <c r="AN9" i="63"/>
  <c r="AO9" i="63"/>
  <c r="AP9" i="63"/>
  <c r="AF10" i="63"/>
  <c r="AJ10" i="63"/>
  <c r="AI10" i="63" s="1"/>
  <c r="AL10" i="63"/>
  <c r="AK10" i="63" s="1"/>
  <c r="AN10" i="63"/>
  <c r="AM10" i="63" s="1"/>
  <c r="AP10" i="63"/>
  <c r="AO10" i="63" s="1"/>
  <c r="AF11" i="63"/>
  <c r="AI11" i="63"/>
  <c r="AJ11" i="63"/>
  <c r="AK11" i="63"/>
  <c r="AL11" i="63"/>
  <c r="AM11" i="63"/>
  <c r="AN11" i="63"/>
  <c r="AO11" i="63"/>
  <c r="AP11" i="63"/>
  <c r="AF12" i="63"/>
  <c r="AJ12" i="63"/>
  <c r="AI12" i="63" s="1"/>
  <c r="AL12" i="63"/>
  <c r="AK12" i="63" s="1"/>
  <c r="AN12" i="63"/>
  <c r="AM12" i="63" s="1"/>
  <c r="AP12" i="63"/>
  <c r="AO12" i="63" s="1"/>
  <c r="AF13" i="63"/>
  <c r="AI13" i="63"/>
  <c r="AJ13" i="63"/>
  <c r="AK13" i="63"/>
  <c r="AL13" i="63"/>
  <c r="AM13" i="63"/>
  <c r="AN13" i="63"/>
  <c r="AO13" i="63"/>
  <c r="AP13" i="63"/>
  <c r="AF14" i="63"/>
  <c r="AJ14" i="63"/>
  <c r="AI14" i="63" s="1"/>
  <c r="AL14" i="63"/>
  <c r="AK14" i="63" s="1"/>
  <c r="AN14" i="63"/>
  <c r="AM14" i="63" s="1"/>
  <c r="AP14" i="63"/>
  <c r="AO14" i="63" s="1"/>
  <c r="AF15" i="63"/>
  <c r="AI15" i="63"/>
  <c r="AJ15" i="63"/>
  <c r="AK15" i="63"/>
  <c r="AL15" i="63"/>
  <c r="AM15" i="63"/>
  <c r="AN15" i="63"/>
  <c r="AO15" i="63"/>
  <c r="AP15" i="63"/>
  <c r="AF16" i="63"/>
  <c r="AJ16" i="63"/>
  <c r="AI16" i="63" s="1"/>
  <c r="AL16" i="63"/>
  <c r="AK16" i="63" s="1"/>
  <c r="AN16" i="63"/>
  <c r="AM16" i="63" s="1"/>
  <c r="AP16" i="63"/>
  <c r="AO16" i="63" s="1"/>
  <c r="AF17" i="63"/>
  <c r="AG17" i="63"/>
  <c r="AJ17" i="63"/>
  <c r="AL17" i="63"/>
  <c r="AM17" i="63"/>
  <c r="AN17" i="63"/>
  <c r="AO17" i="63"/>
  <c r="AP17" i="63"/>
  <c r="AF18" i="63"/>
  <c r="AJ18" i="63"/>
  <c r="AI18" i="63" s="1"/>
  <c r="AL18" i="63"/>
  <c r="AK18" i="63" s="1"/>
  <c r="AN18" i="63"/>
  <c r="AM18" i="63" s="1"/>
  <c r="AP18" i="63"/>
  <c r="AO18" i="63" s="1"/>
  <c r="AF19" i="63"/>
  <c r="AI19" i="63"/>
  <c r="AJ19" i="63"/>
  <c r="AK19" i="63"/>
  <c r="AL19" i="63"/>
  <c r="AM19" i="63"/>
  <c r="AN19" i="63"/>
  <c r="AO19" i="63"/>
  <c r="AP19" i="63"/>
  <c r="AP7" i="63"/>
  <c r="AO7" i="63" s="1"/>
  <c r="AN7" i="63"/>
  <c r="AM7" i="63" s="1"/>
  <c r="AL7" i="63"/>
  <c r="AK7" i="63" s="1"/>
  <c r="AJ7" i="63"/>
  <c r="AI7" i="63" s="1"/>
  <c r="AF7" i="63"/>
  <c r="AF8" i="62"/>
  <c r="AJ8" i="62"/>
  <c r="AI8" i="62" s="1"/>
  <c r="AL8" i="62"/>
  <c r="AK8" i="62" s="1"/>
  <c r="AN8" i="62"/>
  <c r="AM8" i="62" s="1"/>
  <c r="AP8" i="62"/>
  <c r="AO8" i="62" s="1"/>
  <c r="AF9" i="62"/>
  <c r="AI9" i="62"/>
  <c r="AJ9" i="62"/>
  <c r="AK9" i="62"/>
  <c r="AL9" i="62"/>
  <c r="AM9" i="62"/>
  <c r="AN9" i="62"/>
  <c r="AO9" i="62"/>
  <c r="AP9" i="62"/>
  <c r="AF10" i="62"/>
  <c r="AE10" i="62" s="1"/>
  <c r="AG10" i="62"/>
  <c r="AJ10" i="62"/>
  <c r="AI10" i="62" s="1"/>
  <c r="AL10" i="62"/>
  <c r="AK10" i="62" s="1"/>
  <c r="AN10" i="62"/>
  <c r="AM10" i="62" s="1"/>
  <c r="AP10" i="62"/>
  <c r="AO10" i="62" s="1"/>
  <c r="AE11" i="62"/>
  <c r="AF11" i="62"/>
  <c r="AG11" i="62"/>
  <c r="AI11" i="62"/>
  <c r="AJ11" i="62"/>
  <c r="AK11" i="62"/>
  <c r="AL11" i="62"/>
  <c r="AM11" i="62"/>
  <c r="AN11" i="62"/>
  <c r="AO11" i="62"/>
  <c r="AP11" i="62"/>
  <c r="AF12" i="62"/>
  <c r="AE12" i="62" s="1"/>
  <c r="AG12" i="62"/>
  <c r="AJ12" i="62"/>
  <c r="AI12" i="62" s="1"/>
  <c r="AL12" i="62"/>
  <c r="AK12" i="62" s="1"/>
  <c r="AN12" i="62"/>
  <c r="AM12" i="62" s="1"/>
  <c r="AP12" i="62"/>
  <c r="AO12" i="62" s="1"/>
  <c r="AE13" i="62"/>
  <c r="AF13" i="62"/>
  <c r="AG13" i="62"/>
  <c r="AI13" i="62"/>
  <c r="AJ13" i="62"/>
  <c r="AK13" i="62"/>
  <c r="AL13" i="62"/>
  <c r="AM13" i="62"/>
  <c r="AN13" i="62"/>
  <c r="AO13" i="62"/>
  <c r="AP13" i="62"/>
  <c r="AF14" i="62"/>
  <c r="AG14" i="62"/>
  <c r="AJ14" i="62"/>
  <c r="AL14" i="62"/>
  <c r="AN14" i="62"/>
  <c r="AM14" i="62" s="1"/>
  <c r="AP14" i="62"/>
  <c r="AO14" i="62" s="1"/>
  <c r="AF15" i="62"/>
  <c r="AI15" i="62"/>
  <c r="AJ15" i="62"/>
  <c r="AK15" i="62"/>
  <c r="AL15" i="62"/>
  <c r="AM15" i="62"/>
  <c r="AN15" i="62"/>
  <c r="AO15" i="62"/>
  <c r="AP15" i="62"/>
  <c r="AF16" i="62"/>
  <c r="AJ16" i="62"/>
  <c r="AI16" i="62" s="1"/>
  <c r="AL16" i="62"/>
  <c r="AK16" i="62" s="1"/>
  <c r="AN16" i="62"/>
  <c r="AM16" i="62" s="1"/>
  <c r="AP16" i="62"/>
  <c r="AO16" i="62" s="1"/>
  <c r="AF17" i="62"/>
  <c r="AJ17" i="62"/>
  <c r="AI17" i="62" s="1"/>
  <c r="AL17" i="62"/>
  <c r="AK17" i="62" s="1"/>
  <c r="AN17" i="62"/>
  <c r="AM17" i="62" s="1"/>
  <c r="AP17" i="62"/>
  <c r="AO17" i="62" s="1"/>
  <c r="AF18" i="62"/>
  <c r="AE18" i="62" s="1"/>
  <c r="AG18" i="62"/>
  <c r="AJ18" i="62"/>
  <c r="AI18" i="62" s="1"/>
  <c r="AL18" i="62"/>
  <c r="AK18" i="62" s="1"/>
  <c r="AN18" i="62"/>
  <c r="AM18" i="62" s="1"/>
  <c r="AP18" i="62"/>
  <c r="AO18" i="62" s="1"/>
  <c r="AE19" i="62"/>
  <c r="AF19" i="62"/>
  <c r="AG19" i="62"/>
  <c r="AI19" i="62"/>
  <c r="AJ19" i="62"/>
  <c r="AK19" i="62"/>
  <c r="AL19" i="62"/>
  <c r="AM19" i="62"/>
  <c r="AN19" i="62"/>
  <c r="AO19" i="62"/>
  <c r="AP19" i="62"/>
  <c r="AF20" i="62"/>
  <c r="AE20" i="62" s="1"/>
  <c r="AG20" i="62"/>
  <c r="AJ20" i="62"/>
  <c r="AI20" i="62" s="1"/>
  <c r="AL20" i="62"/>
  <c r="AK20" i="62" s="1"/>
  <c r="AN20" i="62"/>
  <c r="AM20" i="62" s="1"/>
  <c r="AP20" i="62"/>
  <c r="AO20" i="62" s="1"/>
  <c r="AF21" i="62"/>
  <c r="AI21" i="62"/>
  <c r="AJ21" i="62"/>
  <c r="AK21" i="62"/>
  <c r="AL21" i="62"/>
  <c r="AM21" i="62"/>
  <c r="AN21" i="62"/>
  <c r="AO21" i="62"/>
  <c r="AP21" i="62"/>
  <c r="AF22" i="62"/>
  <c r="AJ22" i="62"/>
  <c r="AI22" i="62" s="1"/>
  <c r="AL22" i="62"/>
  <c r="AK22" i="62" s="1"/>
  <c r="AN22" i="62"/>
  <c r="AM22" i="62" s="1"/>
  <c r="AP22" i="62"/>
  <c r="AO22" i="62" s="1"/>
  <c r="AF23" i="62"/>
  <c r="AI23" i="62"/>
  <c r="AJ23" i="62"/>
  <c r="AK23" i="62"/>
  <c r="AL23" i="62"/>
  <c r="AM23" i="62"/>
  <c r="AN23" i="62"/>
  <c r="AO23" i="62"/>
  <c r="AP23" i="62"/>
  <c r="AF24" i="62"/>
  <c r="AJ24" i="62"/>
  <c r="AI24" i="62" s="1"/>
  <c r="AL24" i="62"/>
  <c r="AK24" i="62" s="1"/>
  <c r="AN24" i="62"/>
  <c r="AM24" i="62" s="1"/>
  <c r="AP24" i="62"/>
  <c r="AO24" i="62" s="1"/>
  <c r="AE25" i="62"/>
  <c r="AF25" i="62"/>
  <c r="AG25" i="62"/>
  <c r="AI25" i="62"/>
  <c r="AJ25" i="62"/>
  <c r="AK25" i="62"/>
  <c r="AL25" i="62"/>
  <c r="AM25" i="62"/>
  <c r="AN25" i="62"/>
  <c r="AO25" i="62"/>
  <c r="AP25" i="62"/>
  <c r="AF26" i="62"/>
  <c r="AE26" i="62" s="1"/>
  <c r="AG26" i="62"/>
  <c r="AJ26" i="62"/>
  <c r="AI26" i="62" s="1"/>
  <c r="AL26" i="62"/>
  <c r="AK26" i="62" s="1"/>
  <c r="AN26" i="62"/>
  <c r="AM26" i="62" s="1"/>
  <c r="AP26" i="62"/>
  <c r="AO26" i="62" s="1"/>
  <c r="AE27" i="62"/>
  <c r="AF27" i="62"/>
  <c r="AG27" i="62"/>
  <c r="AI27" i="62"/>
  <c r="AJ27" i="62"/>
  <c r="AK27" i="62"/>
  <c r="AL27" i="62"/>
  <c r="AM27" i="62"/>
  <c r="AN27" i="62"/>
  <c r="AO27" i="62"/>
  <c r="AP27" i="62"/>
  <c r="AF28" i="62"/>
  <c r="AJ28" i="62"/>
  <c r="AI28" i="62" s="1"/>
  <c r="AL28" i="62"/>
  <c r="AK28" i="62" s="1"/>
  <c r="AN28" i="62"/>
  <c r="AM28" i="62" s="1"/>
  <c r="AP28" i="62"/>
  <c r="AO28" i="62" s="1"/>
  <c r="AF29" i="62"/>
  <c r="AI29" i="62"/>
  <c r="AJ29" i="62"/>
  <c r="AK29" i="62"/>
  <c r="AL29" i="62"/>
  <c r="AM29" i="62"/>
  <c r="AN29" i="62"/>
  <c r="AO29" i="62"/>
  <c r="AP29" i="62"/>
  <c r="AF30" i="62"/>
  <c r="AJ30" i="62"/>
  <c r="AI30" i="62" s="1"/>
  <c r="AL30" i="62"/>
  <c r="AK30" i="62" s="1"/>
  <c r="AN30" i="62"/>
  <c r="AM30" i="62" s="1"/>
  <c r="AP30" i="62"/>
  <c r="AO30" i="62" s="1"/>
  <c r="AF31" i="62"/>
  <c r="AI31" i="62"/>
  <c r="AJ31" i="62"/>
  <c r="AK31" i="62"/>
  <c r="AL31" i="62"/>
  <c r="AM31" i="62"/>
  <c r="AN31" i="62"/>
  <c r="AO31" i="62"/>
  <c r="AP31" i="62"/>
  <c r="AP7" i="62"/>
  <c r="AO7" i="62" s="1"/>
  <c r="AN7" i="62"/>
  <c r="AM7" i="62" s="1"/>
  <c r="AL7" i="62"/>
  <c r="AK7" i="62" s="1"/>
  <c r="AJ7" i="62"/>
  <c r="AI7" i="62" s="1"/>
  <c r="AF7" i="62"/>
  <c r="AF8" i="61"/>
  <c r="AJ8" i="61"/>
  <c r="AI8" i="61" s="1"/>
  <c r="AL8" i="61"/>
  <c r="AK8" i="61" s="1"/>
  <c r="AN8" i="61"/>
  <c r="AM8" i="61" s="1"/>
  <c r="AP8" i="61"/>
  <c r="AO8" i="61" s="1"/>
  <c r="AF9" i="61"/>
  <c r="AI9" i="61"/>
  <c r="AJ9" i="61"/>
  <c r="AK9" i="61"/>
  <c r="AL9" i="61"/>
  <c r="AM9" i="61"/>
  <c r="AN9" i="61"/>
  <c r="AO9" i="61"/>
  <c r="AP9" i="61"/>
  <c r="AF10" i="61"/>
  <c r="AJ10" i="61"/>
  <c r="AI10" i="61" s="1"/>
  <c r="AL10" i="61"/>
  <c r="AK10" i="61" s="1"/>
  <c r="AN10" i="61"/>
  <c r="AM10" i="61" s="1"/>
  <c r="AP10" i="61"/>
  <c r="AO10" i="61" s="1"/>
  <c r="AF11" i="61"/>
  <c r="AI11" i="61"/>
  <c r="AJ11" i="61"/>
  <c r="AK11" i="61"/>
  <c r="AL11" i="61"/>
  <c r="AM11" i="61"/>
  <c r="AN11" i="61"/>
  <c r="AO11" i="61"/>
  <c r="AP11" i="61"/>
  <c r="AF12" i="61"/>
  <c r="AJ12" i="61"/>
  <c r="AI12" i="61" s="1"/>
  <c r="AL12" i="61"/>
  <c r="AK12" i="61" s="1"/>
  <c r="AN12" i="61"/>
  <c r="AM12" i="61" s="1"/>
  <c r="AP12" i="61"/>
  <c r="AO12" i="61" s="1"/>
  <c r="AF13" i="61"/>
  <c r="AI13" i="61"/>
  <c r="AJ13" i="61"/>
  <c r="AK13" i="61"/>
  <c r="AL13" i="61"/>
  <c r="AM13" i="61"/>
  <c r="AN13" i="61"/>
  <c r="AO13" i="61"/>
  <c r="AP13" i="61"/>
  <c r="AF14" i="61"/>
  <c r="AJ14" i="61"/>
  <c r="AI14" i="61" s="1"/>
  <c r="AL14" i="61"/>
  <c r="AK14" i="61" s="1"/>
  <c r="AN14" i="61"/>
  <c r="AM14" i="61" s="1"/>
  <c r="AP14" i="61"/>
  <c r="AO14" i="61" s="1"/>
  <c r="AF15" i="61"/>
  <c r="AI15" i="61"/>
  <c r="AJ15" i="61"/>
  <c r="AK15" i="61"/>
  <c r="AL15" i="61"/>
  <c r="AM15" i="61"/>
  <c r="AN15" i="61"/>
  <c r="AO15" i="61"/>
  <c r="AP15" i="61"/>
  <c r="AF16" i="61"/>
  <c r="AJ16" i="61"/>
  <c r="AI16" i="61" s="1"/>
  <c r="AL16" i="61"/>
  <c r="AK16" i="61" s="1"/>
  <c r="AN16" i="61"/>
  <c r="AM16" i="61" s="1"/>
  <c r="AP16" i="61"/>
  <c r="AO16" i="61" s="1"/>
  <c r="AF17" i="61"/>
  <c r="AI17" i="61"/>
  <c r="AJ17" i="61"/>
  <c r="AK17" i="61"/>
  <c r="AL17" i="61"/>
  <c r="AM17" i="61"/>
  <c r="AN17" i="61"/>
  <c r="AO17" i="61"/>
  <c r="AP17" i="61"/>
  <c r="AF18" i="61"/>
  <c r="AG18" i="61"/>
  <c r="AJ18" i="61"/>
  <c r="AL18" i="61"/>
  <c r="AN18" i="61"/>
  <c r="AM18" i="61" s="1"/>
  <c r="AP18" i="61"/>
  <c r="AO18" i="61" s="1"/>
  <c r="AP7" i="61"/>
  <c r="AO7" i="61" s="1"/>
  <c r="AN7" i="61"/>
  <c r="AM7" i="61" s="1"/>
  <c r="AL7" i="61"/>
  <c r="AK7" i="61" s="1"/>
  <c r="AJ7" i="61"/>
  <c r="AI7" i="61" s="1"/>
  <c r="AF7" i="61"/>
  <c r="C312" i="50"/>
  <c r="C311" i="50"/>
  <c r="C310" i="50"/>
  <c r="C309" i="50"/>
  <c r="C308" i="50"/>
  <c r="C307" i="50"/>
  <c r="C306" i="50"/>
  <c r="C305" i="50"/>
  <c r="C304" i="50"/>
  <c r="C303" i="50"/>
  <c r="C302" i="50"/>
  <c r="C301" i="50"/>
  <c r="C300" i="50"/>
  <c r="AA19" i="50"/>
  <c r="Y19" i="50"/>
  <c r="W19" i="50"/>
  <c r="AA18" i="50"/>
  <c r="Y18" i="50"/>
  <c r="W18" i="50"/>
  <c r="AA17" i="50"/>
  <c r="Y17" i="50"/>
  <c r="W17" i="50"/>
  <c r="AA16" i="50"/>
  <c r="Y16" i="50"/>
  <c r="AB16" i="50" s="1"/>
  <c r="W16" i="50"/>
  <c r="AA15" i="50"/>
  <c r="Y15" i="50"/>
  <c r="W15" i="50"/>
  <c r="AA14" i="50"/>
  <c r="Y14" i="50"/>
  <c r="W14" i="50"/>
  <c r="AA13" i="50"/>
  <c r="Y13" i="50"/>
  <c r="W13" i="50"/>
  <c r="AA12" i="50"/>
  <c r="Y12" i="50"/>
  <c r="W12" i="50"/>
  <c r="AA11" i="50"/>
  <c r="Y11" i="50"/>
  <c r="W11" i="50"/>
  <c r="AA10" i="50"/>
  <c r="Y10" i="50"/>
  <c r="W10" i="50"/>
  <c r="AA9" i="50"/>
  <c r="Y9" i="50"/>
  <c r="W9" i="50"/>
  <c r="AA8" i="50"/>
  <c r="Y8" i="50"/>
  <c r="W8" i="50"/>
  <c r="AA7" i="50"/>
  <c r="Y7" i="50"/>
  <c r="W7" i="50"/>
  <c r="AF20" i="53"/>
  <c r="AE20" i="53" s="1"/>
  <c r="AG20" i="53"/>
  <c r="AJ20" i="53"/>
  <c r="AI20" i="53" s="1"/>
  <c r="AL20" i="53"/>
  <c r="AK20" i="53" s="1"/>
  <c r="AN20" i="53"/>
  <c r="AM20" i="53" s="1"/>
  <c r="AP20" i="53"/>
  <c r="AO20" i="53" s="1"/>
  <c r="AE21" i="53"/>
  <c r="AF21" i="53"/>
  <c r="AG21" i="53"/>
  <c r="AI21" i="53"/>
  <c r="AJ21" i="53"/>
  <c r="AK21" i="53"/>
  <c r="AL21" i="53"/>
  <c r="AM21" i="53"/>
  <c r="AN21" i="53"/>
  <c r="AO21" i="53"/>
  <c r="AP21" i="53"/>
  <c r="AF22" i="53"/>
  <c r="AE22" i="53" s="1"/>
  <c r="AG22" i="53"/>
  <c r="AJ22" i="53"/>
  <c r="AI22" i="53" s="1"/>
  <c r="AL22" i="53"/>
  <c r="AK22" i="53" s="1"/>
  <c r="AN22" i="53"/>
  <c r="AM22" i="53" s="1"/>
  <c r="AP22" i="53"/>
  <c r="AO22" i="53" s="1"/>
  <c r="AE23" i="53"/>
  <c r="AF23" i="53"/>
  <c r="AG23" i="53"/>
  <c r="AI23" i="53"/>
  <c r="AJ23" i="53"/>
  <c r="AK23" i="53"/>
  <c r="AL23" i="53"/>
  <c r="AM23" i="53"/>
  <c r="AN23" i="53"/>
  <c r="AO23" i="53"/>
  <c r="AP23" i="53"/>
  <c r="AF24" i="53"/>
  <c r="AE24" i="53" s="1"/>
  <c r="AG24" i="53"/>
  <c r="AJ24" i="53"/>
  <c r="AI24" i="53" s="1"/>
  <c r="AL24" i="53"/>
  <c r="AK24" i="53" s="1"/>
  <c r="AN24" i="53"/>
  <c r="AM24" i="53" s="1"/>
  <c r="AP24" i="53"/>
  <c r="AO24" i="53" s="1"/>
  <c r="AE25" i="53"/>
  <c r="AF25" i="53"/>
  <c r="AG25" i="53"/>
  <c r="AI25" i="53"/>
  <c r="AJ25" i="53"/>
  <c r="AK25" i="53"/>
  <c r="AL25" i="53"/>
  <c r="AM25" i="53"/>
  <c r="AN25" i="53"/>
  <c r="AO25" i="53"/>
  <c r="AP25" i="53"/>
  <c r="AF26" i="53"/>
  <c r="AE26" i="53" s="1"/>
  <c r="AG26" i="53"/>
  <c r="AJ26" i="53"/>
  <c r="AI26" i="53" s="1"/>
  <c r="AL26" i="53"/>
  <c r="AK26" i="53" s="1"/>
  <c r="AN26" i="53"/>
  <c r="AM26" i="53" s="1"/>
  <c r="AP26" i="53"/>
  <c r="AO26" i="53" s="1"/>
  <c r="AE27" i="53"/>
  <c r="AF27" i="53"/>
  <c r="AG27" i="53"/>
  <c r="AI27" i="53"/>
  <c r="AJ27" i="53"/>
  <c r="AK27" i="53"/>
  <c r="AL27" i="53"/>
  <c r="AM27" i="53"/>
  <c r="AN27" i="53"/>
  <c r="AO27" i="53"/>
  <c r="AP27" i="53"/>
  <c r="AF28" i="53"/>
  <c r="AE28" i="53" s="1"/>
  <c r="AG28" i="53"/>
  <c r="AJ28" i="53"/>
  <c r="AI28" i="53" s="1"/>
  <c r="AL28" i="53"/>
  <c r="AK28" i="53" s="1"/>
  <c r="AN28" i="53"/>
  <c r="AM28" i="53" s="1"/>
  <c r="AP28" i="53"/>
  <c r="AO28" i="53" s="1"/>
  <c r="AE29" i="53"/>
  <c r="AF29" i="53"/>
  <c r="AG29" i="53"/>
  <c r="AI29" i="53"/>
  <c r="AJ29" i="53"/>
  <c r="AK29" i="53"/>
  <c r="AL29" i="53"/>
  <c r="AM29" i="53"/>
  <c r="AN29" i="53"/>
  <c r="AO29" i="53"/>
  <c r="AP29" i="53"/>
  <c r="AF30" i="53"/>
  <c r="AE30" i="53" s="1"/>
  <c r="AG30" i="53"/>
  <c r="AJ30" i="53"/>
  <c r="AI30" i="53" s="1"/>
  <c r="AL30" i="53"/>
  <c r="AK30" i="53" s="1"/>
  <c r="AN30" i="53"/>
  <c r="AM30" i="53" s="1"/>
  <c r="AP30" i="53"/>
  <c r="AO30" i="53" s="1"/>
  <c r="AE31" i="53"/>
  <c r="AF31" i="53"/>
  <c r="AG31" i="53"/>
  <c r="AI31" i="53"/>
  <c r="AJ31" i="53"/>
  <c r="AK31" i="53"/>
  <c r="AL31" i="53"/>
  <c r="AM31" i="53"/>
  <c r="AN31" i="53"/>
  <c r="AO31" i="53"/>
  <c r="AP31" i="53"/>
  <c r="AP19" i="53"/>
  <c r="AO19" i="53" s="1"/>
  <c r="AN19" i="53"/>
  <c r="AM19" i="53" s="1"/>
  <c r="AL19" i="53"/>
  <c r="AK19" i="53" s="1"/>
  <c r="AJ19" i="53"/>
  <c r="AI19" i="53" s="1"/>
  <c r="AG19" i="53"/>
  <c r="AF19" i="53"/>
  <c r="AE19" i="53" s="1"/>
  <c r="AP18" i="53"/>
  <c r="AO18" i="53"/>
  <c r="AN18" i="53"/>
  <c r="AM18" i="53"/>
  <c r="AL18" i="53"/>
  <c r="AK18" i="53"/>
  <c r="AJ18" i="53"/>
  <c r="AI18" i="53"/>
  <c r="AG18" i="53"/>
  <c r="AF18" i="53"/>
  <c r="AE18" i="53"/>
  <c r="AP17" i="53"/>
  <c r="AO17" i="53" s="1"/>
  <c r="AN17" i="53"/>
  <c r="AM17" i="53" s="1"/>
  <c r="AL17" i="53"/>
  <c r="AK17" i="53" s="1"/>
  <c r="AJ17" i="53"/>
  <c r="AI17" i="53" s="1"/>
  <c r="AG17" i="53"/>
  <c r="AF17" i="53"/>
  <c r="AE17" i="53" s="1"/>
  <c r="AP16" i="53"/>
  <c r="AO16" i="53"/>
  <c r="AN16" i="53"/>
  <c r="AM16" i="53"/>
  <c r="AL16" i="53"/>
  <c r="AK16" i="53"/>
  <c r="AJ16" i="53"/>
  <c r="AI16" i="53"/>
  <c r="AG16" i="53"/>
  <c r="AF16" i="53"/>
  <c r="AE16" i="53"/>
  <c r="AP15" i="53"/>
  <c r="AO15" i="53" s="1"/>
  <c r="AN15" i="53"/>
  <c r="AM15" i="53" s="1"/>
  <c r="AL15" i="53"/>
  <c r="AK15" i="53" s="1"/>
  <c r="AJ15" i="53"/>
  <c r="AI15" i="53" s="1"/>
  <c r="AG15" i="53"/>
  <c r="AF15" i="53"/>
  <c r="AE15" i="53" s="1"/>
  <c r="AP14" i="53"/>
  <c r="AO14" i="53"/>
  <c r="AN14" i="53"/>
  <c r="AM14" i="53"/>
  <c r="AL14" i="53"/>
  <c r="AK14" i="53"/>
  <c r="AJ14" i="53"/>
  <c r="AI14" i="53"/>
  <c r="AG14" i="53"/>
  <c r="AF14" i="53"/>
  <c r="AE14" i="53"/>
  <c r="AP13" i="53"/>
  <c r="AO13" i="53" s="1"/>
  <c r="AN13" i="53"/>
  <c r="AM13" i="53" s="1"/>
  <c r="AL13" i="53"/>
  <c r="AK13" i="53" s="1"/>
  <c r="AJ13" i="53"/>
  <c r="AI13" i="53" s="1"/>
  <c r="AG13" i="53"/>
  <c r="AF13" i="53"/>
  <c r="AE13" i="53" s="1"/>
  <c r="AP12" i="53"/>
  <c r="AO12" i="53"/>
  <c r="AN12" i="53"/>
  <c r="AM12" i="53"/>
  <c r="AL12" i="53"/>
  <c r="AK12" i="53"/>
  <c r="AJ12" i="53"/>
  <c r="AI12" i="53"/>
  <c r="AG12" i="53"/>
  <c r="AF12" i="53"/>
  <c r="AE12" i="53"/>
  <c r="AP11" i="53"/>
  <c r="AO11" i="53" s="1"/>
  <c r="AN11" i="53"/>
  <c r="AM11" i="53" s="1"/>
  <c r="AL11" i="53"/>
  <c r="AK11" i="53" s="1"/>
  <c r="AJ11" i="53"/>
  <c r="AI11" i="53" s="1"/>
  <c r="AG11" i="53"/>
  <c r="AF11" i="53"/>
  <c r="AE11" i="53" s="1"/>
  <c r="AP10" i="53"/>
  <c r="AO10" i="53"/>
  <c r="AN10" i="53"/>
  <c r="AM10" i="53"/>
  <c r="AL10" i="53"/>
  <c r="AK10" i="53"/>
  <c r="AJ10" i="53"/>
  <c r="AI10" i="53"/>
  <c r="AG10" i="53"/>
  <c r="AF10" i="53"/>
  <c r="AE10" i="53"/>
  <c r="AP9" i="53"/>
  <c r="AO9" i="53" s="1"/>
  <c r="AN9" i="53"/>
  <c r="AM9" i="53" s="1"/>
  <c r="AL9" i="53"/>
  <c r="AK9" i="53" s="1"/>
  <c r="AJ9" i="53"/>
  <c r="AI9" i="53" s="1"/>
  <c r="AG9" i="53"/>
  <c r="AF9" i="53"/>
  <c r="AE9" i="53" s="1"/>
  <c r="AP8" i="53"/>
  <c r="AO8" i="53"/>
  <c r="AN8" i="53"/>
  <c r="AM8" i="53"/>
  <c r="AL8" i="53"/>
  <c r="AK8" i="53"/>
  <c r="AJ8" i="53"/>
  <c r="AI8" i="53"/>
  <c r="AG8" i="53"/>
  <c r="AF8" i="53"/>
  <c r="AE8" i="53"/>
  <c r="AP7" i="53"/>
  <c r="AO7" i="53" s="1"/>
  <c r="AN7" i="53"/>
  <c r="AM7" i="53" s="1"/>
  <c r="AL7" i="53"/>
  <c r="AK7" i="53" s="1"/>
  <c r="AJ7" i="53"/>
  <c r="AI7" i="53" s="1"/>
  <c r="AG7" i="53"/>
  <c r="AF7" i="53"/>
  <c r="AE7" i="53" s="1"/>
  <c r="AP19" i="50"/>
  <c r="AO19" i="50" s="1"/>
  <c r="AN19" i="50"/>
  <c r="AM19" i="50" s="1"/>
  <c r="AL19" i="50"/>
  <c r="AK19" i="50" s="1"/>
  <c r="AJ19" i="50"/>
  <c r="AI19" i="50" s="1"/>
  <c r="AG19" i="50"/>
  <c r="AF19" i="50"/>
  <c r="AE19" i="50" s="1"/>
  <c r="AP18" i="50"/>
  <c r="AO18" i="50"/>
  <c r="AN18" i="50"/>
  <c r="AM18" i="50"/>
  <c r="AL18" i="50"/>
  <c r="AK18" i="50"/>
  <c r="AJ18" i="50"/>
  <c r="AI18" i="50" s="1"/>
  <c r="AG18" i="50"/>
  <c r="AF18" i="50"/>
  <c r="AE18" i="50" s="1"/>
  <c r="AP17" i="50"/>
  <c r="AO17" i="50" s="1"/>
  <c r="AN17" i="50"/>
  <c r="AM17" i="50" s="1"/>
  <c r="AL17" i="50"/>
  <c r="AK17" i="50" s="1"/>
  <c r="AJ17" i="50"/>
  <c r="AI17" i="50" s="1"/>
  <c r="AG17" i="50"/>
  <c r="AF17" i="50"/>
  <c r="AE17" i="50" s="1"/>
  <c r="AP16" i="50"/>
  <c r="AO16" i="50"/>
  <c r="AN16" i="50"/>
  <c r="AM16" i="50"/>
  <c r="AL16" i="50"/>
  <c r="AK16" i="50"/>
  <c r="AJ16" i="50"/>
  <c r="AI16" i="50"/>
  <c r="AG16" i="50"/>
  <c r="AF16" i="50"/>
  <c r="AE16" i="50"/>
  <c r="AP15" i="50"/>
  <c r="AO15" i="50" s="1"/>
  <c r="AN15" i="50"/>
  <c r="AM15" i="50" s="1"/>
  <c r="AL15" i="50"/>
  <c r="AK15" i="50" s="1"/>
  <c r="AJ15" i="50"/>
  <c r="AI15" i="50" s="1"/>
  <c r="AG15" i="50"/>
  <c r="AF15" i="50"/>
  <c r="AE15" i="50" s="1"/>
  <c r="AP14" i="50"/>
  <c r="AO14" i="50"/>
  <c r="AN14" i="50"/>
  <c r="AM14" i="50"/>
  <c r="AL14" i="50"/>
  <c r="AK14" i="50"/>
  <c r="AJ14" i="50"/>
  <c r="AI14" i="50"/>
  <c r="AG14" i="50"/>
  <c r="AF14" i="50"/>
  <c r="AE14" i="50"/>
  <c r="AP13" i="50"/>
  <c r="AO13" i="50" s="1"/>
  <c r="AN13" i="50"/>
  <c r="AM13" i="50" s="1"/>
  <c r="AL13" i="50"/>
  <c r="AK13" i="50" s="1"/>
  <c r="AJ13" i="50"/>
  <c r="AI13" i="50" s="1"/>
  <c r="AG13" i="50"/>
  <c r="AF13" i="50"/>
  <c r="AE13" i="50" s="1"/>
  <c r="AP12" i="50"/>
  <c r="AO12" i="50"/>
  <c r="AN12" i="50"/>
  <c r="AM12" i="50"/>
  <c r="AL12" i="50"/>
  <c r="AK12" i="50"/>
  <c r="AJ12" i="50"/>
  <c r="AI12" i="50"/>
  <c r="AG12" i="50"/>
  <c r="AF12" i="50"/>
  <c r="AE12" i="50"/>
  <c r="AP11" i="50"/>
  <c r="AO11" i="50" s="1"/>
  <c r="AN11" i="50"/>
  <c r="AM11" i="50" s="1"/>
  <c r="AL11" i="50"/>
  <c r="AK11" i="50" s="1"/>
  <c r="AJ11" i="50"/>
  <c r="AI11" i="50" s="1"/>
  <c r="AG11" i="50"/>
  <c r="AF11" i="50"/>
  <c r="AE11" i="50" s="1"/>
  <c r="AP10" i="50"/>
  <c r="AO10" i="50"/>
  <c r="AN10" i="50"/>
  <c r="AM10" i="50"/>
  <c r="AL10" i="50"/>
  <c r="AK10" i="50"/>
  <c r="AJ10" i="50"/>
  <c r="AI10" i="50"/>
  <c r="AG10" i="50"/>
  <c r="AF10" i="50"/>
  <c r="AE10" i="50"/>
  <c r="AP9" i="50"/>
  <c r="AO9" i="50" s="1"/>
  <c r="AN9" i="50"/>
  <c r="AM9" i="50" s="1"/>
  <c r="AL9" i="50"/>
  <c r="AK9" i="50" s="1"/>
  <c r="AJ9" i="50"/>
  <c r="AI9" i="50" s="1"/>
  <c r="AG9" i="50"/>
  <c r="AF9" i="50"/>
  <c r="AE9" i="50" s="1"/>
  <c r="AP8" i="50"/>
  <c r="AO8" i="50"/>
  <c r="AN8" i="50"/>
  <c r="AM8" i="50"/>
  <c r="AL8" i="50"/>
  <c r="AK8" i="50"/>
  <c r="AJ8" i="50"/>
  <c r="AI8" i="50"/>
  <c r="AG8" i="50"/>
  <c r="AF8" i="50"/>
  <c r="AE8" i="50"/>
  <c r="AP7" i="50"/>
  <c r="AO7" i="50" s="1"/>
  <c r="AN7" i="50"/>
  <c r="AM7" i="50" s="1"/>
  <c r="AL7" i="50"/>
  <c r="AK7" i="50" s="1"/>
  <c r="AJ7" i="50"/>
  <c r="AI7" i="50" s="1"/>
  <c r="AG7" i="50"/>
  <c r="AF7" i="50"/>
  <c r="AE7" i="50" s="1"/>
  <c r="AF8" i="60"/>
  <c r="AJ8" i="60"/>
  <c r="AI8" i="60" s="1"/>
  <c r="AL8" i="60"/>
  <c r="AK8" i="60" s="1"/>
  <c r="AN8" i="60"/>
  <c r="AM8" i="60" s="1"/>
  <c r="AP8" i="60"/>
  <c r="AO8" i="60" s="1"/>
  <c r="AF9" i="60"/>
  <c r="AI9" i="60"/>
  <c r="AJ9" i="60"/>
  <c r="AK9" i="60"/>
  <c r="AL9" i="60"/>
  <c r="AM9" i="60"/>
  <c r="AN9" i="60"/>
  <c r="AO9" i="60"/>
  <c r="AP9" i="60"/>
  <c r="AF10" i="60"/>
  <c r="AJ10" i="60"/>
  <c r="AI10" i="60" s="1"/>
  <c r="AL10" i="60"/>
  <c r="AK10" i="60" s="1"/>
  <c r="AN10" i="60"/>
  <c r="AM10" i="60" s="1"/>
  <c r="AP10" i="60"/>
  <c r="AO10" i="60" s="1"/>
  <c r="AE11" i="60"/>
  <c r="AF11" i="60"/>
  <c r="AG11" i="60"/>
  <c r="AI11" i="60"/>
  <c r="AJ11" i="60"/>
  <c r="AK11" i="60"/>
  <c r="AL11" i="60"/>
  <c r="AM11" i="60"/>
  <c r="AN11" i="60"/>
  <c r="AO11" i="60"/>
  <c r="AP11" i="60"/>
  <c r="AF12" i="60"/>
  <c r="AE12" i="60" s="1"/>
  <c r="AG12" i="60"/>
  <c r="AJ12" i="60"/>
  <c r="AI12" i="60" s="1"/>
  <c r="AL12" i="60"/>
  <c r="AK12" i="60" s="1"/>
  <c r="AN12" i="60"/>
  <c r="AM12" i="60" s="1"/>
  <c r="AP12" i="60"/>
  <c r="AO12" i="60" s="1"/>
  <c r="AE13" i="60"/>
  <c r="AF13" i="60"/>
  <c r="AG13" i="60"/>
  <c r="AI13" i="60"/>
  <c r="AJ13" i="60"/>
  <c r="AK13" i="60"/>
  <c r="AL13" i="60"/>
  <c r="AM13" i="60"/>
  <c r="AN13" i="60"/>
  <c r="AO13" i="60"/>
  <c r="AP13" i="60"/>
  <c r="AF14" i="60"/>
  <c r="AJ14" i="60"/>
  <c r="AI14" i="60" s="1"/>
  <c r="AL14" i="60"/>
  <c r="AK14" i="60" s="1"/>
  <c r="AN14" i="60"/>
  <c r="AM14" i="60" s="1"/>
  <c r="AP14" i="60"/>
  <c r="AO14" i="60" s="1"/>
  <c r="AF15" i="60"/>
  <c r="AI15" i="60"/>
  <c r="AJ15" i="60"/>
  <c r="AK15" i="60"/>
  <c r="AL15" i="60"/>
  <c r="AM15" i="60"/>
  <c r="AN15" i="60"/>
  <c r="AO15" i="60"/>
  <c r="AP15" i="60"/>
  <c r="AF16" i="60"/>
  <c r="AJ16" i="60"/>
  <c r="AI16" i="60" s="1"/>
  <c r="AL16" i="60"/>
  <c r="AK16" i="60" s="1"/>
  <c r="AN16" i="60"/>
  <c r="AM16" i="60" s="1"/>
  <c r="AP16" i="60"/>
  <c r="AO16" i="60" s="1"/>
  <c r="AF17" i="60"/>
  <c r="AI17" i="60"/>
  <c r="AJ17" i="60"/>
  <c r="AK17" i="60"/>
  <c r="AL17" i="60"/>
  <c r="AM17" i="60"/>
  <c r="AN17" i="60"/>
  <c r="AO17" i="60"/>
  <c r="AP17" i="60"/>
  <c r="AF18" i="60"/>
  <c r="AE18" i="60" s="1"/>
  <c r="AG18" i="60"/>
  <c r="AJ18" i="60"/>
  <c r="AI18" i="60" s="1"/>
  <c r="AL18" i="60"/>
  <c r="AK18" i="60" s="1"/>
  <c r="AN18" i="60"/>
  <c r="AM18" i="60" s="1"/>
  <c r="AP18" i="60"/>
  <c r="AO18" i="60" s="1"/>
  <c r="AE19" i="60"/>
  <c r="AF19" i="60"/>
  <c r="AG19" i="60"/>
  <c r="AI19" i="60"/>
  <c r="AJ19" i="60"/>
  <c r="AK19" i="60"/>
  <c r="AL19" i="60"/>
  <c r="AM19" i="60"/>
  <c r="AN19" i="60"/>
  <c r="AO19" i="60"/>
  <c r="AP19" i="60"/>
  <c r="AF20" i="60"/>
  <c r="AE20" i="60" s="1"/>
  <c r="AG20" i="60"/>
  <c r="AJ20" i="60"/>
  <c r="AI20" i="60" s="1"/>
  <c r="AL20" i="60"/>
  <c r="AK20" i="60" s="1"/>
  <c r="AN20" i="60"/>
  <c r="AM20" i="60" s="1"/>
  <c r="AP20" i="60"/>
  <c r="AO20" i="60" s="1"/>
  <c r="AF21" i="60"/>
  <c r="AI21" i="60"/>
  <c r="AJ21" i="60"/>
  <c r="AK21" i="60"/>
  <c r="AL21" i="60"/>
  <c r="AM21" i="60"/>
  <c r="AN21" i="60"/>
  <c r="AO21" i="60"/>
  <c r="AP21" i="60"/>
  <c r="AF22" i="60"/>
  <c r="AJ22" i="60"/>
  <c r="AI22" i="60" s="1"/>
  <c r="AL22" i="60"/>
  <c r="AK22" i="60" s="1"/>
  <c r="AN22" i="60"/>
  <c r="AM22" i="60" s="1"/>
  <c r="AP22" i="60"/>
  <c r="AO22" i="60" s="1"/>
  <c r="AF23" i="60"/>
  <c r="AG23" i="60"/>
  <c r="AJ23" i="60"/>
  <c r="AL23" i="60"/>
  <c r="AM23" i="60"/>
  <c r="AN23" i="60"/>
  <c r="AO23" i="60"/>
  <c r="AP23" i="60"/>
  <c r="AF24" i="60"/>
  <c r="AJ24" i="60"/>
  <c r="AI24" i="60" s="1"/>
  <c r="AL24" i="60"/>
  <c r="AK24" i="60" s="1"/>
  <c r="AN24" i="60"/>
  <c r="AM24" i="60" s="1"/>
  <c r="AP24" i="60"/>
  <c r="AO24" i="60" s="1"/>
  <c r="AE25" i="60"/>
  <c r="AF25" i="60"/>
  <c r="AG25" i="60"/>
  <c r="AI25" i="60"/>
  <c r="AJ25" i="60"/>
  <c r="AK25" i="60"/>
  <c r="AL25" i="60"/>
  <c r="AM25" i="60"/>
  <c r="AN25" i="60"/>
  <c r="AO25" i="60"/>
  <c r="AP25" i="60"/>
  <c r="AF26" i="60"/>
  <c r="AE26" i="60" s="1"/>
  <c r="AG26" i="60"/>
  <c r="AJ26" i="60"/>
  <c r="AI26" i="60" s="1"/>
  <c r="AL26" i="60"/>
  <c r="AK26" i="60" s="1"/>
  <c r="AN26" i="60"/>
  <c r="AM26" i="60" s="1"/>
  <c r="AP26" i="60"/>
  <c r="AO26" i="60" s="1"/>
  <c r="AE27" i="60"/>
  <c r="AF27" i="60"/>
  <c r="AG27" i="60"/>
  <c r="AI27" i="60"/>
  <c r="AJ27" i="60"/>
  <c r="AK27" i="60"/>
  <c r="AL27" i="60"/>
  <c r="AM27" i="60"/>
  <c r="AN27" i="60"/>
  <c r="AO27" i="60"/>
  <c r="AP27" i="60"/>
  <c r="AF28" i="60"/>
  <c r="AJ28" i="60"/>
  <c r="AI28" i="60" s="1"/>
  <c r="AL28" i="60"/>
  <c r="AK28" i="60" s="1"/>
  <c r="AN28" i="60"/>
  <c r="AM28" i="60" s="1"/>
  <c r="AP28" i="60"/>
  <c r="AO28" i="60" s="1"/>
  <c r="AF29" i="60"/>
  <c r="AI29" i="60"/>
  <c r="AJ29" i="60"/>
  <c r="AK29" i="60"/>
  <c r="AL29" i="60"/>
  <c r="AM29" i="60"/>
  <c r="AN29" i="60"/>
  <c r="AO29" i="60"/>
  <c r="AP29" i="60"/>
  <c r="AF30" i="60"/>
  <c r="AJ30" i="60"/>
  <c r="AI30" i="60" s="1"/>
  <c r="AL30" i="60"/>
  <c r="AK30" i="60" s="1"/>
  <c r="AN30" i="60"/>
  <c r="AM30" i="60" s="1"/>
  <c r="AP30" i="60"/>
  <c r="AO30" i="60" s="1"/>
  <c r="AF31" i="60"/>
  <c r="AI31" i="60"/>
  <c r="AJ31" i="60"/>
  <c r="AK31" i="60"/>
  <c r="AL31" i="60"/>
  <c r="AM31" i="60"/>
  <c r="AN31" i="60"/>
  <c r="AO31" i="60"/>
  <c r="AP31" i="60"/>
  <c r="AP7" i="60"/>
  <c r="AO7" i="60" s="1"/>
  <c r="AN7" i="60"/>
  <c r="AM7" i="60" s="1"/>
  <c r="AL7" i="60"/>
  <c r="AK7" i="60" s="1"/>
  <c r="AJ7" i="60"/>
  <c r="AI7" i="60" s="1"/>
  <c r="AF7" i="60"/>
  <c r="AF8" i="59"/>
  <c r="AJ8" i="59"/>
  <c r="AI8" i="59" s="1"/>
  <c r="AL8" i="59"/>
  <c r="AK8" i="59" s="1"/>
  <c r="AN8" i="59"/>
  <c r="AM8" i="59" s="1"/>
  <c r="AP8" i="59"/>
  <c r="AO8" i="59" s="1"/>
  <c r="AF9" i="59"/>
  <c r="AI9" i="59"/>
  <c r="AJ9" i="59"/>
  <c r="AK9" i="59"/>
  <c r="AL9" i="59"/>
  <c r="AM9" i="59"/>
  <c r="AN9" i="59"/>
  <c r="AO9" i="59"/>
  <c r="AP9" i="59"/>
  <c r="AF10" i="59"/>
  <c r="AJ10" i="59"/>
  <c r="AI10" i="59" s="1"/>
  <c r="AL10" i="59"/>
  <c r="AK10" i="59" s="1"/>
  <c r="AN10" i="59"/>
  <c r="AM10" i="59" s="1"/>
  <c r="AP10" i="59"/>
  <c r="AO10" i="59" s="1"/>
  <c r="AE11" i="59"/>
  <c r="AF11" i="59"/>
  <c r="AG11" i="59"/>
  <c r="AI11" i="59"/>
  <c r="AJ11" i="59"/>
  <c r="AK11" i="59"/>
  <c r="AL11" i="59"/>
  <c r="AM11" i="59"/>
  <c r="AN11" i="59"/>
  <c r="AO11" i="59"/>
  <c r="AP11" i="59"/>
  <c r="AF12" i="59"/>
  <c r="AE12" i="59" s="1"/>
  <c r="AG12" i="59"/>
  <c r="AJ12" i="59"/>
  <c r="AI12" i="59" s="1"/>
  <c r="AL12" i="59"/>
  <c r="AK12" i="59" s="1"/>
  <c r="AN12" i="59"/>
  <c r="AM12" i="59" s="1"/>
  <c r="AP12" i="59"/>
  <c r="AO12" i="59" s="1"/>
  <c r="AE13" i="59"/>
  <c r="AF13" i="59"/>
  <c r="AG13" i="59"/>
  <c r="AI13" i="59"/>
  <c r="AJ13" i="59"/>
  <c r="AK13" i="59"/>
  <c r="AL13" i="59"/>
  <c r="AM13" i="59"/>
  <c r="AN13" i="59"/>
  <c r="AO13" i="59"/>
  <c r="AP13" i="59"/>
  <c r="AF14" i="59"/>
  <c r="AJ14" i="59"/>
  <c r="AI14" i="59" s="1"/>
  <c r="AL14" i="59"/>
  <c r="AK14" i="59" s="1"/>
  <c r="AN14" i="59"/>
  <c r="AM14" i="59" s="1"/>
  <c r="AP14" i="59"/>
  <c r="AO14" i="59" s="1"/>
  <c r="AF15" i="59"/>
  <c r="AI15" i="59"/>
  <c r="AJ15" i="59"/>
  <c r="AK15" i="59"/>
  <c r="AL15" i="59"/>
  <c r="AM15" i="59"/>
  <c r="AN15" i="59"/>
  <c r="AO15" i="59"/>
  <c r="AP15" i="59"/>
  <c r="AF16" i="59"/>
  <c r="AJ16" i="59"/>
  <c r="AI16" i="59" s="1"/>
  <c r="AL16" i="59"/>
  <c r="AK16" i="59" s="1"/>
  <c r="AN16" i="59"/>
  <c r="AM16" i="59" s="1"/>
  <c r="AP16" i="59"/>
  <c r="AO16" i="59" s="1"/>
  <c r="AF17" i="59"/>
  <c r="AI17" i="59"/>
  <c r="AJ17" i="59"/>
  <c r="AK17" i="59"/>
  <c r="AL17" i="59"/>
  <c r="AM17" i="59"/>
  <c r="AN17" i="59"/>
  <c r="AO17" i="59"/>
  <c r="AP17" i="59"/>
  <c r="AF18" i="59"/>
  <c r="AE18" i="59" s="1"/>
  <c r="AG18" i="59"/>
  <c r="AJ18" i="59"/>
  <c r="AI18" i="59" s="1"/>
  <c r="AL18" i="59"/>
  <c r="AK18" i="59" s="1"/>
  <c r="AN18" i="59"/>
  <c r="AM18" i="59" s="1"/>
  <c r="AP18" i="59"/>
  <c r="AO18" i="59" s="1"/>
  <c r="AE19" i="59"/>
  <c r="AF19" i="59"/>
  <c r="AG19" i="59"/>
  <c r="AI19" i="59"/>
  <c r="AJ19" i="59"/>
  <c r="AK19" i="59"/>
  <c r="AL19" i="59"/>
  <c r="AM19" i="59"/>
  <c r="AN19" i="59"/>
  <c r="AO19" i="59"/>
  <c r="AP19" i="59"/>
  <c r="AF20" i="59"/>
  <c r="AE20" i="59" s="1"/>
  <c r="AG20" i="59"/>
  <c r="AJ20" i="59"/>
  <c r="AI20" i="59" s="1"/>
  <c r="AL20" i="59"/>
  <c r="AK20" i="59" s="1"/>
  <c r="AN20" i="59"/>
  <c r="AM20" i="59" s="1"/>
  <c r="AP20" i="59"/>
  <c r="AO20" i="59" s="1"/>
  <c r="AF21" i="59"/>
  <c r="AI21" i="59"/>
  <c r="AJ21" i="59"/>
  <c r="AK21" i="59"/>
  <c r="AL21" i="59"/>
  <c r="AM21" i="59"/>
  <c r="AN21" i="59"/>
  <c r="AO21" i="59"/>
  <c r="AP21" i="59"/>
  <c r="AF22" i="59"/>
  <c r="AJ22" i="59"/>
  <c r="AI22" i="59" s="1"/>
  <c r="AL22" i="59"/>
  <c r="AK22" i="59" s="1"/>
  <c r="AN22" i="59"/>
  <c r="AM22" i="59" s="1"/>
  <c r="AP22" i="59"/>
  <c r="AO22" i="59" s="1"/>
  <c r="AF23" i="59"/>
  <c r="AI23" i="59"/>
  <c r="AJ23" i="59"/>
  <c r="AK23" i="59"/>
  <c r="AL23" i="59"/>
  <c r="AM23" i="59"/>
  <c r="AN23" i="59"/>
  <c r="AO23" i="59"/>
  <c r="AP23" i="59"/>
  <c r="AF24" i="59"/>
  <c r="AJ24" i="59"/>
  <c r="AI24" i="59" s="1"/>
  <c r="AL24" i="59"/>
  <c r="AK24" i="59" s="1"/>
  <c r="AN24" i="59"/>
  <c r="AM24" i="59" s="1"/>
  <c r="AP24" i="59"/>
  <c r="AO24" i="59" s="1"/>
  <c r="AE25" i="59"/>
  <c r="AF25" i="59"/>
  <c r="AG25" i="59"/>
  <c r="AI25" i="59"/>
  <c r="AJ25" i="59"/>
  <c r="AK25" i="59"/>
  <c r="AL25" i="59"/>
  <c r="AM25" i="59"/>
  <c r="AN25" i="59"/>
  <c r="AO25" i="59"/>
  <c r="AP25" i="59"/>
  <c r="AF26" i="59"/>
  <c r="AE26" i="59" s="1"/>
  <c r="AG26" i="59"/>
  <c r="AJ26" i="59"/>
  <c r="AI26" i="59" s="1"/>
  <c r="AL26" i="59"/>
  <c r="AK26" i="59" s="1"/>
  <c r="AN26" i="59"/>
  <c r="AM26" i="59" s="1"/>
  <c r="AP26" i="59"/>
  <c r="AO26" i="59" s="1"/>
  <c r="AE27" i="59"/>
  <c r="AF27" i="59"/>
  <c r="AG27" i="59"/>
  <c r="AI27" i="59"/>
  <c r="AJ27" i="59"/>
  <c r="AK27" i="59"/>
  <c r="AL27" i="59"/>
  <c r="AM27" i="59"/>
  <c r="AN27" i="59"/>
  <c r="AO27" i="59"/>
  <c r="AP27" i="59"/>
  <c r="AF28" i="59"/>
  <c r="AJ28" i="59"/>
  <c r="AI28" i="59" s="1"/>
  <c r="AL28" i="59"/>
  <c r="AK28" i="59" s="1"/>
  <c r="AN28" i="59"/>
  <c r="AM28" i="59" s="1"/>
  <c r="AP28" i="59"/>
  <c r="AO28" i="59" s="1"/>
  <c r="AF29" i="59"/>
  <c r="AI29" i="59"/>
  <c r="AJ29" i="59"/>
  <c r="AK29" i="59"/>
  <c r="AL29" i="59"/>
  <c r="AM29" i="59"/>
  <c r="AN29" i="59"/>
  <c r="AO29" i="59"/>
  <c r="AP29" i="59"/>
  <c r="AF30" i="59"/>
  <c r="AJ30" i="59"/>
  <c r="AI30" i="59" s="1"/>
  <c r="AL30" i="59"/>
  <c r="AK30" i="59" s="1"/>
  <c r="AN30" i="59"/>
  <c r="AM30" i="59" s="1"/>
  <c r="AP30" i="59"/>
  <c r="AO30" i="59" s="1"/>
  <c r="AF31" i="59"/>
  <c r="AI31" i="59"/>
  <c r="AJ31" i="59"/>
  <c r="AK31" i="59"/>
  <c r="AL31" i="59"/>
  <c r="AM31" i="59"/>
  <c r="AN31" i="59"/>
  <c r="AO31" i="59"/>
  <c r="AP31" i="59"/>
  <c r="AP7" i="59"/>
  <c r="AO7" i="59" s="1"/>
  <c r="AN7" i="59"/>
  <c r="AM7" i="59" s="1"/>
  <c r="AL7" i="59"/>
  <c r="AK7" i="59" s="1"/>
  <c r="AJ7" i="59"/>
  <c r="AI7" i="59" s="1"/>
  <c r="AF7" i="59"/>
  <c r="AF8" i="58"/>
  <c r="AJ8" i="58"/>
  <c r="AL8" i="58"/>
  <c r="AN8" i="58"/>
  <c r="AM8" i="58" s="1"/>
  <c r="AP8" i="58"/>
  <c r="AO8" i="58" s="1"/>
  <c r="AF9" i="58"/>
  <c r="AI9" i="58"/>
  <c r="AJ9" i="58"/>
  <c r="AK9" i="58"/>
  <c r="AL9" i="58"/>
  <c r="AM9" i="58"/>
  <c r="AN9" i="58"/>
  <c r="AO9" i="58"/>
  <c r="AP9" i="58"/>
  <c r="AF10" i="58"/>
  <c r="AE10" i="58" s="1"/>
  <c r="AG10" i="58"/>
  <c r="AJ10" i="58"/>
  <c r="AI10" i="58" s="1"/>
  <c r="AL10" i="58"/>
  <c r="AK10" i="58" s="1"/>
  <c r="AN10" i="58"/>
  <c r="AM10" i="58" s="1"/>
  <c r="AP10" i="58"/>
  <c r="AO10" i="58" s="1"/>
  <c r="AE11" i="58"/>
  <c r="AF11" i="58"/>
  <c r="AG11" i="58"/>
  <c r="AI11" i="58"/>
  <c r="AJ11" i="58"/>
  <c r="AK11" i="58"/>
  <c r="AL11" i="58"/>
  <c r="AM11" i="58"/>
  <c r="AN11" i="58"/>
  <c r="AO11" i="58"/>
  <c r="AP11" i="58"/>
  <c r="AF12" i="58"/>
  <c r="AE12" i="58" s="1"/>
  <c r="AG12" i="58"/>
  <c r="AJ12" i="58"/>
  <c r="AI12" i="58" s="1"/>
  <c r="AL12" i="58"/>
  <c r="AK12" i="58" s="1"/>
  <c r="AN12" i="58"/>
  <c r="AM12" i="58" s="1"/>
  <c r="AP12" i="58"/>
  <c r="AO12" i="58" s="1"/>
  <c r="AE13" i="58"/>
  <c r="AF13" i="58"/>
  <c r="AG13" i="58"/>
  <c r="AI13" i="58"/>
  <c r="AJ13" i="58"/>
  <c r="AK13" i="58"/>
  <c r="AL13" i="58"/>
  <c r="AM13" i="58"/>
  <c r="AN13" i="58"/>
  <c r="AO13" i="58"/>
  <c r="AP13" i="58"/>
  <c r="AF14" i="58"/>
  <c r="AJ14" i="58"/>
  <c r="AI14" i="58" s="1"/>
  <c r="AL14" i="58"/>
  <c r="AK14" i="58" s="1"/>
  <c r="AN14" i="58"/>
  <c r="AM14" i="58" s="1"/>
  <c r="AP14" i="58"/>
  <c r="AO14" i="58" s="1"/>
  <c r="AF15" i="58"/>
  <c r="AG15" i="58"/>
  <c r="AJ15" i="58"/>
  <c r="AL15" i="58"/>
  <c r="AM15" i="58"/>
  <c r="AN15" i="58"/>
  <c r="AO15" i="58"/>
  <c r="AP15" i="58"/>
  <c r="AF16" i="58"/>
  <c r="AJ16" i="58"/>
  <c r="AI16" i="58" s="1"/>
  <c r="AL16" i="58"/>
  <c r="AK16" i="58" s="1"/>
  <c r="AN16" i="58"/>
  <c r="AM16" i="58" s="1"/>
  <c r="AP16" i="58"/>
  <c r="AO16" i="58" s="1"/>
  <c r="AF17" i="58"/>
  <c r="AI17" i="58"/>
  <c r="AJ17" i="58"/>
  <c r="AK17" i="58"/>
  <c r="AL17" i="58"/>
  <c r="AM17" i="58"/>
  <c r="AN17" i="58"/>
  <c r="AO17" i="58"/>
  <c r="AP17" i="58"/>
  <c r="AF18" i="58"/>
  <c r="AE18" i="58" s="1"/>
  <c r="AG18" i="58"/>
  <c r="AJ18" i="58"/>
  <c r="AI18" i="58" s="1"/>
  <c r="AL18" i="58"/>
  <c r="AK18" i="58" s="1"/>
  <c r="AN18" i="58"/>
  <c r="AM18" i="58" s="1"/>
  <c r="AP18" i="58"/>
  <c r="AO18" i="58" s="1"/>
  <c r="AE19" i="58"/>
  <c r="AF19" i="58"/>
  <c r="AG19" i="58"/>
  <c r="AI19" i="58"/>
  <c r="AJ19" i="58"/>
  <c r="AK19" i="58"/>
  <c r="AL19" i="58"/>
  <c r="AM19" i="58"/>
  <c r="AN19" i="58"/>
  <c r="AO19" i="58"/>
  <c r="AP19" i="58"/>
  <c r="AF20" i="58"/>
  <c r="AE20" i="58" s="1"/>
  <c r="AG20" i="58"/>
  <c r="AJ20" i="58"/>
  <c r="AI20" i="58" s="1"/>
  <c r="AL20" i="58"/>
  <c r="AK20" i="58" s="1"/>
  <c r="AN20" i="58"/>
  <c r="AM20" i="58" s="1"/>
  <c r="AP20" i="58"/>
  <c r="AO20" i="58" s="1"/>
  <c r="AF21" i="58"/>
  <c r="AI21" i="58"/>
  <c r="AJ21" i="58"/>
  <c r="AK21" i="58"/>
  <c r="AL21" i="58"/>
  <c r="AM21" i="58"/>
  <c r="AN21" i="58"/>
  <c r="AO21" i="58"/>
  <c r="AP21" i="58"/>
  <c r="AF22" i="58"/>
  <c r="AJ22" i="58"/>
  <c r="AI22" i="58" s="1"/>
  <c r="AL22" i="58"/>
  <c r="AK22" i="58" s="1"/>
  <c r="AN22" i="58"/>
  <c r="AM22" i="58" s="1"/>
  <c r="AP22" i="58"/>
  <c r="AO22" i="58" s="1"/>
  <c r="AF23" i="58"/>
  <c r="AI23" i="58"/>
  <c r="AJ23" i="58"/>
  <c r="AK23" i="58"/>
  <c r="AL23" i="58"/>
  <c r="AM23" i="58"/>
  <c r="AN23" i="58"/>
  <c r="AO23" i="58"/>
  <c r="AP23" i="58"/>
  <c r="AF24" i="58"/>
  <c r="AJ24" i="58"/>
  <c r="AI24" i="58" s="1"/>
  <c r="AL24" i="58"/>
  <c r="AK24" i="58" s="1"/>
  <c r="AN24" i="58"/>
  <c r="AM24" i="58" s="1"/>
  <c r="AP24" i="58"/>
  <c r="AO24" i="58" s="1"/>
  <c r="AE25" i="58"/>
  <c r="AF25" i="58"/>
  <c r="AG25" i="58"/>
  <c r="AI25" i="58"/>
  <c r="AJ25" i="58"/>
  <c r="AK25" i="58"/>
  <c r="AL25" i="58"/>
  <c r="AM25" i="58"/>
  <c r="AN25" i="58"/>
  <c r="AO25" i="58"/>
  <c r="AP25" i="58"/>
  <c r="AF26" i="58"/>
  <c r="AE26" i="58" s="1"/>
  <c r="AG26" i="58"/>
  <c r="AJ26" i="58"/>
  <c r="AI26" i="58" s="1"/>
  <c r="AL26" i="58"/>
  <c r="AK26" i="58" s="1"/>
  <c r="AN26" i="58"/>
  <c r="AM26" i="58" s="1"/>
  <c r="AP26" i="58"/>
  <c r="AO26" i="58" s="1"/>
  <c r="AE27" i="58"/>
  <c r="AF27" i="58"/>
  <c r="AG27" i="58"/>
  <c r="AI27" i="58"/>
  <c r="AJ27" i="58"/>
  <c r="AK27" i="58"/>
  <c r="AL27" i="58"/>
  <c r="AM27" i="58"/>
  <c r="AN27" i="58"/>
  <c r="AO27" i="58"/>
  <c r="AP27" i="58"/>
  <c r="AF28" i="58"/>
  <c r="AJ28" i="58"/>
  <c r="AI28" i="58" s="1"/>
  <c r="AL28" i="58"/>
  <c r="AK28" i="58" s="1"/>
  <c r="AN28" i="58"/>
  <c r="AM28" i="58" s="1"/>
  <c r="AP28" i="58"/>
  <c r="AO28" i="58" s="1"/>
  <c r="AF29" i="58"/>
  <c r="AI29" i="58"/>
  <c r="AJ29" i="58"/>
  <c r="AK29" i="58"/>
  <c r="AL29" i="58"/>
  <c r="AM29" i="58"/>
  <c r="AN29" i="58"/>
  <c r="AO29" i="58"/>
  <c r="AP29" i="58"/>
  <c r="AF30" i="58"/>
  <c r="AJ30" i="58"/>
  <c r="AI30" i="58" s="1"/>
  <c r="AL30" i="58"/>
  <c r="AK30" i="58" s="1"/>
  <c r="AN30" i="58"/>
  <c r="AM30" i="58" s="1"/>
  <c r="AP30" i="58"/>
  <c r="AO30" i="58" s="1"/>
  <c r="AF31" i="58"/>
  <c r="AJ31" i="58"/>
  <c r="AI31" i="58" s="1"/>
  <c r="AL31" i="58"/>
  <c r="AK31" i="58" s="1"/>
  <c r="AN31" i="58"/>
  <c r="AM31" i="58" s="1"/>
  <c r="AP31" i="58"/>
  <c r="AO31" i="58" s="1"/>
  <c r="AP7" i="58"/>
  <c r="AO7" i="58" s="1"/>
  <c r="AN7" i="58"/>
  <c r="AM7" i="58" s="1"/>
  <c r="AL7" i="58"/>
  <c r="AK7" i="58" s="1"/>
  <c r="AJ7" i="58"/>
  <c r="AI7" i="58" s="1"/>
  <c r="AF7" i="58"/>
  <c r="AF8" i="51"/>
  <c r="AG8" i="51"/>
  <c r="AJ8" i="51"/>
  <c r="AL8" i="51"/>
  <c r="AN8" i="51"/>
  <c r="AM8" i="51" s="1"/>
  <c r="AP8" i="51"/>
  <c r="AO8" i="51" s="1"/>
  <c r="AF9" i="51"/>
  <c r="AI9" i="51"/>
  <c r="AJ9" i="51"/>
  <c r="AK9" i="51"/>
  <c r="AL9" i="51"/>
  <c r="AM9" i="51"/>
  <c r="AN9" i="51"/>
  <c r="AO9" i="51"/>
  <c r="AP9" i="51"/>
  <c r="AF10" i="51"/>
  <c r="AE10" i="51" s="1"/>
  <c r="AG10" i="51"/>
  <c r="AJ10" i="51"/>
  <c r="AI10" i="51" s="1"/>
  <c r="AL10" i="51"/>
  <c r="AK10" i="51" s="1"/>
  <c r="AN10" i="51"/>
  <c r="AM10" i="51" s="1"/>
  <c r="AP10" i="51"/>
  <c r="AO10" i="51" s="1"/>
  <c r="AE11" i="51"/>
  <c r="AF11" i="51"/>
  <c r="AG11" i="51"/>
  <c r="AI11" i="51"/>
  <c r="AJ11" i="51"/>
  <c r="AK11" i="51"/>
  <c r="AL11" i="51"/>
  <c r="AM11" i="51"/>
  <c r="AN11" i="51"/>
  <c r="AO11" i="51"/>
  <c r="AP11" i="51"/>
  <c r="AF12" i="51"/>
  <c r="AE12" i="51" s="1"/>
  <c r="AG12" i="51"/>
  <c r="AJ12" i="51"/>
  <c r="AI12" i="51" s="1"/>
  <c r="AL12" i="51"/>
  <c r="AK12" i="51" s="1"/>
  <c r="AN12" i="51"/>
  <c r="AM12" i="51" s="1"/>
  <c r="AP12" i="51"/>
  <c r="AO12" i="51" s="1"/>
  <c r="AE13" i="51"/>
  <c r="AF13" i="51"/>
  <c r="AG13" i="51"/>
  <c r="AI13" i="51"/>
  <c r="AJ13" i="51"/>
  <c r="AK13" i="51"/>
  <c r="AL13" i="51"/>
  <c r="AM13" i="51"/>
  <c r="AN13" i="51"/>
  <c r="AO13" i="51"/>
  <c r="AP13" i="51"/>
  <c r="AF14" i="51"/>
  <c r="AJ14" i="51"/>
  <c r="AI14" i="51" s="1"/>
  <c r="AL14" i="51"/>
  <c r="AK14" i="51" s="1"/>
  <c r="AN14" i="51"/>
  <c r="AM14" i="51" s="1"/>
  <c r="AP14" i="51"/>
  <c r="AO14" i="51" s="1"/>
  <c r="AF15" i="51"/>
  <c r="AI15" i="51"/>
  <c r="AJ15" i="51"/>
  <c r="AK15" i="51"/>
  <c r="AL15" i="51"/>
  <c r="AM15" i="51"/>
  <c r="AN15" i="51"/>
  <c r="AO15" i="51"/>
  <c r="AP15" i="51"/>
  <c r="AF16" i="51"/>
  <c r="AJ16" i="51"/>
  <c r="AI16" i="51" s="1"/>
  <c r="AL16" i="51"/>
  <c r="AK16" i="51" s="1"/>
  <c r="AN16" i="51"/>
  <c r="AM16" i="51" s="1"/>
  <c r="AP16" i="51"/>
  <c r="AO16" i="51" s="1"/>
  <c r="AF17" i="51"/>
  <c r="AI17" i="51"/>
  <c r="AJ17" i="51"/>
  <c r="AK17" i="51"/>
  <c r="AL17" i="51"/>
  <c r="AM17" i="51"/>
  <c r="AN17" i="51"/>
  <c r="AO17" i="51"/>
  <c r="AP17" i="51"/>
  <c r="AF18" i="51"/>
  <c r="AE18" i="51" s="1"/>
  <c r="AG18" i="51"/>
  <c r="AJ18" i="51"/>
  <c r="AI18" i="51" s="1"/>
  <c r="AL18" i="51"/>
  <c r="AK18" i="51" s="1"/>
  <c r="AN18" i="51"/>
  <c r="AM18" i="51" s="1"/>
  <c r="AP18" i="51"/>
  <c r="AO18" i="51" s="1"/>
  <c r="AE19" i="51"/>
  <c r="AF19" i="51"/>
  <c r="AG19" i="51"/>
  <c r="AI19" i="51"/>
  <c r="AJ19" i="51"/>
  <c r="AK19" i="51"/>
  <c r="AL19" i="51"/>
  <c r="AM19" i="51"/>
  <c r="AN19" i="51"/>
  <c r="AO19" i="51"/>
  <c r="AP19" i="51"/>
  <c r="AF20" i="51"/>
  <c r="AE20" i="51" s="1"/>
  <c r="AG20" i="51"/>
  <c r="AJ20" i="51"/>
  <c r="AI20" i="51" s="1"/>
  <c r="AL20" i="51"/>
  <c r="AK20" i="51" s="1"/>
  <c r="AN20" i="51"/>
  <c r="AM20" i="51" s="1"/>
  <c r="AP20" i="51"/>
  <c r="AO20" i="51" s="1"/>
  <c r="AF21" i="51"/>
  <c r="AI21" i="51"/>
  <c r="AJ21" i="51"/>
  <c r="AK21" i="51"/>
  <c r="AL21" i="51"/>
  <c r="AM21" i="51"/>
  <c r="AN21" i="51"/>
  <c r="AO21" i="51"/>
  <c r="AP21" i="51"/>
  <c r="AF22" i="51"/>
  <c r="AJ22" i="51"/>
  <c r="AI22" i="51" s="1"/>
  <c r="AL22" i="51"/>
  <c r="AK22" i="51" s="1"/>
  <c r="AN22" i="51"/>
  <c r="AM22" i="51" s="1"/>
  <c r="AP22" i="51"/>
  <c r="AO22" i="51" s="1"/>
  <c r="AF23" i="51"/>
  <c r="AI23" i="51"/>
  <c r="AJ23" i="51"/>
  <c r="AK23" i="51"/>
  <c r="AL23" i="51"/>
  <c r="AM23" i="51"/>
  <c r="AN23" i="51"/>
  <c r="AO23" i="51"/>
  <c r="AP23" i="51"/>
  <c r="AF24" i="51"/>
  <c r="AJ24" i="51"/>
  <c r="AI24" i="51" s="1"/>
  <c r="AL24" i="51"/>
  <c r="AK24" i="51" s="1"/>
  <c r="AN24" i="51"/>
  <c r="AM24" i="51" s="1"/>
  <c r="AP24" i="51"/>
  <c r="AO24" i="51" s="1"/>
  <c r="AE25" i="51"/>
  <c r="AF25" i="51"/>
  <c r="AG25" i="51"/>
  <c r="AI25" i="51"/>
  <c r="AJ25" i="51"/>
  <c r="AK25" i="51"/>
  <c r="AL25" i="51"/>
  <c r="AM25" i="51"/>
  <c r="AN25" i="51"/>
  <c r="AO25" i="51"/>
  <c r="AP25" i="51"/>
  <c r="AF26" i="51"/>
  <c r="AE26" i="51" s="1"/>
  <c r="AG26" i="51"/>
  <c r="AJ26" i="51"/>
  <c r="AI26" i="51" s="1"/>
  <c r="AL26" i="51"/>
  <c r="AK26" i="51" s="1"/>
  <c r="AN26" i="51"/>
  <c r="AM26" i="51" s="1"/>
  <c r="AP26" i="51"/>
  <c r="AO26" i="51" s="1"/>
  <c r="AE27" i="51"/>
  <c r="AF27" i="51"/>
  <c r="AG27" i="51"/>
  <c r="AI27" i="51"/>
  <c r="AJ27" i="51"/>
  <c r="AK27" i="51"/>
  <c r="AL27" i="51"/>
  <c r="AM27" i="51"/>
  <c r="AN27" i="51"/>
  <c r="AO27" i="51"/>
  <c r="AP27" i="51"/>
  <c r="AF28" i="51"/>
  <c r="AJ28" i="51"/>
  <c r="AI28" i="51" s="1"/>
  <c r="AL28" i="51"/>
  <c r="AK28" i="51" s="1"/>
  <c r="AN28" i="51"/>
  <c r="AM28" i="51" s="1"/>
  <c r="AP28" i="51"/>
  <c r="AO28" i="51" s="1"/>
  <c r="AF29" i="51"/>
  <c r="AI29" i="51"/>
  <c r="AJ29" i="51"/>
  <c r="AK29" i="51"/>
  <c r="AL29" i="51"/>
  <c r="AM29" i="51"/>
  <c r="AN29" i="51"/>
  <c r="AO29" i="51"/>
  <c r="AP29" i="51"/>
  <c r="AF30" i="51"/>
  <c r="AJ30" i="51"/>
  <c r="AI30" i="51" s="1"/>
  <c r="AL30" i="51"/>
  <c r="AK30" i="51" s="1"/>
  <c r="AN30" i="51"/>
  <c r="AM30" i="51" s="1"/>
  <c r="AP30" i="51"/>
  <c r="AO30" i="51" s="1"/>
  <c r="AF31" i="51"/>
  <c r="AI31" i="51"/>
  <c r="AJ31" i="51"/>
  <c r="AK31" i="51"/>
  <c r="AL31" i="51"/>
  <c r="AM31" i="51"/>
  <c r="AN31" i="51"/>
  <c r="AO31" i="51"/>
  <c r="AP31" i="51"/>
  <c r="AP7" i="51"/>
  <c r="AO7" i="51" s="1"/>
  <c r="AN7" i="51"/>
  <c r="AM7" i="51" s="1"/>
  <c r="AL7" i="51"/>
  <c r="AK7" i="51" s="1"/>
  <c r="AJ7" i="51"/>
  <c r="AI7" i="51" s="1"/>
  <c r="AF7" i="51"/>
  <c r="AF8" i="55"/>
  <c r="AJ8" i="55"/>
  <c r="AI8" i="55" s="1"/>
  <c r="AL8" i="55"/>
  <c r="AK8" i="55" s="1"/>
  <c r="AN8" i="55"/>
  <c r="AM8" i="55" s="1"/>
  <c r="AP8" i="55"/>
  <c r="AO8" i="55" s="1"/>
  <c r="AF9" i="55"/>
  <c r="AG9" i="55"/>
  <c r="AJ9" i="55"/>
  <c r="AL9" i="55"/>
  <c r="AN9" i="55"/>
  <c r="AM9" i="55" s="1"/>
  <c r="AP9" i="55"/>
  <c r="AO9" i="55" s="1"/>
  <c r="AF10" i="55"/>
  <c r="AE10" i="55" s="1"/>
  <c r="AG10" i="55"/>
  <c r="AJ10" i="55"/>
  <c r="AI10" i="55" s="1"/>
  <c r="AL10" i="55"/>
  <c r="AK10" i="55" s="1"/>
  <c r="AN10" i="55"/>
  <c r="AM10" i="55" s="1"/>
  <c r="AP10" i="55"/>
  <c r="AO10" i="55" s="1"/>
  <c r="AF11" i="55"/>
  <c r="AE11" i="55" s="1"/>
  <c r="AG11" i="55"/>
  <c r="AJ11" i="55"/>
  <c r="AI11" i="55" s="1"/>
  <c r="AL11" i="55"/>
  <c r="AK11" i="55" s="1"/>
  <c r="AN11" i="55"/>
  <c r="AM11" i="55" s="1"/>
  <c r="AP11" i="55"/>
  <c r="AO11" i="55" s="1"/>
  <c r="AF12" i="55"/>
  <c r="AE12" i="55" s="1"/>
  <c r="AG12" i="55"/>
  <c r="AJ12" i="55"/>
  <c r="AI12" i="55" s="1"/>
  <c r="AL12" i="55"/>
  <c r="AK12" i="55" s="1"/>
  <c r="AN12" i="55"/>
  <c r="AM12" i="55" s="1"/>
  <c r="AP12" i="55"/>
  <c r="AO12" i="55" s="1"/>
  <c r="AF13" i="55"/>
  <c r="AE13" i="55" s="1"/>
  <c r="AG13" i="55"/>
  <c r="AJ13" i="55"/>
  <c r="AI13" i="55" s="1"/>
  <c r="AL13" i="55"/>
  <c r="AK13" i="55" s="1"/>
  <c r="AN13" i="55"/>
  <c r="AM13" i="55" s="1"/>
  <c r="AP13" i="55"/>
  <c r="AO13" i="55" s="1"/>
  <c r="AF14" i="55"/>
  <c r="AJ14" i="55"/>
  <c r="AI14" i="55" s="1"/>
  <c r="AL14" i="55"/>
  <c r="AK14" i="55" s="1"/>
  <c r="AN14" i="55"/>
  <c r="AM14" i="55" s="1"/>
  <c r="AP14" i="55"/>
  <c r="AO14" i="55" s="1"/>
  <c r="AF15" i="55"/>
  <c r="AJ15" i="55"/>
  <c r="AI15" i="55" s="1"/>
  <c r="AL15" i="55"/>
  <c r="AK15" i="55" s="1"/>
  <c r="AN15" i="55"/>
  <c r="AM15" i="55" s="1"/>
  <c r="AP15" i="55"/>
  <c r="AO15" i="55" s="1"/>
  <c r="AF16" i="55"/>
  <c r="AJ16" i="55"/>
  <c r="AI16" i="55" s="1"/>
  <c r="AL16" i="55"/>
  <c r="AK16" i="55" s="1"/>
  <c r="AN16" i="55"/>
  <c r="AM16" i="55" s="1"/>
  <c r="AP16" i="55"/>
  <c r="AO16" i="55" s="1"/>
  <c r="AF17" i="55"/>
  <c r="AE17" i="55" s="1"/>
  <c r="AG17" i="55"/>
  <c r="AJ17" i="55"/>
  <c r="AI17" i="55" s="1"/>
  <c r="AL17" i="55"/>
  <c r="AK17" i="55" s="1"/>
  <c r="AN17" i="55"/>
  <c r="AM17" i="55" s="1"/>
  <c r="AP17" i="55"/>
  <c r="AO17" i="55" s="1"/>
  <c r="AF18" i="55"/>
  <c r="AE18" i="55" s="1"/>
  <c r="AG18" i="55"/>
  <c r="AJ18" i="55"/>
  <c r="AI18" i="55" s="1"/>
  <c r="AL18" i="55"/>
  <c r="AK18" i="55" s="1"/>
  <c r="AN18" i="55"/>
  <c r="AM18" i="55" s="1"/>
  <c r="AP18" i="55"/>
  <c r="AO18" i="55" s="1"/>
  <c r="AF19" i="55"/>
  <c r="AE19" i="55" s="1"/>
  <c r="AG19" i="55"/>
  <c r="AJ19" i="55"/>
  <c r="AI19" i="55" s="1"/>
  <c r="AL19" i="55"/>
  <c r="AK19" i="55" s="1"/>
  <c r="AN19" i="55"/>
  <c r="AM19" i="55" s="1"/>
  <c r="AP19" i="55"/>
  <c r="AO19" i="55" s="1"/>
  <c r="AF20" i="55"/>
  <c r="AE20" i="55" s="1"/>
  <c r="AG20" i="55"/>
  <c r="AJ20" i="55"/>
  <c r="AI20" i="55" s="1"/>
  <c r="AL20" i="55"/>
  <c r="AK20" i="55" s="1"/>
  <c r="AN20" i="55"/>
  <c r="AM20" i="55" s="1"/>
  <c r="AP20" i="55"/>
  <c r="AO20" i="55" s="1"/>
  <c r="AF21" i="55"/>
  <c r="AJ21" i="55"/>
  <c r="AI21" i="55" s="1"/>
  <c r="AL21" i="55"/>
  <c r="AK21" i="55" s="1"/>
  <c r="AN21" i="55"/>
  <c r="AM21" i="55" s="1"/>
  <c r="AP21" i="55"/>
  <c r="AO21" i="55" s="1"/>
  <c r="AF22" i="55"/>
  <c r="AJ22" i="55"/>
  <c r="AI22" i="55" s="1"/>
  <c r="AL22" i="55"/>
  <c r="AK22" i="55" s="1"/>
  <c r="AN22" i="55"/>
  <c r="AM22" i="55" s="1"/>
  <c r="AP22" i="55"/>
  <c r="AO22" i="55" s="1"/>
  <c r="AF23" i="55"/>
  <c r="AJ23" i="55"/>
  <c r="AI23" i="55" s="1"/>
  <c r="AL23" i="55"/>
  <c r="AK23" i="55" s="1"/>
  <c r="AN23" i="55"/>
  <c r="AM23" i="55" s="1"/>
  <c r="AP23" i="55"/>
  <c r="AO23" i="55" s="1"/>
  <c r="AF24" i="55"/>
  <c r="AE24" i="55" s="1"/>
  <c r="AG24" i="55"/>
  <c r="AJ24" i="55"/>
  <c r="AI24" i="55" s="1"/>
  <c r="AL24" i="55"/>
  <c r="AK24" i="55" s="1"/>
  <c r="AN24" i="55"/>
  <c r="AM24" i="55" s="1"/>
  <c r="AP24" i="55"/>
  <c r="AO24" i="55" s="1"/>
  <c r="AF25" i="55"/>
  <c r="AE25" i="55" s="1"/>
  <c r="AG25" i="55"/>
  <c r="AJ25" i="55"/>
  <c r="AI25" i="55" s="1"/>
  <c r="AL25" i="55"/>
  <c r="AK25" i="55" s="1"/>
  <c r="AN25" i="55"/>
  <c r="AM25" i="55" s="1"/>
  <c r="AP25" i="55"/>
  <c r="AO25" i="55" s="1"/>
  <c r="AF26" i="55"/>
  <c r="AE26" i="55" s="1"/>
  <c r="AG26" i="55"/>
  <c r="AJ26" i="55"/>
  <c r="AI26" i="55" s="1"/>
  <c r="AL26" i="55"/>
  <c r="AK26" i="55" s="1"/>
  <c r="AN26" i="55"/>
  <c r="AM26" i="55" s="1"/>
  <c r="AP26" i="55"/>
  <c r="AO26" i="55" s="1"/>
  <c r="AF27" i="55"/>
  <c r="AE27" i="55" s="1"/>
  <c r="AG27" i="55"/>
  <c r="AJ27" i="55"/>
  <c r="AI27" i="55" s="1"/>
  <c r="AL27" i="55"/>
  <c r="AK27" i="55" s="1"/>
  <c r="AN27" i="55"/>
  <c r="AM27" i="55" s="1"/>
  <c r="AP27" i="55"/>
  <c r="AO27" i="55" s="1"/>
  <c r="AF28" i="55"/>
  <c r="AJ28" i="55"/>
  <c r="AI28" i="55" s="1"/>
  <c r="AL28" i="55"/>
  <c r="AK28" i="55" s="1"/>
  <c r="AN28" i="55"/>
  <c r="AM28" i="55" s="1"/>
  <c r="AP28" i="55"/>
  <c r="AO28" i="55" s="1"/>
  <c r="AF29" i="55"/>
  <c r="AJ29" i="55"/>
  <c r="AI29" i="55" s="1"/>
  <c r="AL29" i="55"/>
  <c r="AK29" i="55" s="1"/>
  <c r="AN29" i="55"/>
  <c r="AM29" i="55" s="1"/>
  <c r="AP29" i="55"/>
  <c r="AO29" i="55" s="1"/>
  <c r="AF30" i="55"/>
  <c r="AJ30" i="55"/>
  <c r="AI30" i="55" s="1"/>
  <c r="AL30" i="55"/>
  <c r="AK30" i="55" s="1"/>
  <c r="AN30" i="55"/>
  <c r="AM30" i="55" s="1"/>
  <c r="AP30" i="55"/>
  <c r="AO30" i="55" s="1"/>
  <c r="AF31" i="55"/>
  <c r="AE31" i="55" s="1"/>
  <c r="AG31" i="55"/>
  <c r="AJ31" i="55"/>
  <c r="AI31" i="55" s="1"/>
  <c r="AL31" i="55"/>
  <c r="AK31" i="55" s="1"/>
  <c r="AN31" i="55"/>
  <c r="AM31" i="55" s="1"/>
  <c r="AP31" i="55"/>
  <c r="AO31" i="55" s="1"/>
  <c r="AF32" i="55"/>
  <c r="AE32" i="55" s="1"/>
  <c r="AG32" i="55"/>
  <c r="AJ32" i="55"/>
  <c r="AI32" i="55" s="1"/>
  <c r="AL32" i="55"/>
  <c r="AK32" i="55" s="1"/>
  <c r="AN32" i="55"/>
  <c r="AM32" i="55" s="1"/>
  <c r="AP32" i="55"/>
  <c r="AO32" i="55" s="1"/>
  <c r="AF33" i="55"/>
  <c r="AE33" i="55" s="1"/>
  <c r="AG33" i="55"/>
  <c r="AJ33" i="55"/>
  <c r="AI33" i="55" s="1"/>
  <c r="AL33" i="55"/>
  <c r="AK33" i="55" s="1"/>
  <c r="AN33" i="55"/>
  <c r="AM33" i="55" s="1"/>
  <c r="AP33" i="55"/>
  <c r="AO33" i="55" s="1"/>
  <c r="AF34" i="55"/>
  <c r="AE34" i="55" s="1"/>
  <c r="AG34" i="55"/>
  <c r="AJ34" i="55"/>
  <c r="AI34" i="55" s="1"/>
  <c r="AL34" i="55"/>
  <c r="AK34" i="55" s="1"/>
  <c r="AN34" i="55"/>
  <c r="AM34" i="55" s="1"/>
  <c r="AP34" i="55"/>
  <c r="AO34" i="55" s="1"/>
  <c r="AF35" i="55"/>
  <c r="AG35" i="55"/>
  <c r="AJ35" i="55"/>
  <c r="AL35" i="55"/>
  <c r="AN35" i="55"/>
  <c r="AM35" i="55" s="1"/>
  <c r="AP35" i="55"/>
  <c r="AO35" i="55" s="1"/>
  <c r="AF36" i="55"/>
  <c r="AJ36" i="55"/>
  <c r="AI36" i="55" s="1"/>
  <c r="AL36" i="55"/>
  <c r="AK36" i="55" s="1"/>
  <c r="AN36" i="55"/>
  <c r="AM36" i="55" s="1"/>
  <c r="AP36" i="55"/>
  <c r="AO36" i="55" s="1"/>
  <c r="AF37" i="55"/>
  <c r="AG37" i="55"/>
  <c r="AJ37" i="55"/>
  <c r="AL37" i="55"/>
  <c r="AN37" i="55"/>
  <c r="AM37" i="55" s="1"/>
  <c r="AP37" i="55"/>
  <c r="AO37" i="55" s="1"/>
  <c r="AF38" i="55"/>
  <c r="AE38" i="55" s="1"/>
  <c r="AG38" i="55"/>
  <c r="AJ38" i="55"/>
  <c r="AI38" i="55" s="1"/>
  <c r="AL38" i="55"/>
  <c r="AK38" i="55" s="1"/>
  <c r="AN38" i="55"/>
  <c r="AM38" i="55" s="1"/>
  <c r="AP38" i="55"/>
  <c r="AO38" i="55" s="1"/>
  <c r="AF39" i="55"/>
  <c r="AE39" i="55" s="1"/>
  <c r="AG39" i="55"/>
  <c r="AJ39" i="55"/>
  <c r="AI39" i="55" s="1"/>
  <c r="AL39" i="55"/>
  <c r="AK39" i="55" s="1"/>
  <c r="AN39" i="55"/>
  <c r="AM39" i="55" s="1"/>
  <c r="AP39" i="55"/>
  <c r="AO39" i="55" s="1"/>
  <c r="AF40" i="55"/>
  <c r="AE40" i="55" s="1"/>
  <c r="AG40" i="55"/>
  <c r="AJ40" i="55"/>
  <c r="AI40" i="55" s="1"/>
  <c r="AL40" i="55"/>
  <c r="AK40" i="55" s="1"/>
  <c r="AN40" i="55"/>
  <c r="AM40" i="55" s="1"/>
  <c r="AP40" i="55"/>
  <c r="AO40" i="55" s="1"/>
  <c r="AF41" i="55"/>
  <c r="AE41" i="55" s="1"/>
  <c r="AG41" i="55"/>
  <c r="AJ41" i="55"/>
  <c r="AI41" i="55" s="1"/>
  <c r="AL41" i="55"/>
  <c r="AK41" i="55" s="1"/>
  <c r="AN41" i="55"/>
  <c r="AM41" i="55" s="1"/>
  <c r="AP41" i="55"/>
  <c r="AO41" i="55" s="1"/>
  <c r="AF42" i="55"/>
  <c r="AJ42" i="55"/>
  <c r="AI42" i="55" s="1"/>
  <c r="AL42" i="55"/>
  <c r="AK42" i="55" s="1"/>
  <c r="AN42" i="55"/>
  <c r="AM42" i="55" s="1"/>
  <c r="AP42" i="55"/>
  <c r="AO42" i="55" s="1"/>
  <c r="AF43" i="55"/>
  <c r="AJ43" i="55"/>
  <c r="AI43" i="55" s="1"/>
  <c r="AL43" i="55"/>
  <c r="AK43" i="55" s="1"/>
  <c r="AN43" i="55"/>
  <c r="AM43" i="55" s="1"/>
  <c r="AP43" i="55"/>
  <c r="AO43" i="55" s="1"/>
  <c r="AF44" i="55"/>
  <c r="AJ44" i="55"/>
  <c r="AI44" i="55" s="1"/>
  <c r="AL44" i="55"/>
  <c r="AK44" i="55" s="1"/>
  <c r="AN44" i="55"/>
  <c r="AM44" i="55" s="1"/>
  <c r="AP44" i="55"/>
  <c r="AO44" i="55" s="1"/>
  <c r="AP7" i="55"/>
  <c r="AO7" i="55" s="1"/>
  <c r="AN7" i="55"/>
  <c r="AM7" i="55" s="1"/>
  <c r="AL7" i="55"/>
  <c r="AK7" i="55" s="1"/>
  <c r="AJ7" i="55"/>
  <c r="AI7" i="55" s="1"/>
  <c r="AF7" i="55"/>
  <c r="AF12" i="57"/>
  <c r="AJ12" i="57"/>
  <c r="AI12" i="57" s="1"/>
  <c r="AL12" i="57"/>
  <c r="AK12" i="57" s="1"/>
  <c r="AN12" i="57"/>
  <c r="AM12" i="57" s="1"/>
  <c r="AP12" i="57"/>
  <c r="AO12" i="57" s="1"/>
  <c r="AF13" i="57"/>
  <c r="AI13" i="57"/>
  <c r="AJ13" i="57"/>
  <c r="AK13" i="57"/>
  <c r="AL13" i="57"/>
  <c r="AM13" i="57"/>
  <c r="AN13" i="57"/>
  <c r="AO13" i="57"/>
  <c r="AP13" i="57"/>
  <c r="AF14" i="57"/>
  <c r="AG14" i="57"/>
  <c r="AJ14" i="57"/>
  <c r="AL14" i="57"/>
  <c r="AN14" i="57"/>
  <c r="AM14" i="57" s="1"/>
  <c r="AP14" i="57"/>
  <c r="AO14" i="57" s="1"/>
  <c r="AF15" i="57"/>
  <c r="AI15" i="57"/>
  <c r="AJ15" i="57"/>
  <c r="AK15" i="57"/>
  <c r="AL15" i="57"/>
  <c r="AM15" i="57"/>
  <c r="AN15" i="57"/>
  <c r="AO15" i="57"/>
  <c r="AP15" i="57"/>
  <c r="AF16" i="57"/>
  <c r="AJ16" i="57"/>
  <c r="AI16" i="57" s="1"/>
  <c r="AL16" i="57"/>
  <c r="AK16" i="57" s="1"/>
  <c r="AN16" i="57"/>
  <c r="AM16" i="57" s="1"/>
  <c r="AP16" i="57"/>
  <c r="AO16" i="57" s="1"/>
  <c r="AF17" i="57"/>
  <c r="AI17" i="57"/>
  <c r="AJ17" i="57"/>
  <c r="AK17" i="57"/>
  <c r="AL17" i="57"/>
  <c r="AM17" i="57"/>
  <c r="AN17" i="57"/>
  <c r="AO17" i="57"/>
  <c r="AP17" i="57"/>
  <c r="AF18" i="57"/>
  <c r="AJ18" i="57"/>
  <c r="AI18" i="57" s="1"/>
  <c r="AL18" i="57"/>
  <c r="AK18" i="57" s="1"/>
  <c r="AN18" i="57"/>
  <c r="AM18" i="57" s="1"/>
  <c r="AP18" i="57"/>
  <c r="AO18" i="57" s="1"/>
  <c r="AF19" i="57"/>
  <c r="AI19" i="57"/>
  <c r="AJ19" i="57"/>
  <c r="AK19" i="57"/>
  <c r="AL19" i="57"/>
  <c r="AM19" i="57"/>
  <c r="AN19" i="57"/>
  <c r="AO19" i="57"/>
  <c r="AP19" i="57"/>
  <c r="AP11" i="57"/>
  <c r="AO11" i="57" s="1"/>
  <c r="AN11" i="57"/>
  <c r="AM11" i="57" s="1"/>
  <c r="AL11" i="57"/>
  <c r="AK11" i="57" s="1"/>
  <c r="AJ11" i="57"/>
  <c r="AI11" i="57" s="1"/>
  <c r="AF11" i="57"/>
  <c r="AP10" i="57"/>
  <c r="AO10" i="57"/>
  <c r="AN10" i="57"/>
  <c r="AM10" i="57"/>
  <c r="AL10" i="57"/>
  <c r="AK10" i="57"/>
  <c r="AJ10" i="57"/>
  <c r="AI10" i="57"/>
  <c r="AF10" i="57"/>
  <c r="AP9" i="57"/>
  <c r="AO9" i="57" s="1"/>
  <c r="AN9" i="57"/>
  <c r="AM9" i="57" s="1"/>
  <c r="AL9" i="57"/>
  <c r="AK9" i="57" s="1"/>
  <c r="AJ9" i="57"/>
  <c r="AI9" i="57" s="1"/>
  <c r="AF9" i="57"/>
  <c r="AP8" i="57"/>
  <c r="AO8" i="57"/>
  <c r="AN8" i="57"/>
  <c r="AM8" i="57"/>
  <c r="AL8" i="57"/>
  <c r="AK8" i="57"/>
  <c r="AJ8" i="57"/>
  <c r="AI8" i="57"/>
  <c r="AF8" i="57"/>
  <c r="AP7" i="57"/>
  <c r="AO7" i="57" s="1"/>
  <c r="AN7" i="57"/>
  <c r="AM7" i="57" s="1"/>
  <c r="AL7" i="57"/>
  <c r="AK7" i="57" s="1"/>
  <c r="AJ7" i="57"/>
  <c r="AI7" i="57" s="1"/>
  <c r="AF7" i="57"/>
  <c r="AP11" i="66"/>
  <c r="AO11" i="66" s="1"/>
  <c r="AN11" i="66"/>
  <c r="AM11" i="66" s="1"/>
  <c r="AL11" i="66"/>
  <c r="AJ11" i="66"/>
  <c r="AG11" i="66"/>
  <c r="AF11" i="66"/>
  <c r="AP10" i="66"/>
  <c r="AO10" i="66"/>
  <c r="AN10" i="66"/>
  <c r="AM10" i="66"/>
  <c r="AL10" i="66"/>
  <c r="AJ10" i="66"/>
  <c r="AG10" i="66"/>
  <c r="AF10" i="66"/>
  <c r="AP9" i="66"/>
  <c r="AO9" i="66" s="1"/>
  <c r="AN9" i="66"/>
  <c r="AM9" i="66" s="1"/>
  <c r="AL9" i="66"/>
  <c r="AJ9" i="66"/>
  <c r="AG9" i="66"/>
  <c r="AF9" i="66"/>
  <c r="AP8" i="66"/>
  <c r="AO8" i="66" s="1"/>
  <c r="AN8" i="66"/>
  <c r="AM8" i="66" s="1"/>
  <c r="AL8" i="66"/>
  <c r="AJ8" i="66"/>
  <c r="AG8" i="66"/>
  <c r="AF8" i="66"/>
  <c r="AP7" i="66"/>
  <c r="AO7" i="66" s="1"/>
  <c r="AN7" i="66"/>
  <c r="AM7" i="66" s="1"/>
  <c r="AL7" i="66"/>
  <c r="AJ7" i="66"/>
  <c r="AG7" i="66"/>
  <c r="AF7" i="66"/>
  <c r="M122" i="7"/>
  <c r="M119" i="7"/>
  <c r="M116" i="7"/>
  <c r="K116" i="7"/>
  <c r="K105" i="7"/>
  <c r="M105" i="7"/>
  <c r="M102" i="7"/>
  <c r="M93" i="7"/>
  <c r="M90" i="7"/>
  <c r="I86" i="7"/>
  <c r="K93" i="7"/>
  <c r="M77" i="7"/>
  <c r="G12" i="7"/>
  <c r="M67" i="7"/>
  <c r="M61" i="7"/>
  <c r="K56" i="7"/>
  <c r="M53" i="7"/>
  <c r="E49" i="7"/>
  <c r="M49" i="7"/>
  <c r="M46" i="7"/>
  <c r="K40" i="7"/>
  <c r="K31" i="7"/>
  <c r="M24" i="7"/>
  <c r="M14" i="7"/>
  <c r="G11" i="7"/>
  <c r="M5" i="7"/>
  <c r="E50" i="8"/>
  <c r="E128" i="71" l="1"/>
  <c r="E133" i="71"/>
  <c r="E171" i="71"/>
  <c r="E131" i="71"/>
  <c r="E155" i="71"/>
  <c r="E157" i="71"/>
  <c r="E119" i="71"/>
  <c r="E263" i="70"/>
  <c r="E264" i="70" s="1"/>
  <c r="G268" i="70" s="1"/>
  <c r="E261" i="70"/>
  <c r="E260" i="70" s="1"/>
  <c r="G262" i="70" s="1"/>
  <c r="J258" i="70" s="1"/>
  <c r="G239" i="70"/>
  <c r="J240" i="70" s="1"/>
  <c r="G244" i="70"/>
  <c r="J246" i="70" s="1"/>
  <c r="E255" i="70"/>
  <c r="E256" i="70" s="1"/>
  <c r="J220" i="70"/>
  <c r="J211" i="70"/>
  <c r="J226" i="70"/>
  <c r="E161" i="70"/>
  <c r="E162" i="70" s="1"/>
  <c r="C167" i="70"/>
  <c r="E167" i="70" s="1"/>
  <c r="E166" i="70" s="1"/>
  <c r="E129" i="70"/>
  <c r="C159" i="70"/>
  <c r="E159" i="70" s="1"/>
  <c r="E158" i="70" s="1"/>
  <c r="E181" i="70"/>
  <c r="G181" i="70" s="1"/>
  <c r="C169" i="70"/>
  <c r="E169" i="70" s="1"/>
  <c r="G184" i="69"/>
  <c r="I184" i="69" s="1"/>
  <c r="G189" i="69"/>
  <c r="I189" i="69" s="1"/>
  <c r="G207" i="69"/>
  <c r="G170" i="69"/>
  <c r="G168" i="69" s="1"/>
  <c r="G174" i="69"/>
  <c r="E140" i="69"/>
  <c r="G148" i="69" s="1"/>
  <c r="I148" i="69" s="1"/>
  <c r="E105" i="69"/>
  <c r="G105" i="69" s="1"/>
  <c r="J230" i="69"/>
  <c r="J227" i="69"/>
  <c r="E146" i="69"/>
  <c r="G150" i="69" s="1"/>
  <c r="I150" i="69" s="1"/>
  <c r="E129" i="69"/>
  <c r="E144" i="69"/>
  <c r="G145" i="69" s="1"/>
  <c r="I145" i="69" s="1"/>
  <c r="E121" i="69"/>
  <c r="E181" i="69"/>
  <c r="G181" i="69" s="1"/>
  <c r="G180" i="69" s="1"/>
  <c r="I180" i="69" s="1"/>
  <c r="E162" i="69"/>
  <c r="G162" i="69" s="1"/>
  <c r="I223" i="69"/>
  <c r="J224" i="69" s="1"/>
  <c r="G211" i="69"/>
  <c r="I211" i="69" s="1"/>
  <c r="G199" i="69"/>
  <c r="I199" i="69" s="1"/>
  <c r="I15" i="68"/>
  <c r="I14" i="68"/>
  <c r="I21" i="68"/>
  <c r="I23" i="68"/>
  <c r="I16" i="68"/>
  <c r="I22" i="68"/>
  <c r="I29" i="68"/>
  <c r="I28" i="68"/>
  <c r="I15" i="67"/>
  <c r="I28" i="67"/>
  <c r="I30" i="67"/>
  <c r="I29" i="67"/>
  <c r="I17" i="67"/>
  <c r="M10" i="67"/>
  <c r="S10" i="67" s="1"/>
  <c r="M25" i="67"/>
  <c r="S25" i="67" s="1"/>
  <c r="M11" i="67"/>
  <c r="S11" i="67" s="1"/>
  <c r="M24" i="67"/>
  <c r="S24" i="67" s="1"/>
  <c r="M8" i="67"/>
  <c r="S8" i="67" s="1"/>
  <c r="M22" i="67"/>
  <c r="S22" i="67" s="1"/>
  <c r="I16" i="67"/>
  <c r="M9" i="67"/>
  <c r="S9" i="67" s="1"/>
  <c r="M23" i="67"/>
  <c r="S23" i="67" s="1"/>
  <c r="AD12" i="50"/>
  <c r="AD16" i="50"/>
  <c r="AD8" i="53"/>
  <c r="AD12" i="53"/>
  <c r="AD16" i="53"/>
  <c r="AD10" i="50"/>
  <c r="AD10" i="53"/>
  <c r="AD14" i="53"/>
  <c r="AD18" i="53"/>
  <c r="AD14" i="50"/>
  <c r="AD19" i="50"/>
  <c r="AD7" i="53"/>
  <c r="AD9" i="53"/>
  <c r="AD11" i="53"/>
  <c r="AD13" i="53"/>
  <c r="AD15" i="53"/>
  <c r="AD17" i="53"/>
  <c r="AD19" i="53"/>
  <c r="AD9" i="50"/>
  <c r="AD11" i="50"/>
  <c r="AD13" i="50"/>
  <c r="AD15" i="50"/>
  <c r="AD17" i="50"/>
  <c r="AD31" i="53"/>
  <c r="AD29" i="53"/>
  <c r="AD27" i="53"/>
  <c r="AD25" i="53"/>
  <c r="AD23" i="53"/>
  <c r="AD21" i="53"/>
  <c r="AD26" i="62"/>
  <c r="AD19" i="62"/>
  <c r="AD13" i="62"/>
  <c r="AD11" i="62"/>
  <c r="AD25" i="64"/>
  <c r="AD13" i="64"/>
  <c r="AD27" i="64"/>
  <c r="AD19" i="64"/>
  <c r="AD11" i="64"/>
  <c r="AD27" i="62"/>
  <c r="AD25" i="62"/>
  <c r="AD20" i="62"/>
  <c r="AD18" i="62"/>
  <c r="AD12" i="62"/>
  <c r="AD10" i="62"/>
  <c r="AB19" i="50"/>
  <c r="AB17" i="50"/>
  <c r="AB12" i="50"/>
  <c r="AB14" i="50"/>
  <c r="AB15" i="50"/>
  <c r="AB8" i="50"/>
  <c r="AB10" i="50"/>
  <c r="AB7" i="50"/>
  <c r="AB9" i="50"/>
  <c r="AB11" i="50"/>
  <c r="AB13" i="50"/>
  <c r="AB18" i="50"/>
  <c r="AD8" i="50"/>
  <c r="AD18" i="50"/>
  <c r="AD7" i="50"/>
  <c r="AD30" i="53"/>
  <c r="AD28" i="53"/>
  <c r="AD26" i="53"/>
  <c r="AD24" i="53"/>
  <c r="AD22" i="53"/>
  <c r="AD20" i="53"/>
  <c r="AD26" i="55"/>
  <c r="AD13" i="55"/>
  <c r="AD11" i="55"/>
  <c r="AD26" i="51"/>
  <c r="AD13" i="51"/>
  <c r="AD11" i="51"/>
  <c r="AD40" i="55"/>
  <c r="AD38" i="55"/>
  <c r="AD34" i="55"/>
  <c r="AD32" i="55"/>
  <c r="AD24" i="55"/>
  <c r="AD20" i="55"/>
  <c r="AD18" i="55"/>
  <c r="AD20" i="51"/>
  <c r="AD27" i="58"/>
  <c r="AD25" i="58"/>
  <c r="AD19" i="58"/>
  <c r="AD13" i="58"/>
  <c r="AD11" i="58"/>
  <c r="AD25" i="59"/>
  <c r="AD19" i="59"/>
  <c r="AD13" i="59"/>
  <c r="AD11" i="59"/>
  <c r="AD25" i="60"/>
  <c r="AD19" i="60"/>
  <c r="AD13" i="60"/>
  <c r="AD11" i="60"/>
  <c r="AD27" i="60"/>
  <c r="AD26" i="60"/>
  <c r="AD20" i="60"/>
  <c r="AD18" i="60"/>
  <c r="AD12" i="60"/>
  <c r="AD27" i="59"/>
  <c r="AD26" i="59"/>
  <c r="AD20" i="59"/>
  <c r="AD18" i="59"/>
  <c r="AD12" i="59"/>
  <c r="AD26" i="58"/>
  <c r="AD20" i="58"/>
  <c r="AD18" i="58"/>
  <c r="AD12" i="58"/>
  <c r="AD10" i="58"/>
  <c r="AD25" i="51"/>
  <c r="AD27" i="51"/>
  <c r="AD19" i="51"/>
  <c r="AD18" i="51"/>
  <c r="AD12" i="51"/>
  <c r="AD10" i="51"/>
  <c r="AD41" i="55"/>
  <c r="AD39" i="55"/>
  <c r="AD33" i="55"/>
  <c r="AD31" i="55"/>
  <c r="AD27" i="55"/>
  <c r="AD19" i="55"/>
  <c r="AD25" i="55"/>
  <c r="AD17" i="55"/>
  <c r="AD12" i="55"/>
  <c r="AD10" i="55"/>
  <c r="E48" i="8"/>
  <c r="E46" i="8"/>
  <c r="E53" i="8"/>
  <c r="E45" i="8"/>
  <c r="E41" i="8"/>
  <c r="E52" i="8"/>
  <c r="E51" i="8"/>
  <c r="A1" i="78" s="1"/>
  <c r="E40" i="8"/>
  <c r="E38" i="8"/>
  <c r="E39" i="8"/>
  <c r="E27" i="8"/>
  <c r="E26" i="8"/>
  <c r="E25" i="8"/>
  <c r="E21" i="8"/>
  <c r="E20" i="8"/>
  <c r="E19" i="8"/>
  <c r="E18" i="8"/>
  <c r="E15" i="8"/>
  <c r="E14" i="8"/>
  <c r="E13" i="8"/>
  <c r="E12" i="8"/>
  <c r="E10" i="8"/>
  <c r="E9" i="8"/>
  <c r="E7" i="8"/>
  <c r="E6" i="8"/>
  <c r="E5" i="8"/>
  <c r="AA19" i="63"/>
  <c r="Y19" i="63"/>
  <c r="AB19" i="63" s="1"/>
  <c r="W19" i="63"/>
  <c r="J16" i="63"/>
  <c r="N14" i="63"/>
  <c r="V12" i="63"/>
  <c r="F10" i="63"/>
  <c r="B102" i="68" l="1"/>
  <c r="C102" i="68" s="1"/>
  <c r="C103" i="68" s="1"/>
  <c r="E105" i="71"/>
  <c r="E117" i="71"/>
  <c r="E143" i="71"/>
  <c r="E151" i="71"/>
  <c r="E124" i="71"/>
  <c r="E169" i="71"/>
  <c r="E162" i="71"/>
  <c r="H129" i="71"/>
  <c r="H114" i="71"/>
  <c r="G252" i="70"/>
  <c r="G254" i="70" s="1"/>
  <c r="J263" i="70" s="1"/>
  <c r="G256" i="70"/>
  <c r="E183" i="70"/>
  <c r="G183" i="70" s="1"/>
  <c r="E144" i="70"/>
  <c r="E121" i="70"/>
  <c r="G125" i="70" s="1"/>
  <c r="J126" i="70" s="1"/>
  <c r="E146" i="70"/>
  <c r="E185" i="70"/>
  <c r="G185" i="70" s="1"/>
  <c r="G189" i="70" s="1"/>
  <c r="I189" i="70" s="1"/>
  <c r="E170" i="70"/>
  <c r="E142" i="70"/>
  <c r="E113" i="70"/>
  <c r="E179" i="70"/>
  <c r="G179" i="70" s="1"/>
  <c r="E105" i="70"/>
  <c r="G109" i="70" s="1"/>
  <c r="J117" i="70" s="1"/>
  <c r="E140" i="70"/>
  <c r="J185" i="69"/>
  <c r="I182" i="69"/>
  <c r="J182" i="69"/>
  <c r="G158" i="69"/>
  <c r="G131" i="69"/>
  <c r="I131" i="69" s="1"/>
  <c r="G187" i="69"/>
  <c r="I187" i="69" s="1"/>
  <c r="J221" i="69"/>
  <c r="I141" i="69"/>
  <c r="G133" i="69"/>
  <c r="G129" i="69"/>
  <c r="J152" i="69"/>
  <c r="J149" i="69"/>
  <c r="I207" i="69"/>
  <c r="J203" i="69" s="1"/>
  <c r="I213" i="69"/>
  <c r="J215" i="69" s="1"/>
  <c r="B116" i="68"/>
  <c r="C116" i="68" s="1"/>
  <c r="C115" i="68" s="1"/>
  <c r="B106" i="68"/>
  <c r="B128" i="68"/>
  <c r="C196" i="68"/>
  <c r="E196" i="68" s="1"/>
  <c r="E197" i="68" s="1"/>
  <c r="B132" i="68"/>
  <c r="C132" i="68" s="1"/>
  <c r="C131" i="68" s="1"/>
  <c r="C157" i="68"/>
  <c r="E157" i="68" s="1"/>
  <c r="B108" i="68"/>
  <c r="B112" i="68"/>
  <c r="B122" i="68"/>
  <c r="B126" i="68"/>
  <c r="C200" i="68"/>
  <c r="C204" i="68"/>
  <c r="C210" i="68"/>
  <c r="E210" i="68" s="1"/>
  <c r="E209" i="68" s="1"/>
  <c r="B110" i="68"/>
  <c r="B118" i="68"/>
  <c r="C118" i="68" s="1"/>
  <c r="C119" i="68" s="1"/>
  <c r="B124" i="68"/>
  <c r="E218" i="68"/>
  <c r="G218" i="68" s="1"/>
  <c r="C202" i="68"/>
  <c r="C206" i="68"/>
  <c r="I8" i="67"/>
  <c r="I7" i="67"/>
  <c r="I22" i="67"/>
  <c r="I21" i="67"/>
  <c r="I24" i="67"/>
  <c r="I9" i="67"/>
  <c r="I23" i="67"/>
  <c r="AL4" i="16"/>
  <c r="AK4" i="16"/>
  <c r="AJ4" i="16"/>
  <c r="AI4" i="16"/>
  <c r="AH4" i="16"/>
  <c r="AR4" i="16"/>
  <c r="K96" i="7"/>
  <c r="C171" i="68" l="1"/>
  <c r="E171" i="68" s="1"/>
  <c r="C163" i="68"/>
  <c r="E163" i="68" s="1"/>
  <c r="H132" i="71"/>
  <c r="H118" i="71"/>
  <c r="H159" i="71"/>
  <c r="H135" i="71"/>
  <c r="H109" i="71"/>
  <c r="H126" i="71"/>
  <c r="H156" i="71"/>
  <c r="H170" i="71"/>
  <c r="H173" i="71"/>
  <c r="H152" i="71"/>
  <c r="B301" i="70"/>
  <c r="B300" i="70"/>
  <c r="G266" i="70"/>
  <c r="G174" i="70"/>
  <c r="G184" i="70"/>
  <c r="I184" i="70" s="1"/>
  <c r="G180" i="70"/>
  <c r="I180" i="70" s="1"/>
  <c r="G187" i="70"/>
  <c r="I187" i="70" s="1"/>
  <c r="G172" i="70"/>
  <c r="G160" i="70"/>
  <c r="G133" i="70"/>
  <c r="E220" i="68"/>
  <c r="G220" i="68" s="1"/>
  <c r="E205" i="68"/>
  <c r="J208" i="69"/>
  <c r="J143" i="69"/>
  <c r="J146" i="69"/>
  <c r="G172" i="69"/>
  <c r="G160" i="69"/>
  <c r="I133" i="69"/>
  <c r="J135" i="69" s="1"/>
  <c r="J188" i="69"/>
  <c r="J191" i="69"/>
  <c r="I188" i="69"/>
  <c r="J212" i="69"/>
  <c r="C165" i="68"/>
  <c r="E165" i="68" s="1"/>
  <c r="E224" i="68"/>
  <c r="G224" i="68" s="1"/>
  <c r="B152" i="67"/>
  <c r="E151" i="67" s="1"/>
  <c r="H147" i="67" s="1"/>
  <c r="H164" i="67"/>
  <c r="B148" i="67"/>
  <c r="E157" i="67" s="1"/>
  <c r="H156" i="67" s="1"/>
  <c r="B146" i="67"/>
  <c r="H167" i="67" s="1"/>
  <c r="B144" i="67"/>
  <c r="C145" i="67" s="1"/>
  <c r="E143" i="67" s="1"/>
  <c r="H152" i="67" s="1"/>
  <c r="B142" i="67"/>
  <c r="C141" i="67" s="1"/>
  <c r="E155" i="67" s="1"/>
  <c r="H159" i="67" s="1"/>
  <c r="B140" i="67"/>
  <c r="B114" i="67"/>
  <c r="C129" i="67" s="1"/>
  <c r="E133" i="67" s="1"/>
  <c r="H132" i="67" s="1"/>
  <c r="B112" i="67"/>
  <c r="C111" i="67" s="1"/>
  <c r="E113" i="67" s="1"/>
  <c r="H114" i="67" s="1"/>
  <c r="B110" i="67"/>
  <c r="C127" i="67" s="1"/>
  <c r="E128" i="67" s="1"/>
  <c r="H126" i="67" s="1"/>
  <c r="B108" i="67"/>
  <c r="C107" i="67" s="1"/>
  <c r="E117" i="67" s="1"/>
  <c r="H118" i="67" s="1"/>
  <c r="B106" i="67"/>
  <c r="C125" i="67" s="1"/>
  <c r="E131" i="67" s="1"/>
  <c r="H135" i="67" s="1"/>
  <c r="B104" i="67"/>
  <c r="C103" i="67" s="1"/>
  <c r="E105" i="67" s="1"/>
  <c r="H109" i="67" s="1"/>
  <c r="B102" i="67"/>
  <c r="C123" i="67" s="1"/>
  <c r="E124" i="67" s="1"/>
  <c r="H129" i="67" s="1"/>
  <c r="B116" i="67"/>
  <c r="C115" i="67" s="1"/>
  <c r="E119" i="67" s="1"/>
  <c r="H121" i="67" s="1"/>
  <c r="P11" i="66"/>
  <c r="O11" i="66"/>
  <c r="N11" i="66"/>
  <c r="H11" i="66"/>
  <c r="Q11" i="66" s="1"/>
  <c r="P10" i="66"/>
  <c r="O10" i="66"/>
  <c r="N10" i="66"/>
  <c r="H10" i="66"/>
  <c r="Q10" i="66" s="1"/>
  <c r="P9" i="66"/>
  <c r="O9" i="66"/>
  <c r="N9" i="66"/>
  <c r="H9" i="66"/>
  <c r="Q9" i="66" s="1"/>
  <c r="P8" i="66"/>
  <c r="O8" i="66"/>
  <c r="N8" i="66"/>
  <c r="H8" i="66"/>
  <c r="Q8" i="66" s="1"/>
  <c r="P7" i="66"/>
  <c r="O7" i="66"/>
  <c r="N7" i="66"/>
  <c r="H7" i="66"/>
  <c r="Q7" i="66" s="1"/>
  <c r="R6" i="66"/>
  <c r="H121" i="71" l="1"/>
  <c r="H147" i="71"/>
  <c r="H167" i="71"/>
  <c r="H164" i="71"/>
  <c r="B312" i="71" s="1"/>
  <c r="B308" i="71"/>
  <c r="B306" i="71"/>
  <c r="B304" i="71"/>
  <c r="B302" i="71"/>
  <c r="B300" i="71"/>
  <c r="B315" i="71"/>
  <c r="B313" i="71"/>
  <c r="B311" i="71"/>
  <c r="B309" i="71"/>
  <c r="B307" i="71"/>
  <c r="B305" i="71"/>
  <c r="B303" i="71"/>
  <c r="B301" i="71"/>
  <c r="I268" i="70"/>
  <c r="I266" i="70"/>
  <c r="G168" i="70"/>
  <c r="G131" i="70"/>
  <c r="J185" i="70"/>
  <c r="J182" i="70"/>
  <c r="I182" i="70"/>
  <c r="J191" i="70"/>
  <c r="J188" i="70"/>
  <c r="I188" i="70"/>
  <c r="G150" i="70"/>
  <c r="G145" i="70"/>
  <c r="G141" i="70"/>
  <c r="G148" i="70"/>
  <c r="C107" i="68"/>
  <c r="C123" i="68"/>
  <c r="C127" i="68"/>
  <c r="G219" i="68"/>
  <c r="G226" i="68"/>
  <c r="I226" i="68" s="1"/>
  <c r="C169" i="68"/>
  <c r="E169" i="68" s="1"/>
  <c r="E170" i="68" s="1"/>
  <c r="C159" i="68"/>
  <c r="E159" i="68" s="1"/>
  <c r="C167" i="68"/>
  <c r="E167" i="68" s="1"/>
  <c r="E183" i="68" s="1"/>
  <c r="G183" i="68" s="1"/>
  <c r="C111" i="68"/>
  <c r="E201" i="68"/>
  <c r="G213" i="68"/>
  <c r="C161" i="68"/>
  <c r="E161" i="68" s="1"/>
  <c r="E222" i="68"/>
  <c r="G222" i="68" s="1"/>
  <c r="G223" i="68" s="1"/>
  <c r="I172" i="69"/>
  <c r="I174" i="69"/>
  <c r="I160" i="69"/>
  <c r="I168" i="69"/>
  <c r="J132" i="69"/>
  <c r="B313" i="67"/>
  <c r="B312" i="67"/>
  <c r="B311" i="67"/>
  <c r="B310" i="67"/>
  <c r="B309" i="67"/>
  <c r="B308" i="67"/>
  <c r="B307" i="67"/>
  <c r="B306" i="67"/>
  <c r="B305" i="67"/>
  <c r="B304" i="67"/>
  <c r="B303" i="67"/>
  <c r="B302" i="67"/>
  <c r="B301" i="67"/>
  <c r="B300" i="67"/>
  <c r="H173" i="67"/>
  <c r="H170" i="67"/>
  <c r="L10" i="66"/>
  <c r="L11" i="66"/>
  <c r="J7" i="66"/>
  <c r="T7" i="66" s="1"/>
  <c r="L7" i="66"/>
  <c r="J8" i="66"/>
  <c r="T8" i="66" s="1"/>
  <c r="L8" i="66"/>
  <c r="J9" i="66"/>
  <c r="L9" i="66"/>
  <c r="J10" i="66"/>
  <c r="T10" i="66" s="1"/>
  <c r="J11" i="66"/>
  <c r="T11" i="66" s="1"/>
  <c r="Q326" i="64"/>
  <c r="P326" i="64"/>
  <c r="O326" i="64"/>
  <c r="I326" i="64"/>
  <c r="R326" i="64" s="1"/>
  <c r="Q325" i="64"/>
  <c r="P325" i="64"/>
  <c r="O325" i="64"/>
  <c r="I325" i="64"/>
  <c r="R325" i="64" s="1"/>
  <c r="Q324" i="64"/>
  <c r="P324" i="64"/>
  <c r="O324" i="64"/>
  <c r="I324" i="64"/>
  <c r="R324" i="64" s="1"/>
  <c r="Q323" i="64"/>
  <c r="P323" i="64"/>
  <c r="O323" i="64"/>
  <c r="I323" i="64"/>
  <c r="R323" i="64" s="1"/>
  <c r="Q322" i="64"/>
  <c r="P322" i="64"/>
  <c r="O322" i="64"/>
  <c r="I322" i="64"/>
  <c r="R322" i="64" s="1"/>
  <c r="Q321" i="64"/>
  <c r="P321" i="64"/>
  <c r="O321" i="64"/>
  <c r="I321" i="64"/>
  <c r="R321" i="64" s="1"/>
  <c r="S320" i="64"/>
  <c r="E185" i="68" l="1"/>
  <c r="G185" i="68" s="1"/>
  <c r="G189" i="68" s="1"/>
  <c r="I189" i="68" s="1"/>
  <c r="E140" i="68"/>
  <c r="E166" i="68"/>
  <c r="E146" i="68"/>
  <c r="E129" i="68"/>
  <c r="B314" i="71"/>
  <c r="B310" i="71"/>
  <c r="J267" i="70"/>
  <c r="I267" i="70"/>
  <c r="J270" i="70"/>
  <c r="J164" i="70"/>
  <c r="J176" i="70"/>
  <c r="J173" i="70"/>
  <c r="J169" i="70"/>
  <c r="E105" i="68"/>
  <c r="E162" i="68"/>
  <c r="E181" i="68"/>
  <c r="G181" i="68" s="1"/>
  <c r="G207" i="68"/>
  <c r="E179" i="68"/>
  <c r="G179" i="68" s="1"/>
  <c r="E158" i="68"/>
  <c r="J221" i="68"/>
  <c r="B306" i="69"/>
  <c r="B304" i="69"/>
  <c r="B302" i="69"/>
  <c r="B307" i="69"/>
  <c r="B305" i="69"/>
  <c r="B303" i="69"/>
  <c r="J169" i="69"/>
  <c r="J164" i="69"/>
  <c r="B316" i="69" s="1"/>
  <c r="J173" i="69"/>
  <c r="J176" i="69"/>
  <c r="G184" i="68"/>
  <c r="I184" i="68" s="1"/>
  <c r="G228" i="68"/>
  <c r="I228" i="68" s="1"/>
  <c r="T9" i="66"/>
  <c r="K9" i="66" s="1"/>
  <c r="R9" i="66" s="1"/>
  <c r="M321" i="64"/>
  <c r="K321" i="64"/>
  <c r="U321" i="64" s="1"/>
  <c r="M323" i="64"/>
  <c r="K323" i="64"/>
  <c r="U323" i="64" s="1"/>
  <c r="M325" i="64"/>
  <c r="K325" i="64"/>
  <c r="U325" i="64" s="1"/>
  <c r="M322" i="64"/>
  <c r="K322" i="64"/>
  <c r="U322" i="64" s="1"/>
  <c r="M324" i="64"/>
  <c r="K324" i="64"/>
  <c r="U324" i="64" s="1"/>
  <c r="M326" i="64"/>
  <c r="K326" i="64"/>
  <c r="U326" i="64" s="1"/>
  <c r="L326" i="64" s="1"/>
  <c r="G168" i="68" l="1"/>
  <c r="J135" i="70"/>
  <c r="J143" i="70"/>
  <c r="J132" i="70"/>
  <c r="J146" i="70"/>
  <c r="J152" i="70"/>
  <c r="J149" i="70"/>
  <c r="E121" i="68"/>
  <c r="E144" i="68"/>
  <c r="J224" i="68"/>
  <c r="G187" i="68"/>
  <c r="I187" i="68" s="1"/>
  <c r="G180" i="68"/>
  <c r="I180" i="68" s="1"/>
  <c r="J185" i="68" s="1"/>
  <c r="E113" i="68"/>
  <c r="E142" i="68"/>
  <c r="G199" i="68"/>
  <c r="G211" i="68"/>
  <c r="B311" i="69"/>
  <c r="B315" i="69"/>
  <c r="B310" i="69"/>
  <c r="B314" i="69"/>
  <c r="B309" i="69"/>
  <c r="B313" i="69"/>
  <c r="B317" i="69"/>
  <c r="B308" i="69"/>
  <c r="B312" i="69"/>
  <c r="J230" i="68"/>
  <c r="J227" i="68"/>
  <c r="K8" i="66"/>
  <c r="R8" i="66" s="1"/>
  <c r="K7" i="66"/>
  <c r="R7" i="66" s="1"/>
  <c r="K10" i="66"/>
  <c r="R10" i="66" s="1"/>
  <c r="K11" i="66"/>
  <c r="R11" i="66" s="1"/>
  <c r="L324" i="64"/>
  <c r="L322" i="64"/>
  <c r="L325" i="64"/>
  <c r="L321" i="64"/>
  <c r="L323" i="64"/>
  <c r="S324" i="64"/>
  <c r="S322" i="64"/>
  <c r="S325" i="64"/>
  <c r="S323" i="64"/>
  <c r="S321" i="64"/>
  <c r="S326" i="64"/>
  <c r="G174" i="68" l="1"/>
  <c r="G131" i="68"/>
  <c r="G109" i="68"/>
  <c r="B314" i="70"/>
  <c r="B318" i="70"/>
  <c r="B322" i="70"/>
  <c r="B311" i="70"/>
  <c r="B307" i="70"/>
  <c r="B303" i="70"/>
  <c r="B315" i="70"/>
  <c r="B319" i="70"/>
  <c r="B323" i="70"/>
  <c r="B310" i="70"/>
  <c r="B306" i="70"/>
  <c r="B302" i="70"/>
  <c r="B316" i="70"/>
  <c r="B320" i="70"/>
  <c r="B313" i="70"/>
  <c r="B309" i="70"/>
  <c r="B305" i="70"/>
  <c r="B317" i="70"/>
  <c r="B321" i="70"/>
  <c r="B312" i="70"/>
  <c r="B308" i="70"/>
  <c r="B304" i="70"/>
  <c r="G160" i="68"/>
  <c r="I188" i="68"/>
  <c r="J188" i="68"/>
  <c r="J208" i="68"/>
  <c r="G172" i="68"/>
  <c r="G141" i="68"/>
  <c r="J182" i="68"/>
  <c r="I182" i="68"/>
  <c r="J191" i="68"/>
  <c r="M7" i="66"/>
  <c r="S7" i="66" s="1"/>
  <c r="M9" i="66"/>
  <c r="S9" i="66" s="1"/>
  <c r="M11" i="66"/>
  <c r="S11" i="66" s="1"/>
  <c r="M10" i="66"/>
  <c r="S10" i="66" s="1"/>
  <c r="M8" i="66"/>
  <c r="S8" i="66" s="1"/>
  <c r="N326" i="64"/>
  <c r="T326" i="64" s="1"/>
  <c r="N323" i="64"/>
  <c r="T323" i="64" s="1"/>
  <c r="N322" i="64"/>
  <c r="T322" i="64" s="1"/>
  <c r="N321" i="64"/>
  <c r="T321" i="64" s="1"/>
  <c r="N325" i="64"/>
  <c r="T325" i="64" s="1"/>
  <c r="J325" i="64" s="1"/>
  <c r="N324" i="64"/>
  <c r="T324" i="64" s="1"/>
  <c r="J324" i="64" s="1"/>
  <c r="G125" i="68" l="1"/>
  <c r="G133" i="68"/>
  <c r="G150" i="68"/>
  <c r="G145" i="68"/>
  <c r="J203" i="68"/>
  <c r="G148" i="68"/>
  <c r="J212" i="68"/>
  <c r="J215" i="68"/>
  <c r="J321" i="64"/>
  <c r="J323" i="64"/>
  <c r="J322" i="64"/>
  <c r="J326" i="64"/>
  <c r="J173" i="68" l="1"/>
  <c r="J117" i="68"/>
  <c r="J143" i="68"/>
  <c r="J164" i="68"/>
  <c r="J176" i="68"/>
  <c r="J169" i="68"/>
  <c r="J146" i="68"/>
  <c r="B301" i="66"/>
  <c r="B303" i="66"/>
  <c r="B300" i="66"/>
  <c r="B302" i="66"/>
  <c r="B304" i="66"/>
  <c r="P32" i="64"/>
  <c r="O32" i="64"/>
  <c r="N32" i="64"/>
  <c r="H32" i="64"/>
  <c r="Q32" i="64" s="1"/>
  <c r="P31" i="64"/>
  <c r="O31" i="64"/>
  <c r="N31" i="64"/>
  <c r="H31" i="64"/>
  <c r="Q31" i="64" s="1"/>
  <c r="P30" i="64"/>
  <c r="O30" i="64"/>
  <c r="N30" i="64"/>
  <c r="H30" i="64"/>
  <c r="Q30" i="64" s="1"/>
  <c r="P29" i="64"/>
  <c r="O29" i="64"/>
  <c r="N29" i="64"/>
  <c r="H29" i="64"/>
  <c r="Q29" i="64" s="1"/>
  <c r="P28" i="64"/>
  <c r="O28" i="64"/>
  <c r="N28" i="64"/>
  <c r="H28" i="64"/>
  <c r="Q28" i="64" s="1"/>
  <c r="R27" i="64"/>
  <c r="P25" i="64"/>
  <c r="O25" i="64"/>
  <c r="N25" i="64"/>
  <c r="H25" i="64"/>
  <c r="Q25" i="64" s="1"/>
  <c r="P24" i="64"/>
  <c r="O24" i="64"/>
  <c r="N24" i="64"/>
  <c r="H24" i="64"/>
  <c r="Q24" i="64" s="1"/>
  <c r="P23" i="64"/>
  <c r="O23" i="64"/>
  <c r="N23" i="64"/>
  <c r="H23" i="64"/>
  <c r="Q23" i="64" s="1"/>
  <c r="P22" i="64"/>
  <c r="O22" i="64"/>
  <c r="N22" i="64"/>
  <c r="H22" i="64"/>
  <c r="Q22" i="64" s="1"/>
  <c r="P21" i="64"/>
  <c r="O21" i="64"/>
  <c r="N21" i="64"/>
  <c r="H21" i="64"/>
  <c r="Q21" i="64" s="1"/>
  <c r="R20" i="64"/>
  <c r="P18" i="64"/>
  <c r="O18" i="64"/>
  <c r="N18" i="64"/>
  <c r="H18" i="64"/>
  <c r="Q18" i="64" s="1"/>
  <c r="P17" i="64"/>
  <c r="O17" i="64"/>
  <c r="N17" i="64"/>
  <c r="H17" i="64"/>
  <c r="Q17" i="64" s="1"/>
  <c r="P16" i="64"/>
  <c r="O16" i="64"/>
  <c r="N16" i="64"/>
  <c r="H16" i="64"/>
  <c r="Q16" i="64" s="1"/>
  <c r="P15" i="64"/>
  <c r="O15" i="64"/>
  <c r="N15" i="64"/>
  <c r="H15" i="64"/>
  <c r="Q15" i="64" s="1"/>
  <c r="P14" i="64"/>
  <c r="O14" i="64"/>
  <c r="N14" i="64"/>
  <c r="H14" i="64"/>
  <c r="Q14" i="64" s="1"/>
  <c r="R13" i="64"/>
  <c r="P11" i="64"/>
  <c r="O11" i="64"/>
  <c r="N11" i="64"/>
  <c r="H11" i="64"/>
  <c r="Q11" i="64" s="1"/>
  <c r="P10" i="64"/>
  <c r="O10" i="64"/>
  <c r="N10" i="64"/>
  <c r="H10" i="64"/>
  <c r="Q10" i="64" s="1"/>
  <c r="P9" i="64"/>
  <c r="O9" i="64"/>
  <c r="N9" i="64"/>
  <c r="H9" i="64"/>
  <c r="Q9" i="64" s="1"/>
  <c r="P8" i="64"/>
  <c r="O8" i="64"/>
  <c r="N8" i="64"/>
  <c r="H8" i="64"/>
  <c r="Q8" i="64" s="1"/>
  <c r="P7" i="64"/>
  <c r="O7" i="64"/>
  <c r="N7" i="64"/>
  <c r="H7" i="64"/>
  <c r="Q7" i="64" s="1"/>
  <c r="R6" i="64"/>
  <c r="K89" i="7"/>
  <c r="K95" i="7"/>
  <c r="J126" i="68" l="1"/>
  <c r="B300" i="68"/>
  <c r="B301" i="68"/>
  <c r="J135" i="68"/>
  <c r="J132" i="68"/>
  <c r="J149" i="68"/>
  <c r="J152" i="68"/>
  <c r="I25" i="64"/>
  <c r="L10" i="64"/>
  <c r="J10" i="64"/>
  <c r="L8" i="64"/>
  <c r="J8" i="64"/>
  <c r="L15" i="64"/>
  <c r="J15" i="64"/>
  <c r="T15" i="64" s="1"/>
  <c r="J7" i="64"/>
  <c r="T7" i="64" s="1"/>
  <c r="L7" i="64"/>
  <c r="J9" i="64"/>
  <c r="T9" i="64" s="1"/>
  <c r="L9" i="64"/>
  <c r="J11" i="64"/>
  <c r="T11" i="64" s="1"/>
  <c r="L11" i="64"/>
  <c r="J14" i="64"/>
  <c r="T14" i="64" s="1"/>
  <c r="L14" i="64"/>
  <c r="L21" i="64"/>
  <c r="J21" i="64"/>
  <c r="T21" i="64" s="1"/>
  <c r="L22" i="64"/>
  <c r="J22" i="64"/>
  <c r="T22" i="64" s="1"/>
  <c r="L23" i="64"/>
  <c r="J23" i="64"/>
  <c r="T23" i="64" s="1"/>
  <c r="L24" i="64"/>
  <c r="J24" i="64"/>
  <c r="T24" i="64" s="1"/>
  <c r="L25" i="64"/>
  <c r="J25" i="64"/>
  <c r="T25" i="64" s="1"/>
  <c r="K25" i="64" s="1"/>
  <c r="L16" i="64"/>
  <c r="J16" i="64"/>
  <c r="T16" i="64" s="1"/>
  <c r="L17" i="64"/>
  <c r="J17" i="64"/>
  <c r="T17" i="64" s="1"/>
  <c r="L18" i="64"/>
  <c r="J18" i="64"/>
  <c r="T18" i="64" s="1"/>
  <c r="K18" i="64" s="1"/>
  <c r="L28" i="64"/>
  <c r="J28" i="64"/>
  <c r="T28" i="64" s="1"/>
  <c r="L29" i="64"/>
  <c r="J29" i="64"/>
  <c r="T29" i="64" s="1"/>
  <c r="L30" i="64"/>
  <c r="J30" i="64"/>
  <c r="T30" i="64" s="1"/>
  <c r="L31" i="64"/>
  <c r="J31" i="64"/>
  <c r="T31" i="64" s="1"/>
  <c r="L32" i="64"/>
  <c r="J32" i="64"/>
  <c r="T32" i="64" s="1"/>
  <c r="K32" i="64" s="1"/>
  <c r="M71" i="7"/>
  <c r="K71" i="7"/>
  <c r="K66" i="7"/>
  <c r="N66" i="7"/>
  <c r="B304" i="68" l="1"/>
  <c r="B311" i="68"/>
  <c r="B306" i="68"/>
  <c r="B305" i="68"/>
  <c r="B303" i="68"/>
  <c r="B302" i="68"/>
  <c r="B315" i="68"/>
  <c r="B313" i="68"/>
  <c r="B312" i="68"/>
  <c r="B316" i="68"/>
  <c r="B309" i="68"/>
  <c r="B317" i="68"/>
  <c r="B310" i="68"/>
  <c r="B308" i="68"/>
  <c r="B307" i="68"/>
  <c r="B314" i="68"/>
  <c r="K31" i="64"/>
  <c r="R31" i="64" s="1"/>
  <c r="K17" i="64"/>
  <c r="K16" i="64"/>
  <c r="K24" i="64"/>
  <c r="K23" i="64"/>
  <c r="R23" i="64" s="1"/>
  <c r="K22" i="64"/>
  <c r="K21" i="64"/>
  <c r="R21" i="64" s="1"/>
  <c r="K15" i="64"/>
  <c r="K30" i="64"/>
  <c r="R30" i="64" s="1"/>
  <c r="K29" i="64"/>
  <c r="K28" i="64"/>
  <c r="R28" i="64" s="1"/>
  <c r="K14" i="64"/>
  <c r="R14" i="64" s="1"/>
  <c r="R32" i="64"/>
  <c r="R29" i="64"/>
  <c r="R18" i="64"/>
  <c r="R17" i="64"/>
  <c r="R16" i="64"/>
  <c r="R25" i="64"/>
  <c r="R24" i="64"/>
  <c r="R22" i="64"/>
  <c r="M22" i="64" s="1"/>
  <c r="R15" i="64"/>
  <c r="T8" i="64"/>
  <c r="T10" i="64"/>
  <c r="K64" i="7"/>
  <c r="M64" i="7"/>
  <c r="M95" i="7"/>
  <c r="M92" i="7"/>
  <c r="M79" i="7"/>
  <c r="M76" i="7"/>
  <c r="M82" i="7"/>
  <c r="M104" i="7"/>
  <c r="K107" i="7"/>
  <c r="M112" i="7"/>
  <c r="M107" i="7"/>
  <c r="M118" i="7"/>
  <c r="K118" i="7"/>
  <c r="M121" i="7"/>
  <c r="M124" i="7"/>
  <c r="F41" i="8"/>
  <c r="F45" i="8"/>
  <c r="F40" i="8"/>
  <c r="A1" i="77" s="1"/>
  <c r="F46" i="8"/>
  <c r="F50" i="8"/>
  <c r="F48" i="8"/>
  <c r="F53" i="8"/>
  <c r="F52" i="8"/>
  <c r="A1" i="79" s="1"/>
  <c r="F51" i="8"/>
  <c r="F39" i="8"/>
  <c r="F25" i="8"/>
  <c r="A1" i="72" s="1"/>
  <c r="F27" i="8"/>
  <c r="A1" i="73" s="1"/>
  <c r="F26" i="8"/>
  <c r="A1" i="71" s="1"/>
  <c r="F38" i="8"/>
  <c r="A1" i="75" s="1"/>
  <c r="B312" i="79" l="1"/>
  <c r="B300" i="79"/>
  <c r="B302" i="79"/>
  <c r="B304" i="79"/>
  <c r="B306" i="79"/>
  <c r="B308" i="79"/>
  <c r="B310" i="79"/>
  <c r="B303" i="79"/>
  <c r="B305" i="79"/>
  <c r="B309" i="79"/>
  <c r="B301" i="79"/>
  <c r="B307" i="79"/>
  <c r="B311" i="79"/>
  <c r="B308" i="75"/>
  <c r="B309" i="75"/>
  <c r="B305" i="75"/>
  <c r="B300" i="75"/>
  <c r="B306" i="75"/>
  <c r="B307" i="75"/>
  <c r="B301" i="75"/>
  <c r="B300" i="73"/>
  <c r="B305" i="73"/>
  <c r="B309" i="73"/>
  <c r="B303" i="73"/>
  <c r="B308" i="73"/>
  <c r="B302" i="73"/>
  <c r="B307" i="73"/>
  <c r="B301" i="73"/>
  <c r="B306" i="73"/>
  <c r="A1" i="76"/>
  <c r="B303" i="72"/>
  <c r="B306" i="72"/>
  <c r="B308" i="72"/>
  <c r="B310" i="72"/>
  <c r="B312" i="72"/>
  <c r="B301" i="72"/>
  <c r="B305" i="72"/>
  <c r="B307" i="72"/>
  <c r="B309" i="72"/>
  <c r="B311" i="72"/>
  <c r="B300" i="72"/>
  <c r="B302" i="72"/>
  <c r="B303" i="77"/>
  <c r="B308" i="77"/>
  <c r="B302" i="77"/>
  <c r="B307" i="77"/>
  <c r="B309" i="77"/>
  <c r="B301" i="77"/>
  <c r="B300" i="77"/>
  <c r="K8" i="64"/>
  <c r="R8" i="64" s="1"/>
  <c r="M23" i="64"/>
  <c r="S23" i="64" s="1"/>
  <c r="M16" i="64"/>
  <c r="S16" i="64" s="1"/>
  <c r="M18" i="64"/>
  <c r="S18" i="64" s="1"/>
  <c r="M29" i="64"/>
  <c r="S29" i="64" s="1"/>
  <c r="M31" i="64"/>
  <c r="S31" i="64" s="1"/>
  <c r="K11" i="64"/>
  <c r="R11" i="64" s="1"/>
  <c r="K9" i="64"/>
  <c r="R9" i="64" s="1"/>
  <c r="M21" i="64"/>
  <c r="S21" i="64" s="1"/>
  <c r="M25" i="64"/>
  <c r="S25" i="64" s="1"/>
  <c r="K10" i="64"/>
  <c r="R10" i="64" s="1"/>
  <c r="M15" i="64"/>
  <c r="S15" i="64" s="1"/>
  <c r="S22" i="64"/>
  <c r="M24" i="64"/>
  <c r="S24" i="64" s="1"/>
  <c r="I24" i="64" s="1"/>
  <c r="M17" i="64"/>
  <c r="S17" i="64" s="1"/>
  <c r="M28" i="64"/>
  <c r="S28" i="64" s="1"/>
  <c r="M30" i="64"/>
  <c r="S30" i="64" s="1"/>
  <c r="M32" i="64"/>
  <c r="S32" i="64" s="1"/>
  <c r="K7" i="64"/>
  <c r="R7" i="64" s="1"/>
  <c r="M14" i="64"/>
  <c r="S14" i="64" s="1"/>
  <c r="M10" i="7"/>
  <c r="M8" i="7"/>
  <c r="AK9" i="16" l="1"/>
  <c r="AK12" i="16"/>
  <c r="AK11" i="16"/>
  <c r="AK16" i="16"/>
  <c r="AK18" i="16"/>
  <c r="AK17" i="16"/>
  <c r="AK24" i="16"/>
  <c r="AK23" i="16"/>
  <c r="AK21" i="16"/>
  <c r="AK25" i="16"/>
  <c r="AK29" i="16"/>
  <c r="AK31" i="16"/>
  <c r="AK34" i="16"/>
  <c r="AK32" i="16"/>
  <c r="AK8" i="16"/>
  <c r="AK10" i="16"/>
  <c r="AK13" i="16"/>
  <c r="AK15" i="16"/>
  <c r="AK14" i="16"/>
  <c r="AK19" i="16"/>
  <c r="AK22" i="16"/>
  <c r="AK27" i="16"/>
  <c r="AK20" i="16"/>
  <c r="AK30" i="16"/>
  <c r="AK26" i="16"/>
  <c r="AK28" i="16"/>
  <c r="AK33" i="16"/>
  <c r="AK36" i="16"/>
  <c r="AK41" i="16"/>
  <c r="AK43" i="16"/>
  <c r="AK38" i="16"/>
  <c r="AK45" i="16"/>
  <c r="AK39" i="16"/>
  <c r="AK47" i="16"/>
  <c r="AK49" i="16"/>
  <c r="AK51" i="16"/>
  <c r="AK53" i="16"/>
  <c r="AK55" i="16"/>
  <c r="AK57" i="16"/>
  <c r="AK59" i="16"/>
  <c r="AK61" i="16"/>
  <c r="AK63" i="16"/>
  <c r="AK35" i="16"/>
  <c r="AK42" i="16"/>
  <c r="AK44" i="16"/>
  <c r="AK37" i="16"/>
  <c r="AK46" i="16"/>
  <c r="AK40" i="16"/>
  <c r="AK48" i="16"/>
  <c r="AK50" i="16"/>
  <c r="AK52" i="16"/>
  <c r="AK54" i="16"/>
  <c r="AK56" i="16"/>
  <c r="AK58" i="16"/>
  <c r="AK60" i="16"/>
  <c r="AK62" i="16"/>
  <c r="AK65" i="16"/>
  <c r="AK67" i="16"/>
  <c r="AK69" i="16"/>
  <c r="AK71" i="16"/>
  <c r="AK73" i="16"/>
  <c r="AK64" i="16"/>
  <c r="AK66" i="16"/>
  <c r="AK68" i="16"/>
  <c r="AK70" i="16"/>
  <c r="AK72" i="16"/>
  <c r="AK7" i="16"/>
  <c r="B312" i="78"/>
  <c r="B310" i="78"/>
  <c r="B308" i="78"/>
  <c r="B306" i="78"/>
  <c r="B304" i="78"/>
  <c r="B302" i="78"/>
  <c r="B300" i="78"/>
  <c r="B301" i="78"/>
  <c r="B311" i="78"/>
  <c r="B309" i="78"/>
  <c r="B307" i="78"/>
  <c r="B305" i="78"/>
  <c r="B303" i="78"/>
  <c r="B312" i="76"/>
  <c r="B300" i="76"/>
  <c r="B302" i="76"/>
  <c r="B304" i="76"/>
  <c r="B306" i="76"/>
  <c r="B308" i="76"/>
  <c r="B310" i="76"/>
  <c r="B301" i="76"/>
  <c r="B303" i="76"/>
  <c r="B305" i="76"/>
  <c r="B307" i="76"/>
  <c r="B309" i="76"/>
  <c r="B311" i="76"/>
  <c r="I23" i="64"/>
  <c r="I22" i="64"/>
  <c r="I21" i="64"/>
  <c r="M7" i="64"/>
  <c r="M10" i="64"/>
  <c r="S10" i="64" s="1"/>
  <c r="M8" i="64"/>
  <c r="S8" i="64" s="1"/>
  <c r="M9" i="64"/>
  <c r="S9" i="64" s="1"/>
  <c r="M11" i="64"/>
  <c r="S11" i="64" s="1"/>
  <c r="AI9" i="16" l="1"/>
  <c r="AI12" i="16"/>
  <c r="AI11" i="16"/>
  <c r="AI16" i="16"/>
  <c r="AI18" i="16"/>
  <c r="AI17" i="16"/>
  <c r="AI24" i="16"/>
  <c r="AI23" i="16"/>
  <c r="AI21" i="16"/>
  <c r="AI25" i="16"/>
  <c r="AI29" i="16"/>
  <c r="AI31" i="16"/>
  <c r="AI34" i="16"/>
  <c r="AI32" i="16"/>
  <c r="AI8" i="16"/>
  <c r="AI10" i="16"/>
  <c r="AI13" i="16"/>
  <c r="AI15" i="16"/>
  <c r="AI14" i="16"/>
  <c r="AI19" i="16"/>
  <c r="AI22" i="16"/>
  <c r="AI27" i="16"/>
  <c r="AI20" i="16"/>
  <c r="AI30" i="16"/>
  <c r="AI26" i="16"/>
  <c r="AI28" i="16"/>
  <c r="AI33" i="16"/>
  <c r="AI36" i="16"/>
  <c r="AI35" i="16"/>
  <c r="AI41" i="16"/>
  <c r="AI43" i="16"/>
  <c r="AI38" i="16"/>
  <c r="AI45" i="16"/>
  <c r="AI39" i="16"/>
  <c r="AI47" i="16"/>
  <c r="AI49" i="16"/>
  <c r="AI51" i="16"/>
  <c r="AI53" i="16"/>
  <c r="AI55" i="16"/>
  <c r="AI57" i="16"/>
  <c r="AI59" i="16"/>
  <c r="AI61" i="16"/>
  <c r="AI63" i="16"/>
  <c r="AI42" i="16"/>
  <c r="AI44" i="16"/>
  <c r="AI37" i="16"/>
  <c r="AI46" i="16"/>
  <c r="AI40" i="16"/>
  <c r="AI48" i="16"/>
  <c r="AI50" i="16"/>
  <c r="AI52" i="16"/>
  <c r="AI54" i="16"/>
  <c r="AI56" i="16"/>
  <c r="AI58" i="16"/>
  <c r="AI60" i="16"/>
  <c r="AI62" i="16"/>
  <c r="AI64" i="16"/>
  <c r="AI65" i="16"/>
  <c r="AI67" i="16"/>
  <c r="AI69" i="16"/>
  <c r="AI71" i="16"/>
  <c r="AI73" i="16"/>
  <c r="AI66" i="16"/>
  <c r="AI68" i="16"/>
  <c r="AI70" i="16"/>
  <c r="AI72" i="16"/>
  <c r="AJ8" i="16"/>
  <c r="AJ10" i="16"/>
  <c r="AJ13" i="16"/>
  <c r="AJ15" i="16"/>
  <c r="AJ14" i="16"/>
  <c r="AJ19" i="16"/>
  <c r="AJ22" i="16"/>
  <c r="AJ27" i="16"/>
  <c r="AJ20" i="16"/>
  <c r="AJ30" i="16"/>
  <c r="AJ26" i="16"/>
  <c r="AJ28" i="16"/>
  <c r="AJ33" i="16"/>
  <c r="AJ36" i="16"/>
  <c r="AJ9" i="16"/>
  <c r="AJ12" i="16"/>
  <c r="AJ11" i="16"/>
  <c r="AJ16" i="16"/>
  <c r="AJ18" i="16"/>
  <c r="AJ17" i="16"/>
  <c r="AJ24" i="16"/>
  <c r="AJ23" i="16"/>
  <c r="AJ21" i="16"/>
  <c r="AJ25" i="16"/>
  <c r="AJ29" i="16"/>
  <c r="AJ31" i="16"/>
  <c r="AJ34" i="16"/>
  <c r="AJ32" i="16"/>
  <c r="AJ35" i="16"/>
  <c r="AJ42" i="16"/>
  <c r="AJ44" i="16"/>
  <c r="AJ37" i="16"/>
  <c r="AJ46" i="16"/>
  <c r="AJ40" i="16"/>
  <c r="AJ48" i="16"/>
  <c r="AJ50" i="16"/>
  <c r="AJ52" i="16"/>
  <c r="AJ54" i="16"/>
  <c r="AJ56" i="16"/>
  <c r="AJ58" i="16"/>
  <c r="AJ60" i="16"/>
  <c r="AJ62" i="16"/>
  <c r="AJ64" i="16"/>
  <c r="AJ41" i="16"/>
  <c r="AJ43" i="16"/>
  <c r="AJ38" i="16"/>
  <c r="AJ45" i="16"/>
  <c r="AJ39" i="16"/>
  <c r="AJ47" i="16"/>
  <c r="AJ49" i="16"/>
  <c r="AJ51" i="16"/>
  <c r="AJ53" i="16"/>
  <c r="AJ55" i="16"/>
  <c r="AJ57" i="16"/>
  <c r="AJ59" i="16"/>
  <c r="AJ61" i="16"/>
  <c r="AJ63" i="16"/>
  <c r="AJ66" i="16"/>
  <c r="AJ68" i="16"/>
  <c r="AJ70" i="16"/>
  <c r="AJ72" i="16"/>
  <c r="AJ65" i="16"/>
  <c r="AJ67" i="16"/>
  <c r="AJ69" i="16"/>
  <c r="AJ71" i="16"/>
  <c r="AJ73" i="16"/>
  <c r="AK74" i="16"/>
  <c r="AK75" i="16" s="1"/>
  <c r="AJ7" i="16"/>
  <c r="AI7" i="16"/>
  <c r="S7" i="64"/>
  <c r="V324" i="64"/>
  <c r="V325" i="64"/>
  <c r="V321" i="64"/>
  <c r="V326" i="64"/>
  <c r="V322" i="64"/>
  <c r="V323" i="64"/>
  <c r="K98" i="7"/>
  <c r="L98" i="7"/>
  <c r="B146" i="64" l="1"/>
  <c r="B142" i="64"/>
  <c r="B116" i="64"/>
  <c r="B112" i="64"/>
  <c r="B152" i="64"/>
  <c r="B150" i="64"/>
  <c r="B148" i="64"/>
  <c r="B144" i="64"/>
  <c r="B140" i="64"/>
  <c r="B114" i="64"/>
  <c r="B110" i="64"/>
  <c r="B108" i="64"/>
  <c r="B106" i="64"/>
  <c r="B104" i="64"/>
  <c r="B102" i="64"/>
  <c r="C152" i="64" l="1"/>
  <c r="C127" i="64"/>
  <c r="C161" i="64"/>
  <c r="C103" i="64"/>
  <c r="C107" i="64"/>
  <c r="C129" i="64"/>
  <c r="C115" i="64"/>
  <c r="C165" i="64"/>
  <c r="C154" i="64"/>
  <c r="C153" i="64" s="1"/>
  <c r="C163" i="64"/>
  <c r="V19" i="63"/>
  <c r="N19" i="63"/>
  <c r="J19" i="63"/>
  <c r="F19" i="63"/>
  <c r="V18" i="63"/>
  <c r="R18" i="63"/>
  <c r="N18" i="63"/>
  <c r="J18" i="63"/>
  <c r="F18" i="63"/>
  <c r="V17" i="63"/>
  <c r="R17" i="63"/>
  <c r="N17" i="63"/>
  <c r="F17" i="63"/>
  <c r="R16" i="63"/>
  <c r="N16" i="63"/>
  <c r="F16" i="63"/>
  <c r="V15" i="63"/>
  <c r="R15" i="63"/>
  <c r="N15" i="63"/>
  <c r="J15" i="63"/>
  <c r="F15" i="63"/>
  <c r="V14" i="63"/>
  <c r="R14" i="63"/>
  <c r="J14" i="63"/>
  <c r="F14" i="63"/>
  <c r="V13" i="63"/>
  <c r="R13" i="63"/>
  <c r="N13" i="63"/>
  <c r="J13" i="63"/>
  <c r="F13" i="63"/>
  <c r="R12" i="63"/>
  <c r="J12" i="63"/>
  <c r="F12" i="63"/>
  <c r="V11" i="63"/>
  <c r="R11" i="63"/>
  <c r="N11" i="63"/>
  <c r="J11" i="63"/>
  <c r="V10" i="63"/>
  <c r="R10" i="63"/>
  <c r="N10" i="63"/>
  <c r="J10" i="63"/>
  <c r="V9" i="63"/>
  <c r="R9" i="63"/>
  <c r="N9" i="63"/>
  <c r="J9" i="63"/>
  <c r="F9" i="63"/>
  <c r="V8" i="63"/>
  <c r="R8" i="63"/>
  <c r="N8" i="63"/>
  <c r="J8" i="63"/>
  <c r="F8" i="63"/>
  <c r="V7" i="63"/>
  <c r="R7" i="63"/>
  <c r="N7" i="63"/>
  <c r="J7" i="63"/>
  <c r="F7" i="63"/>
  <c r="AG4" i="16"/>
  <c r="AF4" i="16"/>
  <c r="C145" i="64" l="1"/>
  <c r="C111" i="64"/>
  <c r="C149" i="64"/>
  <c r="C123" i="64"/>
  <c r="C167" i="64"/>
  <c r="E167" i="64" s="1"/>
  <c r="C141" i="64"/>
  <c r="C125" i="64"/>
  <c r="V49" i="16"/>
  <c r="C312" i="63"/>
  <c r="C311" i="63"/>
  <c r="C310" i="63"/>
  <c r="C309" i="63"/>
  <c r="C308" i="63"/>
  <c r="C307" i="63"/>
  <c r="C306" i="63"/>
  <c r="C305" i="63"/>
  <c r="C302" i="63"/>
  <c r="C301" i="63"/>
  <c r="C300" i="63"/>
  <c r="AA18" i="63"/>
  <c r="Y18" i="63"/>
  <c r="W18" i="63"/>
  <c r="AA17" i="63"/>
  <c r="Y17" i="63"/>
  <c r="W17" i="63"/>
  <c r="AA16" i="63"/>
  <c r="Y16" i="63"/>
  <c r="W16" i="63"/>
  <c r="AA15" i="63"/>
  <c r="Y15" i="63"/>
  <c r="W15" i="63"/>
  <c r="AA14" i="63"/>
  <c r="Y14" i="63"/>
  <c r="W14" i="63"/>
  <c r="AA13" i="63"/>
  <c r="Y13" i="63"/>
  <c r="W13" i="63"/>
  <c r="AA12" i="63"/>
  <c r="Y12" i="63"/>
  <c r="W12" i="63"/>
  <c r="AA11" i="63"/>
  <c r="Y11" i="63"/>
  <c r="W11" i="63"/>
  <c r="AA10" i="63"/>
  <c r="Y10" i="63"/>
  <c r="W10" i="63"/>
  <c r="AA9" i="63"/>
  <c r="Y9" i="63"/>
  <c r="W9" i="63"/>
  <c r="AA8" i="63"/>
  <c r="Y8" i="63"/>
  <c r="W8" i="63"/>
  <c r="AA7" i="63"/>
  <c r="Y7" i="63"/>
  <c r="W7" i="63"/>
  <c r="E133" i="64" l="1"/>
  <c r="E119" i="64"/>
  <c r="E117" i="64"/>
  <c r="E157" i="64"/>
  <c r="E143" i="64"/>
  <c r="E128" i="64"/>
  <c r="E105" i="64"/>
  <c r="E162" i="64"/>
  <c r="E169" i="64"/>
  <c r="E165" i="64"/>
  <c r="AB16" i="63"/>
  <c r="AB12" i="63"/>
  <c r="AB17" i="63"/>
  <c r="AB8" i="63"/>
  <c r="AB10" i="63"/>
  <c r="AB14" i="63"/>
  <c r="AB15" i="63"/>
  <c r="AB7" i="63"/>
  <c r="AB9" i="63"/>
  <c r="AB11" i="63"/>
  <c r="AB13" i="63"/>
  <c r="AB18" i="63"/>
  <c r="E113" i="64" l="1"/>
  <c r="E155" i="64"/>
  <c r="E131" i="64"/>
  <c r="E151" i="64"/>
  <c r="H152" i="64" s="1"/>
  <c r="E124" i="64"/>
  <c r="E171" i="64"/>
  <c r="G171" i="64" s="1"/>
  <c r="E166" i="64"/>
  <c r="H126" i="64" l="1"/>
  <c r="H114" i="64"/>
  <c r="H164" i="64"/>
  <c r="H147" i="64"/>
  <c r="H167" i="64"/>
  <c r="H109" i="64"/>
  <c r="H118" i="64"/>
  <c r="H121" i="64"/>
  <c r="H156" i="64"/>
  <c r="H159" i="64"/>
  <c r="G169" i="64"/>
  <c r="M88" i="7"/>
  <c r="H129" i="64" l="1"/>
  <c r="H132" i="64"/>
  <c r="H135" i="64"/>
  <c r="B311" i="64" s="1"/>
  <c r="B307" i="64"/>
  <c r="B303" i="64"/>
  <c r="B301" i="64"/>
  <c r="B312" i="64"/>
  <c r="B308" i="64"/>
  <c r="B304" i="64"/>
  <c r="B302" i="64"/>
  <c r="B300" i="64"/>
  <c r="H173" i="64"/>
  <c r="H170" i="64"/>
  <c r="B314" i="64" s="1"/>
  <c r="C154" i="62"/>
  <c r="P32" i="62"/>
  <c r="O32" i="62"/>
  <c r="N32" i="62"/>
  <c r="H32" i="62"/>
  <c r="Q32" i="62" s="1"/>
  <c r="P31" i="62"/>
  <c r="O31" i="62"/>
  <c r="N31" i="62"/>
  <c r="H31" i="62"/>
  <c r="Q31" i="62" s="1"/>
  <c r="P30" i="62"/>
  <c r="O30" i="62"/>
  <c r="N30" i="62"/>
  <c r="H30" i="62"/>
  <c r="Q30" i="62" s="1"/>
  <c r="P29" i="62"/>
  <c r="O29" i="62"/>
  <c r="N29" i="62"/>
  <c r="H29" i="62"/>
  <c r="Q29" i="62" s="1"/>
  <c r="P28" i="62"/>
  <c r="O28" i="62"/>
  <c r="N28" i="62"/>
  <c r="H28" i="62"/>
  <c r="Q28" i="62" s="1"/>
  <c r="R27" i="62"/>
  <c r="Q25" i="62"/>
  <c r="P25" i="62"/>
  <c r="O25" i="62"/>
  <c r="N25" i="62"/>
  <c r="H25" i="62"/>
  <c r="P24" i="62"/>
  <c r="O24" i="62"/>
  <c r="N24" i="62"/>
  <c r="H24" i="62"/>
  <c r="Q24" i="62" s="1"/>
  <c r="P23" i="62"/>
  <c r="O23" i="62"/>
  <c r="N23" i="62"/>
  <c r="H23" i="62"/>
  <c r="Q23" i="62" s="1"/>
  <c r="P22" i="62"/>
  <c r="O22" i="62"/>
  <c r="N22" i="62"/>
  <c r="H22" i="62"/>
  <c r="Q22" i="62" s="1"/>
  <c r="P21" i="62"/>
  <c r="O21" i="62"/>
  <c r="N21" i="62"/>
  <c r="H21" i="62"/>
  <c r="Q21" i="62" s="1"/>
  <c r="R20" i="62"/>
  <c r="P18" i="62"/>
  <c r="O18" i="62"/>
  <c r="N18" i="62"/>
  <c r="H18" i="62"/>
  <c r="Q18" i="62" s="1"/>
  <c r="P17" i="62"/>
  <c r="O17" i="62"/>
  <c r="N17" i="62"/>
  <c r="H17" i="62"/>
  <c r="Q17" i="62" s="1"/>
  <c r="P16" i="62"/>
  <c r="O16" i="62"/>
  <c r="N16" i="62"/>
  <c r="H16" i="62"/>
  <c r="Q16" i="62" s="1"/>
  <c r="P15" i="62"/>
  <c r="O15" i="62"/>
  <c r="N15" i="62"/>
  <c r="H15" i="62"/>
  <c r="Q15" i="62" s="1"/>
  <c r="P14" i="62"/>
  <c r="O14" i="62"/>
  <c r="N14" i="62"/>
  <c r="H14" i="62"/>
  <c r="Q14" i="62" s="1"/>
  <c r="R13" i="62"/>
  <c r="P11" i="62"/>
  <c r="O11" i="62"/>
  <c r="N11" i="62"/>
  <c r="H11" i="62"/>
  <c r="Q11" i="62" s="1"/>
  <c r="P10" i="62"/>
  <c r="O10" i="62"/>
  <c r="N10" i="62"/>
  <c r="H10" i="62"/>
  <c r="Q10" i="62" s="1"/>
  <c r="P9" i="62"/>
  <c r="O9" i="62"/>
  <c r="N9" i="62"/>
  <c r="H9" i="62"/>
  <c r="Q9" i="62" s="1"/>
  <c r="P8" i="62"/>
  <c r="O8" i="62"/>
  <c r="N8" i="62"/>
  <c r="H8" i="62"/>
  <c r="Q8" i="62" s="1"/>
  <c r="P7" i="62"/>
  <c r="O7" i="62"/>
  <c r="N7" i="62"/>
  <c r="H7" i="62"/>
  <c r="Q7" i="62" s="1"/>
  <c r="R6" i="62"/>
  <c r="B313" i="64" l="1"/>
  <c r="B306" i="64"/>
  <c r="B310" i="64"/>
  <c r="B305" i="64"/>
  <c r="B309" i="64"/>
  <c r="J29" i="62"/>
  <c r="T29" i="62" s="1"/>
  <c r="J28" i="62"/>
  <c r="T28" i="62" s="1"/>
  <c r="J31" i="62"/>
  <c r="T31" i="62" s="1"/>
  <c r="J30" i="62"/>
  <c r="T30" i="62" s="1"/>
  <c r="J32" i="62"/>
  <c r="T32" i="62" s="1"/>
  <c r="L7" i="62"/>
  <c r="J7" i="62"/>
  <c r="T7" i="62" s="1"/>
  <c r="L8" i="62"/>
  <c r="J8" i="62"/>
  <c r="T8" i="62" s="1"/>
  <c r="L9" i="62"/>
  <c r="J9" i="62"/>
  <c r="T9" i="62" s="1"/>
  <c r="L10" i="62"/>
  <c r="J10" i="62"/>
  <c r="T10" i="62" s="1"/>
  <c r="L11" i="62"/>
  <c r="J11" i="62"/>
  <c r="T11" i="62" s="1"/>
  <c r="K11" i="62" s="1"/>
  <c r="J17" i="62"/>
  <c r="T17" i="62" s="1"/>
  <c r="J18" i="62"/>
  <c r="T18" i="62" s="1"/>
  <c r="J14" i="62"/>
  <c r="T14" i="62" s="1"/>
  <c r="L14" i="62"/>
  <c r="J15" i="62"/>
  <c r="T15" i="62" s="1"/>
  <c r="L15" i="62"/>
  <c r="J16" i="62"/>
  <c r="T16" i="62" s="1"/>
  <c r="L16" i="62"/>
  <c r="L17" i="62"/>
  <c r="L18" i="62"/>
  <c r="L21" i="62"/>
  <c r="J21" i="62"/>
  <c r="T21" i="62" s="1"/>
  <c r="L22" i="62"/>
  <c r="J22" i="62"/>
  <c r="T22" i="62" s="1"/>
  <c r="L23" i="62"/>
  <c r="J23" i="62"/>
  <c r="T23" i="62" s="1"/>
  <c r="L24" i="62"/>
  <c r="J24" i="62"/>
  <c r="T24" i="62" s="1"/>
  <c r="L25" i="62"/>
  <c r="J25" i="62"/>
  <c r="T25" i="62" s="1"/>
  <c r="L28" i="62"/>
  <c r="L29" i="62"/>
  <c r="L30" i="62"/>
  <c r="L31" i="62"/>
  <c r="L32" i="62"/>
  <c r="F23" i="8"/>
  <c r="A1" i="70" s="1"/>
  <c r="F20" i="8"/>
  <c r="A1" i="66" s="1"/>
  <c r="F19" i="8"/>
  <c r="A1" i="64" s="1"/>
  <c r="K58" i="7"/>
  <c r="M58" i="7"/>
  <c r="M69" i="7"/>
  <c r="K28" i="62" l="1"/>
  <c r="K29" i="62"/>
  <c r="K30" i="62"/>
  <c r="R30" i="62" s="1"/>
  <c r="K32" i="62"/>
  <c r="R29" i="62"/>
  <c r="R32" i="62"/>
  <c r="R28" i="62"/>
  <c r="K31" i="62"/>
  <c r="R31" i="62" s="1"/>
  <c r="K21" i="62"/>
  <c r="K15" i="62"/>
  <c r="R15" i="62" s="1"/>
  <c r="K10" i="62"/>
  <c r="R10" i="62" s="1"/>
  <c r="K9" i="62"/>
  <c r="K8" i="62"/>
  <c r="R8" i="62" s="1"/>
  <c r="K7" i="62"/>
  <c r="R7" i="62" s="1"/>
  <c r="K23" i="62"/>
  <c r="K25" i="62"/>
  <c r="R25" i="62" s="1"/>
  <c r="K24" i="62"/>
  <c r="R24" i="62" s="1"/>
  <c r="R23" i="62"/>
  <c r="K22" i="62"/>
  <c r="R22" i="62" s="1"/>
  <c r="R21" i="62"/>
  <c r="K17" i="62"/>
  <c r="K16" i="62"/>
  <c r="R16" i="62" s="1"/>
  <c r="K14" i="62"/>
  <c r="R14" i="62" s="1"/>
  <c r="R17" i="62"/>
  <c r="R11" i="62"/>
  <c r="R9" i="62"/>
  <c r="K18" i="62"/>
  <c r="R18" i="62" s="1"/>
  <c r="M63" i="7"/>
  <c r="M55" i="7"/>
  <c r="M28" i="62" l="1"/>
  <c r="S28" i="62" s="1"/>
  <c r="M29" i="62"/>
  <c r="S29" i="62" s="1"/>
  <c r="M32" i="62"/>
  <c r="S32" i="62" s="1"/>
  <c r="M30" i="62"/>
  <c r="S30" i="62" s="1"/>
  <c r="M31" i="62"/>
  <c r="S31" i="62" s="1"/>
  <c r="M22" i="62"/>
  <c r="S22" i="62" s="1"/>
  <c r="M25" i="62"/>
  <c r="S25" i="62" s="1"/>
  <c r="M8" i="62"/>
  <c r="S8" i="62" s="1"/>
  <c r="M10" i="62"/>
  <c r="S10" i="62" s="1"/>
  <c r="M18" i="62"/>
  <c r="S18" i="62" s="1"/>
  <c r="M7" i="62"/>
  <c r="S7" i="62" s="1"/>
  <c r="M9" i="62"/>
  <c r="S9" i="62" s="1"/>
  <c r="M11" i="62"/>
  <c r="S11" i="62" s="1"/>
  <c r="M14" i="62"/>
  <c r="S14" i="62" s="1"/>
  <c r="M21" i="62"/>
  <c r="S21" i="62" s="1"/>
  <c r="M23" i="62"/>
  <c r="S23" i="62" s="1"/>
  <c r="M24" i="62"/>
  <c r="S24" i="62" s="1"/>
  <c r="M17" i="62"/>
  <c r="S17" i="62" s="1"/>
  <c r="M16" i="62"/>
  <c r="S16" i="62" s="1"/>
  <c r="M15" i="62"/>
  <c r="S15" i="62" s="1"/>
  <c r="I16" i="62" l="1"/>
  <c r="I14" i="62"/>
  <c r="I17" i="62"/>
  <c r="I15" i="62"/>
  <c r="V18" i="61"/>
  <c r="R18" i="61"/>
  <c r="N18" i="61"/>
  <c r="J18" i="61"/>
  <c r="F18" i="61"/>
  <c r="V17" i="61"/>
  <c r="R17" i="61"/>
  <c r="N17" i="61"/>
  <c r="J17" i="61"/>
  <c r="F17" i="61"/>
  <c r="V16" i="61"/>
  <c r="R16" i="61"/>
  <c r="N16" i="61"/>
  <c r="J16" i="61"/>
  <c r="F16" i="61"/>
  <c r="V15" i="61"/>
  <c r="R15" i="61"/>
  <c r="N15" i="61"/>
  <c r="J15" i="61"/>
  <c r="F15" i="61"/>
  <c r="V14" i="61"/>
  <c r="R14" i="61"/>
  <c r="N14" i="61"/>
  <c r="J14" i="61"/>
  <c r="F14" i="61"/>
  <c r="V13" i="61"/>
  <c r="R13" i="61"/>
  <c r="N13" i="61"/>
  <c r="J13" i="61"/>
  <c r="F13" i="61"/>
  <c r="V12" i="61"/>
  <c r="R12" i="61"/>
  <c r="N12" i="61"/>
  <c r="J12" i="61"/>
  <c r="F12" i="61"/>
  <c r="V11" i="61"/>
  <c r="R11" i="61"/>
  <c r="N11" i="61"/>
  <c r="J11" i="61"/>
  <c r="F11" i="61"/>
  <c r="V10" i="61"/>
  <c r="R10" i="61"/>
  <c r="N10" i="61"/>
  <c r="J10" i="61"/>
  <c r="F10" i="61"/>
  <c r="V9" i="61"/>
  <c r="R9" i="61"/>
  <c r="N9" i="61"/>
  <c r="J9" i="61"/>
  <c r="F9" i="61"/>
  <c r="V8" i="61"/>
  <c r="R8" i="61"/>
  <c r="N8" i="61"/>
  <c r="J8" i="61"/>
  <c r="F8" i="61"/>
  <c r="V7" i="61"/>
  <c r="R7" i="61"/>
  <c r="N7" i="61"/>
  <c r="J7" i="61"/>
  <c r="F7" i="61"/>
  <c r="AA18" i="61"/>
  <c r="Y18" i="61"/>
  <c r="W18" i="61"/>
  <c r="AA17" i="61"/>
  <c r="Y17" i="61"/>
  <c r="W17" i="61"/>
  <c r="AA16" i="61"/>
  <c r="Y16" i="61"/>
  <c r="W16" i="61"/>
  <c r="AA15" i="61"/>
  <c r="Y15" i="61"/>
  <c r="W15" i="61"/>
  <c r="AA14" i="61"/>
  <c r="Y14" i="61"/>
  <c r="W14" i="61"/>
  <c r="AA13" i="61"/>
  <c r="Y13" i="61"/>
  <c r="W13" i="61"/>
  <c r="AA12" i="61"/>
  <c r="Y12" i="61"/>
  <c r="W12" i="61"/>
  <c r="AA11" i="61"/>
  <c r="Y11" i="61"/>
  <c r="W11" i="61"/>
  <c r="AA10" i="61"/>
  <c r="Y10" i="61"/>
  <c r="W10" i="61"/>
  <c r="AA9" i="61"/>
  <c r="Y9" i="61"/>
  <c r="W9" i="61"/>
  <c r="AA8" i="61"/>
  <c r="Y8" i="61"/>
  <c r="W8" i="61"/>
  <c r="AA7" i="61"/>
  <c r="Y7" i="61"/>
  <c r="W7" i="61"/>
  <c r="B116" i="62" l="1"/>
  <c r="B152" i="62"/>
  <c r="B150" i="62"/>
  <c r="B148" i="62"/>
  <c r="B146" i="62"/>
  <c r="B144" i="62"/>
  <c r="B142" i="62"/>
  <c r="B140" i="62"/>
  <c r="B114" i="62"/>
  <c r="C129" i="62" s="1"/>
  <c r="E128" i="62" s="1"/>
  <c r="H129" i="62" s="1"/>
  <c r="B112" i="62"/>
  <c r="C127" i="62" s="1"/>
  <c r="E133" i="62" s="1"/>
  <c r="B110" i="62"/>
  <c r="C111" i="62" s="1"/>
  <c r="E113" i="62" s="1"/>
  <c r="H109" i="62" s="1"/>
  <c r="B108" i="62"/>
  <c r="B106" i="62"/>
  <c r="B104" i="62"/>
  <c r="B102" i="62"/>
  <c r="AB16" i="61"/>
  <c r="AB17" i="61"/>
  <c r="AB14" i="61"/>
  <c r="AB8" i="61"/>
  <c r="AB9" i="61"/>
  <c r="AB10" i="61"/>
  <c r="AB12" i="61"/>
  <c r="AB15" i="61"/>
  <c r="AB7" i="61"/>
  <c r="AB11" i="61"/>
  <c r="AB13" i="61"/>
  <c r="AB18" i="61"/>
  <c r="B140" i="60"/>
  <c r="B148" i="59"/>
  <c r="C141" i="62" l="1"/>
  <c r="C163" i="62"/>
  <c r="C165" i="62"/>
  <c r="C123" i="62"/>
  <c r="E124" i="62" s="1"/>
  <c r="H126" i="62" s="1"/>
  <c r="C107" i="62"/>
  <c r="C161" i="62"/>
  <c r="E169" i="62" s="1"/>
  <c r="C145" i="62"/>
  <c r="E155" i="62" s="1"/>
  <c r="C149" i="62"/>
  <c r="E157" i="62" s="1"/>
  <c r="C115" i="62"/>
  <c r="E119" i="62" s="1"/>
  <c r="C103" i="62"/>
  <c r="C125" i="62"/>
  <c r="E131" i="62" s="1"/>
  <c r="H135" i="62" s="1"/>
  <c r="E162" i="62"/>
  <c r="H167" i="62" s="1"/>
  <c r="C152" i="62"/>
  <c r="B300" i="62"/>
  <c r="C315" i="60"/>
  <c r="C314" i="60"/>
  <c r="C313" i="60"/>
  <c r="C312" i="60"/>
  <c r="C311" i="60"/>
  <c r="C310" i="60"/>
  <c r="C309" i="60"/>
  <c r="C308" i="60"/>
  <c r="C307" i="60"/>
  <c r="C306" i="60"/>
  <c r="C305" i="60"/>
  <c r="C304" i="60"/>
  <c r="C303" i="60"/>
  <c r="C302" i="60"/>
  <c r="C301" i="60"/>
  <c r="C300" i="60"/>
  <c r="P32" i="60"/>
  <c r="O32" i="60"/>
  <c r="N32" i="60"/>
  <c r="H32" i="60"/>
  <c r="Q32" i="60" s="1"/>
  <c r="P31" i="60"/>
  <c r="O31" i="60"/>
  <c r="N31" i="60"/>
  <c r="H31" i="60"/>
  <c r="Q31" i="60" s="1"/>
  <c r="P30" i="60"/>
  <c r="O30" i="60"/>
  <c r="N30" i="60"/>
  <c r="H30" i="60"/>
  <c r="Q30" i="60" s="1"/>
  <c r="P29" i="60"/>
  <c r="O29" i="60"/>
  <c r="N29" i="60"/>
  <c r="H29" i="60"/>
  <c r="Q29" i="60" s="1"/>
  <c r="P28" i="60"/>
  <c r="O28" i="60"/>
  <c r="N28" i="60"/>
  <c r="H28" i="60"/>
  <c r="Q28" i="60" s="1"/>
  <c r="R27" i="60"/>
  <c r="P25" i="60"/>
  <c r="O25" i="60"/>
  <c r="N25" i="60"/>
  <c r="H25" i="60"/>
  <c r="Q25" i="60" s="1"/>
  <c r="P24" i="60"/>
  <c r="O24" i="60"/>
  <c r="N24" i="60"/>
  <c r="H24" i="60"/>
  <c r="Q24" i="60" s="1"/>
  <c r="P23" i="60"/>
  <c r="O23" i="60"/>
  <c r="N23" i="60"/>
  <c r="H23" i="60"/>
  <c r="Q23" i="60" s="1"/>
  <c r="P22" i="60"/>
  <c r="O22" i="60"/>
  <c r="N22" i="60"/>
  <c r="H22" i="60"/>
  <c r="Q22" i="60" s="1"/>
  <c r="P21" i="60"/>
  <c r="O21" i="60"/>
  <c r="N21" i="60"/>
  <c r="H21" i="60"/>
  <c r="Q21" i="60" s="1"/>
  <c r="R20" i="60"/>
  <c r="Q18" i="60"/>
  <c r="P18" i="60"/>
  <c r="O18" i="60"/>
  <c r="N18" i="60"/>
  <c r="H18" i="60"/>
  <c r="P17" i="60"/>
  <c r="O17" i="60"/>
  <c r="N17" i="60"/>
  <c r="H17" i="60"/>
  <c r="Q17" i="60" s="1"/>
  <c r="P16" i="60"/>
  <c r="O16" i="60"/>
  <c r="N16" i="60"/>
  <c r="H16" i="60"/>
  <c r="Q16" i="60" s="1"/>
  <c r="P15" i="60"/>
  <c r="O15" i="60"/>
  <c r="N15" i="60"/>
  <c r="H15" i="60"/>
  <c r="Q15" i="60" s="1"/>
  <c r="P14" i="60"/>
  <c r="O14" i="60"/>
  <c r="N14" i="60"/>
  <c r="H14" i="60"/>
  <c r="Q14" i="60" s="1"/>
  <c r="R13" i="60"/>
  <c r="P11" i="60"/>
  <c r="O11" i="60"/>
  <c r="N11" i="60"/>
  <c r="H11" i="60"/>
  <c r="Q11" i="60" s="1"/>
  <c r="P10" i="60"/>
  <c r="O10" i="60"/>
  <c r="N10" i="60"/>
  <c r="H10" i="60"/>
  <c r="Q10" i="60" s="1"/>
  <c r="P9" i="60"/>
  <c r="O9" i="60"/>
  <c r="N9" i="60"/>
  <c r="H9" i="60"/>
  <c r="Q9" i="60" s="1"/>
  <c r="P8" i="60"/>
  <c r="O8" i="60"/>
  <c r="N8" i="60"/>
  <c r="H8" i="60"/>
  <c r="Q8" i="60" s="1"/>
  <c r="P7" i="60"/>
  <c r="O7" i="60"/>
  <c r="N7" i="60"/>
  <c r="H7" i="60"/>
  <c r="Q7" i="60" s="1"/>
  <c r="R6" i="60"/>
  <c r="E143" i="62" l="1"/>
  <c r="H147" i="62" s="1"/>
  <c r="E117" i="62"/>
  <c r="H118" i="62" s="1"/>
  <c r="H132" i="62"/>
  <c r="H159" i="62"/>
  <c r="C153" i="62"/>
  <c r="E151" i="62" s="1"/>
  <c r="H152" i="62" s="1"/>
  <c r="C167" i="62"/>
  <c r="H156" i="62"/>
  <c r="E105" i="62"/>
  <c r="H114" i="62" s="1"/>
  <c r="L7" i="60"/>
  <c r="J7" i="60"/>
  <c r="T7" i="60" s="1"/>
  <c r="L8" i="60"/>
  <c r="J8" i="60"/>
  <c r="T8" i="60" s="1"/>
  <c r="L9" i="60"/>
  <c r="J9" i="60"/>
  <c r="T9" i="60" s="1"/>
  <c r="L10" i="60"/>
  <c r="J10" i="60"/>
  <c r="T10" i="60" s="1"/>
  <c r="L11" i="60"/>
  <c r="J11" i="60"/>
  <c r="T11" i="60" s="1"/>
  <c r="K11" i="60" s="1"/>
  <c r="J21" i="60"/>
  <c r="L21" i="60"/>
  <c r="T21" i="60"/>
  <c r="J22" i="60"/>
  <c r="T22" i="60" s="1"/>
  <c r="J23" i="60"/>
  <c r="T23" i="60" s="1"/>
  <c r="J24" i="60"/>
  <c r="T24" i="60" s="1"/>
  <c r="J25" i="60"/>
  <c r="T25" i="60" s="1"/>
  <c r="J14" i="60"/>
  <c r="T14" i="60" s="1"/>
  <c r="L14" i="60"/>
  <c r="J15" i="60"/>
  <c r="T15" i="60" s="1"/>
  <c r="L15" i="60"/>
  <c r="J16" i="60"/>
  <c r="T16" i="60" s="1"/>
  <c r="L16" i="60"/>
  <c r="J17" i="60"/>
  <c r="T17" i="60" s="1"/>
  <c r="L17" i="60"/>
  <c r="J18" i="60"/>
  <c r="T18" i="60" s="1"/>
  <c r="L18" i="60"/>
  <c r="L22" i="60"/>
  <c r="L23" i="60"/>
  <c r="L24" i="60"/>
  <c r="L25" i="60"/>
  <c r="L28" i="60"/>
  <c r="J28" i="60"/>
  <c r="T28" i="60" s="1"/>
  <c r="L29" i="60"/>
  <c r="J29" i="60"/>
  <c r="T29" i="60" s="1"/>
  <c r="L30" i="60"/>
  <c r="J30" i="60"/>
  <c r="T30" i="60" s="1"/>
  <c r="L31" i="60"/>
  <c r="J31" i="60"/>
  <c r="T31" i="60" s="1"/>
  <c r="L32" i="60"/>
  <c r="J32" i="60"/>
  <c r="T32" i="60" s="1"/>
  <c r="F15" i="8"/>
  <c r="A1" i="62" s="1"/>
  <c r="M51" i="7"/>
  <c r="H121" i="62" l="1"/>
  <c r="B310" i="62" s="1"/>
  <c r="E167" i="62"/>
  <c r="E165" i="62"/>
  <c r="B308" i="62"/>
  <c r="B304" i="62"/>
  <c r="B302" i="62"/>
  <c r="B311" i="62"/>
  <c r="B307" i="62"/>
  <c r="B303" i="62"/>
  <c r="B301" i="62"/>
  <c r="K25" i="60"/>
  <c r="K29" i="60"/>
  <c r="K18" i="60"/>
  <c r="R18" i="60" s="1"/>
  <c r="K10" i="60"/>
  <c r="K9" i="60"/>
  <c r="R9" i="60" s="1"/>
  <c r="K8" i="60"/>
  <c r="R8" i="60" s="1"/>
  <c r="K7" i="60"/>
  <c r="R7" i="60" s="1"/>
  <c r="K32" i="60"/>
  <c r="R32" i="60" s="1"/>
  <c r="K31" i="60"/>
  <c r="R31" i="60" s="1"/>
  <c r="K17" i="60"/>
  <c r="R17" i="60" s="1"/>
  <c r="K15" i="60"/>
  <c r="R15" i="60" s="1"/>
  <c r="K14" i="60"/>
  <c r="R14" i="60" s="1"/>
  <c r="K30" i="60"/>
  <c r="R30" i="60" s="1"/>
  <c r="R29" i="60"/>
  <c r="K28" i="60"/>
  <c r="R28" i="60" s="1"/>
  <c r="K23" i="60"/>
  <c r="R23" i="60" s="1"/>
  <c r="K21" i="60"/>
  <c r="R21" i="60" s="1"/>
  <c r="R25" i="60"/>
  <c r="R11" i="60"/>
  <c r="R10" i="60"/>
  <c r="K16" i="60"/>
  <c r="R16" i="60" s="1"/>
  <c r="K24" i="60"/>
  <c r="R24" i="60" s="1"/>
  <c r="K22" i="60"/>
  <c r="R22" i="60" s="1"/>
  <c r="H7" i="59"/>
  <c r="B305" i="62" l="1"/>
  <c r="B309" i="62"/>
  <c r="B306" i="62"/>
  <c r="E166" i="62"/>
  <c r="H164" i="62" s="1"/>
  <c r="E171" i="62"/>
  <c r="M22" i="60"/>
  <c r="S22" i="60" s="1"/>
  <c r="M21" i="60"/>
  <c r="S21" i="60" s="1"/>
  <c r="M28" i="60"/>
  <c r="S28" i="60" s="1"/>
  <c r="M32" i="60"/>
  <c r="S32" i="60" s="1"/>
  <c r="M7" i="60"/>
  <c r="S7" i="60" s="1"/>
  <c r="M9" i="60"/>
  <c r="S9" i="60" s="1"/>
  <c r="M24" i="60"/>
  <c r="S24" i="60" s="1"/>
  <c r="M16" i="60"/>
  <c r="S16" i="60" s="1"/>
  <c r="M8" i="60"/>
  <c r="S8" i="60" s="1"/>
  <c r="M10" i="60"/>
  <c r="S10" i="60" s="1"/>
  <c r="M23" i="60"/>
  <c r="S23" i="60" s="1"/>
  <c r="M29" i="60"/>
  <c r="S29" i="60" s="1"/>
  <c r="M31" i="60"/>
  <c r="S31" i="60" s="1"/>
  <c r="M15" i="60"/>
  <c r="S15" i="60" s="1"/>
  <c r="M18" i="60"/>
  <c r="S18" i="60" s="1"/>
  <c r="M30" i="60"/>
  <c r="S30" i="60" s="1"/>
  <c r="M11" i="60"/>
  <c r="S11" i="60" s="1"/>
  <c r="M25" i="60"/>
  <c r="S25" i="60" s="1"/>
  <c r="M14" i="60"/>
  <c r="S14" i="60" s="1"/>
  <c r="M17" i="60"/>
  <c r="S17" i="60" s="1"/>
  <c r="AI1" i="16"/>
  <c r="C315" i="59"/>
  <c r="C314" i="59"/>
  <c r="C313" i="59"/>
  <c r="C312" i="59"/>
  <c r="C311" i="59"/>
  <c r="C310" i="59"/>
  <c r="C309" i="59"/>
  <c r="C308" i="59"/>
  <c r="C307" i="59"/>
  <c r="C306" i="59"/>
  <c r="C305" i="59"/>
  <c r="C304" i="59"/>
  <c r="C303" i="59"/>
  <c r="C302" i="59"/>
  <c r="C301" i="59"/>
  <c r="C300" i="59"/>
  <c r="P32" i="59"/>
  <c r="O32" i="59"/>
  <c r="N32" i="59"/>
  <c r="H32" i="59"/>
  <c r="Q32" i="59" s="1"/>
  <c r="P31" i="59"/>
  <c r="O31" i="59"/>
  <c r="N31" i="59"/>
  <c r="H31" i="59"/>
  <c r="Q31" i="59" s="1"/>
  <c r="P30" i="59"/>
  <c r="O30" i="59"/>
  <c r="N30" i="59"/>
  <c r="H30" i="59"/>
  <c r="Q30" i="59" s="1"/>
  <c r="P29" i="59"/>
  <c r="O29" i="59"/>
  <c r="N29" i="59"/>
  <c r="H29" i="59"/>
  <c r="Q29" i="59" s="1"/>
  <c r="P28" i="59"/>
  <c r="O28" i="59"/>
  <c r="N28" i="59"/>
  <c r="H28" i="59"/>
  <c r="Q28" i="59" s="1"/>
  <c r="R27" i="59"/>
  <c r="P25" i="59"/>
  <c r="O25" i="59"/>
  <c r="N25" i="59"/>
  <c r="H25" i="59"/>
  <c r="Q25" i="59" s="1"/>
  <c r="P24" i="59"/>
  <c r="O24" i="59"/>
  <c r="N24" i="59"/>
  <c r="H24" i="59"/>
  <c r="Q24" i="59" s="1"/>
  <c r="P23" i="59"/>
  <c r="O23" i="59"/>
  <c r="N23" i="59"/>
  <c r="H23" i="59"/>
  <c r="Q23" i="59" s="1"/>
  <c r="P22" i="59"/>
  <c r="O22" i="59"/>
  <c r="N22" i="59"/>
  <c r="H22" i="59"/>
  <c r="Q22" i="59" s="1"/>
  <c r="P21" i="59"/>
  <c r="O21" i="59"/>
  <c r="N21" i="59"/>
  <c r="H21" i="59"/>
  <c r="Q21" i="59" s="1"/>
  <c r="R20" i="59"/>
  <c r="P18" i="59"/>
  <c r="O18" i="59"/>
  <c r="N18" i="59"/>
  <c r="H18" i="59"/>
  <c r="Q18" i="59" s="1"/>
  <c r="P17" i="59"/>
  <c r="O17" i="59"/>
  <c r="N17" i="59"/>
  <c r="H17" i="59"/>
  <c r="Q17" i="59" s="1"/>
  <c r="P16" i="59"/>
  <c r="O16" i="59"/>
  <c r="N16" i="59"/>
  <c r="H16" i="59"/>
  <c r="Q16" i="59" s="1"/>
  <c r="P15" i="59"/>
  <c r="O15" i="59"/>
  <c r="N15" i="59"/>
  <c r="H15" i="59"/>
  <c r="Q15" i="59" s="1"/>
  <c r="P14" i="59"/>
  <c r="O14" i="59"/>
  <c r="N14" i="59"/>
  <c r="H14" i="59"/>
  <c r="Q14" i="59" s="1"/>
  <c r="R13" i="59"/>
  <c r="P11" i="59"/>
  <c r="O11" i="59"/>
  <c r="N11" i="59"/>
  <c r="H11" i="59"/>
  <c r="Q11" i="59" s="1"/>
  <c r="P10" i="59"/>
  <c r="O10" i="59"/>
  <c r="N10" i="59"/>
  <c r="H10" i="59"/>
  <c r="Q10" i="59" s="1"/>
  <c r="P9" i="59"/>
  <c r="O9" i="59"/>
  <c r="N9" i="59"/>
  <c r="H9" i="59"/>
  <c r="Q9" i="59" s="1"/>
  <c r="P8" i="59"/>
  <c r="O8" i="59"/>
  <c r="N8" i="59"/>
  <c r="H8" i="59"/>
  <c r="Q8" i="59" s="1"/>
  <c r="P7" i="59"/>
  <c r="O7" i="59"/>
  <c r="N7" i="59"/>
  <c r="Q7" i="59"/>
  <c r="R6" i="59"/>
  <c r="G171" i="62" l="1"/>
  <c r="G169" i="62"/>
  <c r="B313" i="62"/>
  <c r="B312" i="62"/>
  <c r="J7" i="59"/>
  <c r="T7" i="59" s="1"/>
  <c r="L7" i="59"/>
  <c r="J8" i="59"/>
  <c r="T8" i="59" s="1"/>
  <c r="L8" i="59"/>
  <c r="J9" i="59"/>
  <c r="T9" i="59" s="1"/>
  <c r="L9" i="59"/>
  <c r="J10" i="59"/>
  <c r="T10" i="59" s="1"/>
  <c r="L10" i="59"/>
  <c r="J11" i="59"/>
  <c r="L11" i="59"/>
  <c r="J21" i="59"/>
  <c r="J22" i="59"/>
  <c r="J23" i="59"/>
  <c r="J24" i="59"/>
  <c r="J25" i="59"/>
  <c r="T25" i="59" s="1"/>
  <c r="L14" i="59"/>
  <c r="J14" i="59"/>
  <c r="L15" i="59"/>
  <c r="J15" i="59"/>
  <c r="T15" i="59" s="1"/>
  <c r="L16" i="59"/>
  <c r="J16" i="59"/>
  <c r="L17" i="59"/>
  <c r="J17" i="59"/>
  <c r="T17" i="59" s="1"/>
  <c r="L18" i="59"/>
  <c r="J18" i="59"/>
  <c r="T18" i="59" s="1"/>
  <c r="L21" i="59"/>
  <c r="L22" i="59"/>
  <c r="L23" i="59"/>
  <c r="L24" i="59"/>
  <c r="L25" i="59"/>
  <c r="J28" i="59"/>
  <c r="T28" i="59" s="1"/>
  <c r="L28" i="59"/>
  <c r="J29" i="59"/>
  <c r="T29" i="59" s="1"/>
  <c r="L29" i="59"/>
  <c r="J30" i="59"/>
  <c r="T30" i="59" s="1"/>
  <c r="L30" i="59"/>
  <c r="J31" i="59"/>
  <c r="T31" i="59" s="1"/>
  <c r="L31" i="59"/>
  <c r="J32" i="59"/>
  <c r="T32" i="59" s="1"/>
  <c r="L32" i="59"/>
  <c r="L88" i="7"/>
  <c r="E17" i="8"/>
  <c r="F17" i="8"/>
  <c r="H173" i="62" l="1"/>
  <c r="H170" i="62"/>
  <c r="B314" i="62" s="1"/>
  <c r="B154" i="60"/>
  <c r="C167" i="60" s="1"/>
  <c r="B116" i="60"/>
  <c r="C115" i="60" s="1"/>
  <c r="E119" i="60" s="1"/>
  <c r="B152" i="60"/>
  <c r="C153" i="60" s="1"/>
  <c r="E151" i="60" s="1"/>
  <c r="H152" i="60" s="1"/>
  <c r="B150" i="60"/>
  <c r="C149" i="60" s="1"/>
  <c r="E157" i="60" s="1"/>
  <c r="H159" i="60" s="1"/>
  <c r="B148" i="60"/>
  <c r="C165" i="60" s="1"/>
  <c r="E171" i="60" s="1"/>
  <c r="B146" i="60"/>
  <c r="B144" i="60"/>
  <c r="B142" i="60"/>
  <c r="B114" i="60"/>
  <c r="C129" i="60" s="1"/>
  <c r="E128" i="60" s="1"/>
  <c r="H129" i="60" s="1"/>
  <c r="B112" i="60"/>
  <c r="C127" i="60" s="1"/>
  <c r="E133" i="60" s="1"/>
  <c r="H132" i="60" s="1"/>
  <c r="B110" i="60"/>
  <c r="C111" i="60" s="1"/>
  <c r="E113" i="60" s="1"/>
  <c r="H109" i="60" s="1"/>
  <c r="B108" i="60"/>
  <c r="C125" i="60" s="1"/>
  <c r="B106" i="60"/>
  <c r="C107" i="60" s="1"/>
  <c r="B104" i="60"/>
  <c r="C103" i="60" s="1"/>
  <c r="B102" i="60"/>
  <c r="C123" i="60" s="1"/>
  <c r="K32" i="59"/>
  <c r="R32" i="59" s="1"/>
  <c r="K30" i="59"/>
  <c r="R30" i="59" s="1"/>
  <c r="K28" i="59"/>
  <c r="R28" i="59" s="1"/>
  <c r="T16" i="59"/>
  <c r="T14" i="59"/>
  <c r="T24" i="59"/>
  <c r="T23" i="59"/>
  <c r="T22" i="59"/>
  <c r="T21" i="59"/>
  <c r="K25" i="59" s="1"/>
  <c r="R25" i="59" s="1"/>
  <c r="K31" i="59"/>
  <c r="R31" i="59" s="1"/>
  <c r="K29" i="59"/>
  <c r="R29" i="59" s="1"/>
  <c r="T11" i="59"/>
  <c r="K11" i="59" s="1"/>
  <c r="R11" i="59" s="1"/>
  <c r="E131" i="60" l="1"/>
  <c r="H135" i="60" s="1"/>
  <c r="E105" i="60"/>
  <c r="H114" i="60" s="1"/>
  <c r="C161" i="60"/>
  <c r="C145" i="60"/>
  <c r="E155" i="60" s="1"/>
  <c r="H156" i="60" s="1"/>
  <c r="E117" i="60"/>
  <c r="H121" i="60" s="1"/>
  <c r="C141" i="60"/>
  <c r="E143" i="60" s="1"/>
  <c r="H147" i="60" s="1"/>
  <c r="C163" i="60"/>
  <c r="E169" i="60" s="1"/>
  <c r="H170" i="60" s="1"/>
  <c r="E124" i="60"/>
  <c r="H126" i="60" s="1"/>
  <c r="H173" i="60"/>
  <c r="E166" i="60"/>
  <c r="K14" i="59"/>
  <c r="R14" i="59" s="1"/>
  <c r="B301" i="60"/>
  <c r="B300" i="60"/>
  <c r="K21" i="59"/>
  <c r="R21" i="59" s="1"/>
  <c r="K17" i="59"/>
  <c r="R17" i="59" s="1"/>
  <c r="M32" i="59"/>
  <c r="S32" i="59" s="1"/>
  <c r="M29" i="59"/>
  <c r="S29" i="59" s="1"/>
  <c r="K23" i="59"/>
  <c r="R23" i="59" s="1"/>
  <c r="K8" i="59"/>
  <c r="R8" i="59" s="1"/>
  <c r="K10" i="59"/>
  <c r="R10" i="59" s="1"/>
  <c r="K15" i="59"/>
  <c r="R15" i="59" s="1"/>
  <c r="K18" i="59"/>
  <c r="R18" i="59" s="1"/>
  <c r="M31" i="59"/>
  <c r="S31" i="59" s="1"/>
  <c r="K22" i="59"/>
  <c r="R22" i="59" s="1"/>
  <c r="K24" i="59"/>
  <c r="R24" i="59" s="1"/>
  <c r="K16" i="59"/>
  <c r="R16" i="59" s="1"/>
  <c r="K7" i="59"/>
  <c r="R7" i="59" s="1"/>
  <c r="K9" i="59"/>
  <c r="R9" i="59" s="1"/>
  <c r="M30" i="59"/>
  <c r="S30" i="59" s="1"/>
  <c r="M28" i="59"/>
  <c r="S28" i="59" s="1"/>
  <c r="E162" i="60" l="1"/>
  <c r="H167" i="60" s="1"/>
  <c r="H118" i="60"/>
  <c r="H164" i="60"/>
  <c r="M7" i="59"/>
  <c r="S7" i="59" s="1"/>
  <c r="M16" i="59"/>
  <c r="S16" i="59" s="1"/>
  <c r="M22" i="59"/>
  <c r="S22" i="59" s="1"/>
  <c r="M15" i="59"/>
  <c r="S15" i="59" s="1"/>
  <c r="M8" i="59"/>
  <c r="S8" i="59" s="1"/>
  <c r="M23" i="59"/>
  <c r="S23" i="59" s="1"/>
  <c r="M25" i="59"/>
  <c r="S25" i="59" s="1"/>
  <c r="M14" i="59"/>
  <c r="S14" i="59" s="1"/>
  <c r="M21" i="59"/>
  <c r="S21" i="59" s="1"/>
  <c r="M9" i="59"/>
  <c r="S9" i="59" s="1"/>
  <c r="M24" i="59"/>
  <c r="S24" i="59" s="1"/>
  <c r="M18" i="59"/>
  <c r="S18" i="59" s="1"/>
  <c r="M10" i="59"/>
  <c r="S10" i="59" s="1"/>
  <c r="M17" i="59"/>
  <c r="S17" i="59" s="1"/>
  <c r="M11" i="59"/>
  <c r="S11" i="59" s="1"/>
  <c r="L35" i="7"/>
  <c r="B311" i="60" l="1"/>
  <c r="B309" i="60"/>
  <c r="B307" i="60"/>
  <c r="B305" i="60"/>
  <c r="B303" i="60"/>
  <c r="B310" i="60"/>
  <c r="B308" i="60"/>
  <c r="B306" i="60"/>
  <c r="B304" i="60"/>
  <c r="B302" i="60"/>
  <c r="B314" i="60"/>
  <c r="B312" i="60"/>
  <c r="B315" i="60"/>
  <c r="B313" i="60"/>
  <c r="E33" i="8"/>
  <c r="F21" i="8"/>
  <c r="A1" i="67" s="1"/>
  <c r="F18" i="8"/>
  <c r="A1" i="63" s="1"/>
  <c r="B312" i="63" l="1"/>
  <c r="B301" i="63"/>
  <c r="B303" i="63"/>
  <c r="B306" i="63"/>
  <c r="B308" i="63"/>
  <c r="B310" i="63"/>
  <c r="B300" i="63"/>
  <c r="B302" i="63"/>
  <c r="B305" i="63"/>
  <c r="B307" i="63"/>
  <c r="B309" i="63"/>
  <c r="B311" i="63"/>
  <c r="AE7" i="16"/>
  <c r="B150" i="59"/>
  <c r="B146" i="59"/>
  <c r="B142" i="59"/>
  <c r="B116" i="59"/>
  <c r="B114" i="59"/>
  <c r="B112" i="59"/>
  <c r="B110" i="59"/>
  <c r="B106" i="59"/>
  <c r="B102" i="59"/>
  <c r="B154" i="59"/>
  <c r="B152" i="59"/>
  <c r="B144" i="59"/>
  <c r="B140" i="59"/>
  <c r="B108" i="59"/>
  <c r="B104" i="59"/>
  <c r="C154" i="58"/>
  <c r="V50" i="16"/>
  <c r="C314" i="58"/>
  <c r="C313" i="58"/>
  <c r="C312" i="58"/>
  <c r="C311" i="58"/>
  <c r="C310" i="58"/>
  <c r="C309" i="58"/>
  <c r="C308" i="58"/>
  <c r="C307" i="58"/>
  <c r="C306" i="58"/>
  <c r="C305" i="58"/>
  <c r="C304" i="58"/>
  <c r="C303" i="58"/>
  <c r="C302" i="58"/>
  <c r="C301" i="58"/>
  <c r="C300" i="58"/>
  <c r="P32" i="58"/>
  <c r="O32" i="58"/>
  <c r="N32" i="58"/>
  <c r="H32" i="58"/>
  <c r="Q32" i="58" s="1"/>
  <c r="P31" i="58"/>
  <c r="O31" i="58"/>
  <c r="N31" i="58"/>
  <c r="H31" i="58"/>
  <c r="Q31" i="58" s="1"/>
  <c r="P30" i="58"/>
  <c r="O30" i="58"/>
  <c r="N30" i="58"/>
  <c r="H30" i="58"/>
  <c r="Q30" i="58" s="1"/>
  <c r="P29" i="58"/>
  <c r="O29" i="58"/>
  <c r="N29" i="58"/>
  <c r="H29" i="58"/>
  <c r="Q29" i="58" s="1"/>
  <c r="P28" i="58"/>
  <c r="O28" i="58"/>
  <c r="N28" i="58"/>
  <c r="H28" i="58"/>
  <c r="Q28" i="58" s="1"/>
  <c r="R27" i="58"/>
  <c r="P25" i="58"/>
  <c r="O25" i="58"/>
  <c r="N25" i="58"/>
  <c r="H25" i="58"/>
  <c r="Q25" i="58" s="1"/>
  <c r="P24" i="58"/>
  <c r="O24" i="58"/>
  <c r="N24" i="58"/>
  <c r="H24" i="58"/>
  <c r="Q24" i="58" s="1"/>
  <c r="P23" i="58"/>
  <c r="O23" i="58"/>
  <c r="N23" i="58"/>
  <c r="H23" i="58"/>
  <c r="Q23" i="58" s="1"/>
  <c r="P22" i="58"/>
  <c r="O22" i="58"/>
  <c r="N22" i="58"/>
  <c r="H22" i="58"/>
  <c r="Q22" i="58" s="1"/>
  <c r="P21" i="58"/>
  <c r="O21" i="58"/>
  <c r="N21" i="58"/>
  <c r="H21" i="58"/>
  <c r="Q21" i="58" s="1"/>
  <c r="R20" i="58"/>
  <c r="Q18" i="58"/>
  <c r="P18" i="58"/>
  <c r="O18" i="58"/>
  <c r="N18" i="58"/>
  <c r="H18" i="58"/>
  <c r="P17" i="58"/>
  <c r="O17" i="58"/>
  <c r="N17" i="58"/>
  <c r="H17" i="58"/>
  <c r="Q17" i="58" s="1"/>
  <c r="P16" i="58"/>
  <c r="O16" i="58"/>
  <c r="N16" i="58"/>
  <c r="H16" i="58"/>
  <c r="Q16" i="58" s="1"/>
  <c r="P15" i="58"/>
  <c r="O15" i="58"/>
  <c r="N15" i="58"/>
  <c r="H15" i="58"/>
  <c r="Q15" i="58" s="1"/>
  <c r="P14" i="58"/>
  <c r="O14" i="58"/>
  <c r="N14" i="58"/>
  <c r="H14" i="58"/>
  <c r="Q14" i="58" s="1"/>
  <c r="R13" i="58"/>
  <c r="P11" i="58"/>
  <c r="O11" i="58"/>
  <c r="N11" i="58"/>
  <c r="H11" i="58"/>
  <c r="Q11" i="58" s="1"/>
  <c r="P10" i="58"/>
  <c r="O10" i="58"/>
  <c r="N10" i="58"/>
  <c r="H10" i="58"/>
  <c r="Q10" i="58" s="1"/>
  <c r="P9" i="58"/>
  <c r="O9" i="58"/>
  <c r="N9" i="58"/>
  <c r="H9" i="58"/>
  <c r="Q9" i="58" s="1"/>
  <c r="P8" i="58"/>
  <c r="O8" i="58"/>
  <c r="N8" i="58"/>
  <c r="H8" i="58"/>
  <c r="Q8" i="58" s="1"/>
  <c r="P7" i="58"/>
  <c r="O7" i="58"/>
  <c r="N7" i="58"/>
  <c r="H7" i="58"/>
  <c r="Q7" i="58" s="1"/>
  <c r="R6" i="58"/>
  <c r="M48" i="7"/>
  <c r="K42" i="7"/>
  <c r="AF8" i="16" l="1"/>
  <c r="AF10" i="16"/>
  <c r="AF13" i="16"/>
  <c r="AF15" i="16"/>
  <c r="AF14" i="16"/>
  <c r="AF19" i="16"/>
  <c r="AF22" i="16"/>
  <c r="AF27" i="16"/>
  <c r="AF20" i="16"/>
  <c r="AF30" i="16"/>
  <c r="AF26" i="16"/>
  <c r="AF28" i="16"/>
  <c r="AF33" i="16"/>
  <c r="AF36" i="16"/>
  <c r="AF9" i="16"/>
  <c r="AF12" i="16"/>
  <c r="AF11" i="16"/>
  <c r="AF16" i="16"/>
  <c r="AF18" i="16"/>
  <c r="AF17" i="16"/>
  <c r="AF24" i="16"/>
  <c r="AF23" i="16"/>
  <c r="AF21" i="16"/>
  <c r="AF25" i="16"/>
  <c r="AF29" i="16"/>
  <c r="AF31" i="16"/>
  <c r="AF34" i="16"/>
  <c r="AF32" i="16"/>
  <c r="AF42" i="16"/>
  <c r="AF44" i="16"/>
  <c r="AF37" i="16"/>
  <c r="AF46" i="16"/>
  <c r="AF40" i="16"/>
  <c r="AF48" i="16"/>
  <c r="AF50" i="16"/>
  <c r="AF52" i="16"/>
  <c r="AF54" i="16"/>
  <c r="AF56" i="16"/>
  <c r="AF58" i="16"/>
  <c r="AF60" i="16"/>
  <c r="AF62" i="16"/>
  <c r="AF64" i="16"/>
  <c r="AF35" i="16"/>
  <c r="AF41" i="16"/>
  <c r="AF43" i="16"/>
  <c r="AF38" i="16"/>
  <c r="AF45" i="16"/>
  <c r="AF39" i="16"/>
  <c r="AF47" i="16"/>
  <c r="AF49" i="16"/>
  <c r="AF51" i="16"/>
  <c r="AF53" i="16"/>
  <c r="AF55" i="16"/>
  <c r="AF57" i="16"/>
  <c r="AF59" i="16"/>
  <c r="AF61" i="16"/>
  <c r="AF63" i="16"/>
  <c r="AF66" i="16"/>
  <c r="AF68" i="16"/>
  <c r="AF70" i="16"/>
  <c r="AF72" i="16"/>
  <c r="AF65" i="16"/>
  <c r="AF67" i="16"/>
  <c r="AF69" i="16"/>
  <c r="AF71" i="16"/>
  <c r="AF73" i="16"/>
  <c r="I18" i="58"/>
  <c r="I16" i="58"/>
  <c r="I14" i="58"/>
  <c r="I10" i="58"/>
  <c r="I17" i="58"/>
  <c r="I15" i="58"/>
  <c r="I11" i="58"/>
  <c r="AF7" i="16"/>
  <c r="C127" i="59"/>
  <c r="C111" i="59"/>
  <c r="C141" i="59"/>
  <c r="C149" i="59"/>
  <c r="C167" i="58"/>
  <c r="E167" i="58" s="1"/>
  <c r="L10" i="58"/>
  <c r="L16" i="58"/>
  <c r="J16" i="58"/>
  <c r="L17" i="58"/>
  <c r="J17" i="58"/>
  <c r="T17" i="58" s="1"/>
  <c r="L18" i="58"/>
  <c r="J18" i="58"/>
  <c r="T18" i="58" s="1"/>
  <c r="L21" i="58"/>
  <c r="L22" i="58"/>
  <c r="L23" i="58"/>
  <c r="L24" i="58"/>
  <c r="L25" i="58"/>
  <c r="J25" i="58"/>
  <c r="T25" i="58" s="1"/>
  <c r="L11" i="58"/>
  <c r="L14" i="58"/>
  <c r="J14" i="58"/>
  <c r="L15" i="58"/>
  <c r="J15" i="58"/>
  <c r="T15" i="58" s="1"/>
  <c r="J7" i="58"/>
  <c r="T7" i="58" s="1"/>
  <c r="L7" i="58"/>
  <c r="J8" i="58"/>
  <c r="T8" i="58" s="1"/>
  <c r="L8" i="58"/>
  <c r="J9" i="58"/>
  <c r="L9" i="58"/>
  <c r="J10" i="58"/>
  <c r="T10" i="58" s="1"/>
  <c r="J11" i="58"/>
  <c r="T11" i="58" s="1"/>
  <c r="J21" i="58"/>
  <c r="T21" i="58" s="1"/>
  <c r="J22" i="58"/>
  <c r="T22" i="58" s="1"/>
  <c r="J23" i="58"/>
  <c r="T23" i="58" s="1"/>
  <c r="J24" i="58"/>
  <c r="T24" i="58" s="1"/>
  <c r="J28" i="58"/>
  <c r="T28" i="58" s="1"/>
  <c r="L28" i="58"/>
  <c r="J29" i="58"/>
  <c r="T29" i="58" s="1"/>
  <c r="L29" i="58"/>
  <c r="J30" i="58"/>
  <c r="T30" i="58" s="1"/>
  <c r="L30" i="58"/>
  <c r="J31" i="58"/>
  <c r="T31" i="58" s="1"/>
  <c r="L31" i="58"/>
  <c r="J32" i="58"/>
  <c r="T32" i="58" s="1"/>
  <c r="L32" i="58"/>
  <c r="C115" i="59" l="1"/>
  <c r="C153" i="59"/>
  <c r="C167" i="59"/>
  <c r="C129" i="59"/>
  <c r="C145" i="59"/>
  <c r="C163" i="59"/>
  <c r="C125" i="59"/>
  <c r="C107" i="59"/>
  <c r="C165" i="59"/>
  <c r="C161" i="59"/>
  <c r="C103" i="59"/>
  <c r="C123" i="59"/>
  <c r="K32" i="58"/>
  <c r="R32" i="58" s="1"/>
  <c r="K23" i="58"/>
  <c r="K31" i="58"/>
  <c r="R31" i="58" s="1"/>
  <c r="K30" i="58"/>
  <c r="R30" i="58" s="1"/>
  <c r="K29" i="58"/>
  <c r="R29" i="58" s="1"/>
  <c r="K24" i="58"/>
  <c r="K22" i="58"/>
  <c r="K21" i="58"/>
  <c r="T14" i="58"/>
  <c r="R24" i="58"/>
  <c r="R23" i="58"/>
  <c r="R22" i="58"/>
  <c r="R21" i="58"/>
  <c r="T16" i="58"/>
  <c r="K16" i="58" s="1"/>
  <c r="R16" i="58" s="1"/>
  <c r="K28" i="58"/>
  <c r="R28" i="58" s="1"/>
  <c r="K15" i="58"/>
  <c r="R15" i="58" s="1"/>
  <c r="K25" i="58"/>
  <c r="R25" i="58" s="1"/>
  <c r="T9" i="58"/>
  <c r="K9" i="58" s="1"/>
  <c r="R9" i="58" s="1"/>
  <c r="F28" i="8"/>
  <c r="A1" i="74" s="1"/>
  <c r="I88" i="7"/>
  <c r="E151" i="59" l="1"/>
  <c r="E113" i="59"/>
  <c r="E166" i="59"/>
  <c r="E119" i="59"/>
  <c r="E131" i="59"/>
  <c r="E133" i="59"/>
  <c r="E128" i="59"/>
  <c r="E157" i="59"/>
  <c r="E124" i="59"/>
  <c r="E117" i="59"/>
  <c r="E169" i="59"/>
  <c r="M32" i="58"/>
  <c r="S32" i="58" s="1"/>
  <c r="M25" i="58"/>
  <c r="S25" i="58" s="1"/>
  <c r="M22" i="58"/>
  <c r="S22" i="58" s="1"/>
  <c r="M24" i="58"/>
  <c r="S24" i="58" s="1"/>
  <c r="K14" i="58"/>
  <c r="R14" i="58" s="1"/>
  <c r="K8" i="58"/>
  <c r="R8" i="58" s="1"/>
  <c r="K18" i="58"/>
  <c r="R18" i="58" s="1"/>
  <c r="K11" i="58"/>
  <c r="R11" i="58" s="1"/>
  <c r="M30" i="58"/>
  <c r="S30" i="58" s="1"/>
  <c r="M28" i="58"/>
  <c r="S28" i="58" s="1"/>
  <c r="M21" i="58"/>
  <c r="S21" i="58" s="1"/>
  <c r="M23" i="58"/>
  <c r="S23" i="58" s="1"/>
  <c r="K7" i="58"/>
  <c r="R7" i="58" s="1"/>
  <c r="K10" i="58"/>
  <c r="R10" i="58" s="1"/>
  <c r="K17" i="58"/>
  <c r="R17" i="58" s="1"/>
  <c r="M29" i="58"/>
  <c r="S29" i="58" s="1"/>
  <c r="M31" i="58"/>
  <c r="S31" i="58" s="1"/>
  <c r="K88" i="7"/>
  <c r="E171" i="59" l="1"/>
  <c r="E162" i="59"/>
  <c r="E143" i="59"/>
  <c r="E155" i="59"/>
  <c r="H132" i="59"/>
  <c r="E105" i="59"/>
  <c r="M9" i="58"/>
  <c r="S9" i="58" s="1"/>
  <c r="M10" i="58"/>
  <c r="S10" i="58" s="1"/>
  <c r="M11" i="58"/>
  <c r="S11" i="58" s="1"/>
  <c r="M14" i="58"/>
  <c r="S14" i="58" s="1"/>
  <c r="M15" i="58"/>
  <c r="S15" i="58" s="1"/>
  <c r="M16" i="58"/>
  <c r="S16" i="58" s="1"/>
  <c r="M17" i="58"/>
  <c r="S17" i="58" s="1"/>
  <c r="M7" i="58"/>
  <c r="S7" i="58" s="1"/>
  <c r="M18" i="58"/>
  <c r="S18" i="58" s="1"/>
  <c r="M8" i="58"/>
  <c r="S8" i="58" s="1"/>
  <c r="C35" i="7"/>
  <c r="C34" i="7"/>
  <c r="I8" i="58" l="1"/>
  <c r="I9" i="58"/>
  <c r="I7" i="58"/>
  <c r="H173" i="59"/>
  <c r="H126" i="59"/>
  <c r="H118" i="59"/>
  <c r="H164" i="59"/>
  <c r="H129" i="59"/>
  <c r="H156" i="59"/>
  <c r="H135" i="59"/>
  <c r="H167" i="59"/>
  <c r="H121" i="59"/>
  <c r="H159" i="59"/>
  <c r="H170" i="59"/>
  <c r="V19" i="57"/>
  <c r="N19" i="57"/>
  <c r="J19" i="57"/>
  <c r="F19" i="57"/>
  <c r="V18" i="57"/>
  <c r="R18" i="57"/>
  <c r="N18" i="57"/>
  <c r="J18" i="57"/>
  <c r="F18" i="57"/>
  <c r="R17" i="57"/>
  <c r="N17" i="57"/>
  <c r="J17" i="57"/>
  <c r="F17" i="57"/>
  <c r="V16" i="57"/>
  <c r="R16" i="57"/>
  <c r="N16" i="57"/>
  <c r="F16" i="57"/>
  <c r="V15" i="57"/>
  <c r="R15" i="57"/>
  <c r="N15" i="57"/>
  <c r="J15" i="57"/>
  <c r="F15" i="57"/>
  <c r="V14" i="57"/>
  <c r="R14" i="57"/>
  <c r="J14" i="57"/>
  <c r="F14" i="57"/>
  <c r="V13" i="57"/>
  <c r="R13" i="57"/>
  <c r="N13" i="57"/>
  <c r="J13" i="57"/>
  <c r="V11" i="57"/>
  <c r="V12" i="57"/>
  <c r="R12" i="57"/>
  <c r="N12" i="57"/>
  <c r="J12" i="57"/>
  <c r="F12" i="57"/>
  <c r="R11" i="57"/>
  <c r="N11" i="57"/>
  <c r="J11" i="57"/>
  <c r="F11" i="57"/>
  <c r="V10" i="57"/>
  <c r="R10" i="57"/>
  <c r="N10" i="57"/>
  <c r="J10" i="57"/>
  <c r="F10" i="57"/>
  <c r="V9" i="57"/>
  <c r="R9" i="57"/>
  <c r="N9" i="57"/>
  <c r="J9" i="57"/>
  <c r="F9" i="57"/>
  <c r="V8" i="57"/>
  <c r="R8" i="57"/>
  <c r="N8" i="57"/>
  <c r="J8" i="57"/>
  <c r="F8" i="57"/>
  <c r="V7" i="57"/>
  <c r="R7" i="57"/>
  <c r="N7" i="57"/>
  <c r="J7" i="57"/>
  <c r="F7" i="57"/>
  <c r="W19" i="57"/>
  <c r="W18" i="57"/>
  <c r="W17" i="57"/>
  <c r="W16" i="57"/>
  <c r="W15" i="57"/>
  <c r="W14" i="57"/>
  <c r="W13" i="57"/>
  <c r="W12" i="57"/>
  <c r="W11" i="57"/>
  <c r="W10" i="57"/>
  <c r="W9" i="57"/>
  <c r="W8" i="57"/>
  <c r="W7" i="57"/>
  <c r="C301" i="57"/>
  <c r="C302" i="57"/>
  <c r="C303" i="57"/>
  <c r="C304" i="57"/>
  <c r="C305" i="57"/>
  <c r="C306" i="57"/>
  <c r="C307" i="57"/>
  <c r="C308" i="57"/>
  <c r="C309" i="57"/>
  <c r="C310" i="57"/>
  <c r="C311" i="57"/>
  <c r="C312" i="57"/>
  <c r="C300" i="57"/>
  <c r="H114" i="59" l="1"/>
  <c r="H109" i="59"/>
  <c r="H152" i="59"/>
  <c r="H147" i="59"/>
  <c r="B150" i="58"/>
  <c r="C149" i="58" s="1"/>
  <c r="E157" i="58" s="1"/>
  <c r="B148" i="58"/>
  <c r="C165" i="58" s="1"/>
  <c r="E165" i="58" s="1"/>
  <c r="B144" i="58"/>
  <c r="C145" i="58" s="1"/>
  <c r="B140" i="58"/>
  <c r="C141" i="58" s="1"/>
  <c r="B116" i="58"/>
  <c r="C129" i="58" s="1"/>
  <c r="E133" i="58" s="1"/>
  <c r="B114" i="58"/>
  <c r="C115" i="58" s="1"/>
  <c r="E113" i="58" s="1"/>
  <c r="B108" i="58"/>
  <c r="C125" i="58" s="1"/>
  <c r="E124" i="58" s="1"/>
  <c r="B104" i="58"/>
  <c r="C103" i="58" s="1"/>
  <c r="B152" i="58"/>
  <c r="C153" i="58" s="1"/>
  <c r="E151" i="58" s="1"/>
  <c r="B146" i="58"/>
  <c r="C163" i="58" s="1"/>
  <c r="B142" i="58"/>
  <c r="B112" i="58"/>
  <c r="C111" i="58" s="1"/>
  <c r="E119" i="58" s="1"/>
  <c r="B110" i="58"/>
  <c r="C127" i="58" s="1"/>
  <c r="E128" i="58" s="1"/>
  <c r="B106" i="58"/>
  <c r="C107" i="58" s="1"/>
  <c r="B102" i="58"/>
  <c r="V63" i="16"/>
  <c r="V46" i="16"/>
  <c r="E171" i="58" l="1"/>
  <c r="E166" i="58"/>
  <c r="B315" i="59"/>
  <c r="B313" i="59"/>
  <c r="B311" i="59"/>
  <c r="B309" i="59"/>
  <c r="B307" i="59"/>
  <c r="B305" i="59"/>
  <c r="B303" i="59"/>
  <c r="B301" i="59"/>
  <c r="B312" i="59"/>
  <c r="B310" i="59"/>
  <c r="B308" i="59"/>
  <c r="B306" i="59"/>
  <c r="B304" i="59"/>
  <c r="B302" i="59"/>
  <c r="B300" i="59"/>
  <c r="B314" i="59"/>
  <c r="Y19" i="57"/>
  <c r="AA19" i="57"/>
  <c r="AA18" i="57"/>
  <c r="Y18" i="57"/>
  <c r="AB18" i="57" s="1"/>
  <c r="AA17" i="57"/>
  <c r="Y17" i="57"/>
  <c r="AA16" i="57"/>
  <c r="Y16" i="57"/>
  <c r="AA15" i="57"/>
  <c r="Y15" i="57"/>
  <c r="AA14" i="57"/>
  <c r="Y14" i="57"/>
  <c r="AA13" i="57"/>
  <c r="Y13" i="57"/>
  <c r="AA12" i="57"/>
  <c r="Y12" i="57"/>
  <c r="AA11" i="57"/>
  <c r="Y11" i="57"/>
  <c r="AA10" i="57"/>
  <c r="Y10" i="57"/>
  <c r="AA9" i="57"/>
  <c r="Y9" i="57"/>
  <c r="AA8" i="57"/>
  <c r="Y8" i="57"/>
  <c r="AA7" i="57"/>
  <c r="Y7" i="57"/>
  <c r="AD7" i="16" l="1"/>
  <c r="C123" i="58"/>
  <c r="C161" i="58"/>
  <c r="AB19" i="57"/>
  <c r="AB17" i="57"/>
  <c r="AB16" i="57"/>
  <c r="AB15" i="57"/>
  <c r="AB14" i="57"/>
  <c r="AB13" i="57"/>
  <c r="AB12" i="57"/>
  <c r="AB11" i="57"/>
  <c r="AB10" i="57"/>
  <c r="AB9" i="57"/>
  <c r="AB8" i="57"/>
  <c r="AB7" i="57"/>
  <c r="N27" i="7"/>
  <c r="E162" i="58" l="1"/>
  <c r="N113" i="7"/>
  <c r="M85" i="7"/>
  <c r="K85" i="7"/>
  <c r="E131" i="58" l="1"/>
  <c r="E105" i="58"/>
  <c r="E117" i="58"/>
  <c r="E155" i="58"/>
  <c r="E143" i="58"/>
  <c r="E169" i="58"/>
  <c r="K91" i="7"/>
  <c r="K60" i="7"/>
  <c r="G171" i="58" l="1"/>
  <c r="G169" i="58"/>
  <c r="AR7" i="16"/>
  <c r="H135" i="58" l="1"/>
  <c r="H132" i="58"/>
  <c r="H170" i="58"/>
  <c r="H173" i="58"/>
  <c r="H114" i="58"/>
  <c r="H109" i="58"/>
  <c r="H129" i="58"/>
  <c r="H126" i="58"/>
  <c r="H121" i="58"/>
  <c r="H118" i="58"/>
  <c r="H147" i="58"/>
  <c r="H152" i="58"/>
  <c r="H164" i="58"/>
  <c r="H167" i="58"/>
  <c r="H156" i="58"/>
  <c r="H159" i="58"/>
  <c r="M40" i="7"/>
  <c r="M21" i="7"/>
  <c r="K21" i="7"/>
  <c r="M99" i="7"/>
  <c r="K99" i="7"/>
  <c r="M101" i="7"/>
  <c r="K101" i="7"/>
  <c r="M73" i="7"/>
  <c r="K73" i="7"/>
  <c r="B312" i="58" l="1"/>
  <c r="B310" i="58"/>
  <c r="B308" i="58"/>
  <c r="B306" i="58"/>
  <c r="B304" i="58"/>
  <c r="B302" i="58"/>
  <c r="B300" i="58"/>
  <c r="B314" i="58"/>
  <c r="B313" i="58"/>
  <c r="B311" i="58"/>
  <c r="B309" i="58"/>
  <c r="B307" i="58"/>
  <c r="B305" i="58"/>
  <c r="B303" i="58"/>
  <c r="B301" i="58"/>
  <c r="AC7" i="16" l="1"/>
  <c r="V67" i="16"/>
  <c r="V62" i="16"/>
  <c r="V71" i="16"/>
  <c r="V72" i="16"/>
  <c r="V58" i="16"/>
  <c r="C208" i="55"/>
  <c r="E208" i="55" s="1"/>
  <c r="C198" i="55"/>
  <c r="E198" i="55" l="1"/>
  <c r="C300" i="55" l="1"/>
  <c r="P46" i="55"/>
  <c r="O46" i="55"/>
  <c r="N46" i="55"/>
  <c r="H46" i="55"/>
  <c r="Q46" i="55" s="1"/>
  <c r="P45" i="55"/>
  <c r="O45" i="55"/>
  <c r="N45" i="55"/>
  <c r="H45" i="55"/>
  <c r="Q45" i="55" s="1"/>
  <c r="P44" i="55"/>
  <c r="O44" i="55"/>
  <c r="N44" i="55"/>
  <c r="H44" i="55"/>
  <c r="Q44" i="55" s="1"/>
  <c r="P43" i="55"/>
  <c r="O43" i="55"/>
  <c r="N43" i="55"/>
  <c r="H43" i="55"/>
  <c r="Q43" i="55" s="1"/>
  <c r="P42" i="55"/>
  <c r="O42" i="55"/>
  <c r="N42" i="55"/>
  <c r="H42" i="55"/>
  <c r="Q42" i="55" s="1"/>
  <c r="R41" i="55"/>
  <c r="P39" i="55"/>
  <c r="O39" i="55"/>
  <c r="N39" i="55"/>
  <c r="H39" i="55"/>
  <c r="Q39" i="55" s="1"/>
  <c r="P38" i="55"/>
  <c r="O38" i="55"/>
  <c r="N38" i="55"/>
  <c r="H38" i="55"/>
  <c r="Q38" i="55" s="1"/>
  <c r="P37" i="55"/>
  <c r="O37" i="55"/>
  <c r="N37" i="55"/>
  <c r="H37" i="55"/>
  <c r="Q37" i="55" s="1"/>
  <c r="P36" i="55"/>
  <c r="O36" i="55"/>
  <c r="N36" i="55"/>
  <c r="H36" i="55"/>
  <c r="Q36" i="55" s="1"/>
  <c r="P35" i="55"/>
  <c r="O35" i="55"/>
  <c r="N35" i="55"/>
  <c r="H35" i="55"/>
  <c r="Q35" i="55" s="1"/>
  <c r="R34" i="55"/>
  <c r="P32" i="55"/>
  <c r="O32" i="55"/>
  <c r="N32" i="55"/>
  <c r="H32" i="55"/>
  <c r="Q32" i="55" s="1"/>
  <c r="P31" i="55"/>
  <c r="O31" i="55"/>
  <c r="N31" i="55"/>
  <c r="H31" i="55"/>
  <c r="Q31" i="55" s="1"/>
  <c r="P30" i="55"/>
  <c r="O30" i="55"/>
  <c r="N30" i="55"/>
  <c r="H30" i="55"/>
  <c r="Q30" i="55" s="1"/>
  <c r="P29" i="55"/>
  <c r="O29" i="55"/>
  <c r="N29" i="55"/>
  <c r="H29" i="55"/>
  <c r="Q29" i="55" s="1"/>
  <c r="P28" i="55"/>
  <c r="O28" i="55"/>
  <c r="N28" i="55"/>
  <c r="H28" i="55"/>
  <c r="Q28" i="55" s="1"/>
  <c r="R27" i="55"/>
  <c r="P25" i="55"/>
  <c r="O25" i="55"/>
  <c r="N25" i="55"/>
  <c r="H25" i="55"/>
  <c r="Q25" i="55" s="1"/>
  <c r="P24" i="55"/>
  <c r="O24" i="55"/>
  <c r="N24" i="55"/>
  <c r="H24" i="55"/>
  <c r="Q24" i="55" s="1"/>
  <c r="P23" i="55"/>
  <c r="O23" i="55"/>
  <c r="N23" i="55"/>
  <c r="H23" i="55"/>
  <c r="Q23" i="55" s="1"/>
  <c r="P22" i="55"/>
  <c r="O22" i="55"/>
  <c r="N22" i="55"/>
  <c r="H22" i="55"/>
  <c r="Q22" i="55" s="1"/>
  <c r="P21" i="55"/>
  <c r="O21" i="55"/>
  <c r="N21" i="55"/>
  <c r="H21" i="55"/>
  <c r="Q21" i="55" s="1"/>
  <c r="R20" i="55"/>
  <c r="P18" i="55"/>
  <c r="O18" i="55"/>
  <c r="N18" i="55"/>
  <c r="H18" i="55"/>
  <c r="Q18" i="55" s="1"/>
  <c r="P17" i="55"/>
  <c r="O17" i="55"/>
  <c r="N17" i="55"/>
  <c r="H17" i="55"/>
  <c r="Q17" i="55" s="1"/>
  <c r="P16" i="55"/>
  <c r="O16" i="55"/>
  <c r="N16" i="55"/>
  <c r="H16" i="55"/>
  <c r="Q16" i="55" s="1"/>
  <c r="P15" i="55"/>
  <c r="O15" i="55"/>
  <c r="N15" i="55"/>
  <c r="H15" i="55"/>
  <c r="Q15" i="55" s="1"/>
  <c r="P14" i="55"/>
  <c r="O14" i="55"/>
  <c r="N14" i="55"/>
  <c r="H14" i="55"/>
  <c r="Q14" i="55" s="1"/>
  <c r="R13" i="55"/>
  <c r="P11" i="55"/>
  <c r="O11" i="55"/>
  <c r="N11" i="55"/>
  <c r="H11" i="55"/>
  <c r="Q11" i="55" s="1"/>
  <c r="P10" i="55"/>
  <c r="O10" i="55"/>
  <c r="N10" i="55"/>
  <c r="H10" i="55"/>
  <c r="Q10" i="55" s="1"/>
  <c r="P9" i="55"/>
  <c r="O9" i="55"/>
  <c r="N9" i="55"/>
  <c r="H9" i="55"/>
  <c r="Q9" i="55" s="1"/>
  <c r="P8" i="55"/>
  <c r="O8" i="55"/>
  <c r="N8" i="55"/>
  <c r="H8" i="55"/>
  <c r="Q8" i="55" s="1"/>
  <c r="P7" i="55"/>
  <c r="O7" i="55"/>
  <c r="N7" i="55"/>
  <c r="H7" i="55"/>
  <c r="Q7" i="55" s="1"/>
  <c r="R6" i="55"/>
  <c r="I32" i="55" l="1"/>
  <c r="I31" i="55"/>
  <c r="I46" i="55"/>
  <c r="I45" i="55"/>
  <c r="I18" i="55"/>
  <c r="I10" i="55"/>
  <c r="I17" i="55"/>
  <c r="I11" i="55"/>
  <c r="I24" i="55"/>
  <c r="I25" i="55"/>
  <c r="I38" i="55"/>
  <c r="I39" i="55"/>
  <c r="L14" i="55"/>
  <c r="J14" i="55"/>
  <c r="L15" i="55"/>
  <c r="J15" i="55"/>
  <c r="L16" i="55"/>
  <c r="J16" i="55"/>
  <c r="L17" i="55"/>
  <c r="J17" i="55"/>
  <c r="L18" i="55"/>
  <c r="J18" i="55"/>
  <c r="J7" i="55"/>
  <c r="T7" i="55" s="1"/>
  <c r="L7" i="55"/>
  <c r="J8" i="55"/>
  <c r="T8" i="55" s="1"/>
  <c r="L8" i="55"/>
  <c r="J9" i="55"/>
  <c r="T9" i="55" s="1"/>
  <c r="L9" i="55"/>
  <c r="J10" i="55"/>
  <c r="T10" i="55" s="1"/>
  <c r="L10" i="55"/>
  <c r="J11" i="55"/>
  <c r="T11" i="55" s="1"/>
  <c r="K11" i="55" s="1"/>
  <c r="L11" i="55"/>
  <c r="J21" i="55"/>
  <c r="T21" i="55" s="1"/>
  <c r="L21" i="55"/>
  <c r="J22" i="55"/>
  <c r="T22" i="55" s="1"/>
  <c r="L22" i="55"/>
  <c r="J23" i="55"/>
  <c r="T23" i="55" s="1"/>
  <c r="L23" i="55"/>
  <c r="J24" i="55"/>
  <c r="T24" i="55" s="1"/>
  <c r="L24" i="55"/>
  <c r="J25" i="55"/>
  <c r="T25" i="55" s="1"/>
  <c r="L25" i="55"/>
  <c r="L35" i="55"/>
  <c r="J35" i="55"/>
  <c r="L37" i="55"/>
  <c r="J37" i="55"/>
  <c r="L42" i="55"/>
  <c r="J42" i="55"/>
  <c r="T42" i="55" s="1"/>
  <c r="L44" i="55"/>
  <c r="J44" i="55"/>
  <c r="T44" i="55" s="1"/>
  <c r="L28" i="55"/>
  <c r="J28" i="55"/>
  <c r="L29" i="55"/>
  <c r="J29" i="55"/>
  <c r="L30" i="55"/>
  <c r="J30" i="55"/>
  <c r="L31" i="55"/>
  <c r="J31" i="55"/>
  <c r="L32" i="55"/>
  <c r="J32" i="55"/>
  <c r="L39" i="55"/>
  <c r="J39" i="55"/>
  <c r="T39" i="55" s="1"/>
  <c r="L46" i="55"/>
  <c r="J46" i="55"/>
  <c r="J36" i="55"/>
  <c r="T36" i="55" s="1"/>
  <c r="L36" i="55"/>
  <c r="J38" i="55"/>
  <c r="T38" i="55" s="1"/>
  <c r="L38" i="55"/>
  <c r="J43" i="55"/>
  <c r="T43" i="55" s="1"/>
  <c r="L43" i="55"/>
  <c r="J45" i="55"/>
  <c r="T45" i="55" s="1"/>
  <c r="L45" i="55"/>
  <c r="K33" i="7"/>
  <c r="M26" i="7"/>
  <c r="K25" i="55" l="1"/>
  <c r="R25" i="55" s="1"/>
  <c r="R11" i="55"/>
  <c r="K24" i="55"/>
  <c r="R24" i="55" s="1"/>
  <c r="K23" i="55"/>
  <c r="R23" i="55" s="1"/>
  <c r="K22" i="55"/>
  <c r="R22" i="55" s="1"/>
  <c r="K21" i="55"/>
  <c r="R21" i="55" s="1"/>
  <c r="K10" i="55"/>
  <c r="R10" i="55" s="1"/>
  <c r="K9" i="55"/>
  <c r="R9" i="55" s="1"/>
  <c r="K8" i="55"/>
  <c r="R8" i="55" s="1"/>
  <c r="K7" i="55"/>
  <c r="R7" i="55" s="1"/>
  <c r="T46" i="55"/>
  <c r="K46" i="55" s="1"/>
  <c r="R46" i="55" s="1"/>
  <c r="T32" i="55"/>
  <c r="T31" i="55"/>
  <c r="T30" i="55"/>
  <c r="T29" i="55"/>
  <c r="T28" i="55"/>
  <c r="T37" i="55"/>
  <c r="T35" i="55"/>
  <c r="T18" i="55"/>
  <c r="T17" i="55"/>
  <c r="T16" i="55"/>
  <c r="T15" i="55"/>
  <c r="T14" i="55"/>
  <c r="K44" i="55"/>
  <c r="R44" i="55" s="1"/>
  <c r="C314" i="51"/>
  <c r="C313" i="51"/>
  <c r="C312" i="51"/>
  <c r="C311" i="51"/>
  <c r="C310" i="51"/>
  <c r="C309" i="51"/>
  <c r="C308" i="51"/>
  <c r="C307" i="51"/>
  <c r="C306" i="51"/>
  <c r="C305" i="51"/>
  <c r="C304" i="51"/>
  <c r="C303" i="51"/>
  <c r="C302" i="51"/>
  <c r="C301" i="51"/>
  <c r="C300" i="51"/>
  <c r="K42" i="55" l="1"/>
  <c r="R42" i="55" s="1"/>
  <c r="K14" i="55"/>
  <c r="R14" i="55" s="1"/>
  <c r="K37" i="55"/>
  <c r="R37" i="55" s="1"/>
  <c r="K28" i="55"/>
  <c r="R28" i="55" s="1"/>
  <c r="K39" i="55"/>
  <c r="R39" i="55" s="1"/>
  <c r="K15" i="55"/>
  <c r="R15" i="55" s="1"/>
  <c r="K17" i="55"/>
  <c r="R17" i="55" s="1"/>
  <c r="K35" i="55"/>
  <c r="R35" i="55" s="1"/>
  <c r="K29" i="55"/>
  <c r="R29" i="55" s="1"/>
  <c r="K31" i="55"/>
  <c r="R31" i="55" s="1"/>
  <c r="M7" i="55"/>
  <c r="S7" i="55" s="1"/>
  <c r="M9" i="55"/>
  <c r="S9" i="55" s="1"/>
  <c r="M11" i="55"/>
  <c r="S11" i="55" s="1"/>
  <c r="K38" i="55"/>
  <c r="R38" i="55" s="1"/>
  <c r="M22" i="55"/>
  <c r="S22" i="55" s="1"/>
  <c r="M24" i="55"/>
  <c r="S24" i="55" s="1"/>
  <c r="K36" i="55"/>
  <c r="R36" i="55" s="1"/>
  <c r="K16" i="55"/>
  <c r="R16" i="55" s="1"/>
  <c r="K18" i="55"/>
  <c r="R18" i="55" s="1"/>
  <c r="K30" i="55"/>
  <c r="R30" i="55" s="1"/>
  <c r="K32" i="55"/>
  <c r="R32" i="55" s="1"/>
  <c r="M8" i="55"/>
  <c r="S8" i="55" s="1"/>
  <c r="M10" i="55"/>
  <c r="S10" i="55" s="1"/>
  <c r="K45" i="55"/>
  <c r="R45" i="55" s="1"/>
  <c r="M21" i="55"/>
  <c r="S21" i="55" s="1"/>
  <c r="M23" i="55"/>
  <c r="S23" i="55" s="1"/>
  <c r="M25" i="55"/>
  <c r="S25" i="55" s="1"/>
  <c r="K43" i="55"/>
  <c r="R43" i="55" s="1"/>
  <c r="I23" i="55" l="1"/>
  <c r="I8" i="55"/>
  <c r="I9" i="55"/>
  <c r="I21" i="55"/>
  <c r="I22" i="55"/>
  <c r="I7" i="55"/>
  <c r="M14" i="55"/>
  <c r="S14" i="55" s="1"/>
  <c r="M42" i="55"/>
  <c r="S42" i="55" s="1"/>
  <c r="M37" i="55"/>
  <c r="S37" i="55" s="1"/>
  <c r="M30" i="55"/>
  <c r="S30" i="55" s="1"/>
  <c r="M16" i="55"/>
  <c r="S16" i="55" s="1"/>
  <c r="M38" i="55"/>
  <c r="S38" i="55" s="1"/>
  <c r="M29" i="55"/>
  <c r="S29" i="55" s="1"/>
  <c r="M17" i="55"/>
  <c r="S17" i="55" s="1"/>
  <c r="M39" i="55"/>
  <c r="S39" i="55" s="1"/>
  <c r="M28" i="55"/>
  <c r="S28" i="55" s="1"/>
  <c r="M46" i="55"/>
  <c r="S46" i="55" s="1"/>
  <c r="M44" i="55"/>
  <c r="S44" i="55" s="1"/>
  <c r="M43" i="55"/>
  <c r="S43" i="55" s="1"/>
  <c r="I43" i="55" s="1"/>
  <c r="M45" i="55"/>
  <c r="S45" i="55" s="1"/>
  <c r="M32" i="55"/>
  <c r="S32" i="55" s="1"/>
  <c r="M18" i="55"/>
  <c r="S18" i="55" s="1"/>
  <c r="M36" i="55"/>
  <c r="S36" i="55" s="1"/>
  <c r="M31" i="55"/>
  <c r="S31" i="55" s="1"/>
  <c r="M35" i="55"/>
  <c r="S35" i="55" s="1"/>
  <c r="I35" i="55" s="1"/>
  <c r="M15" i="55"/>
  <c r="S15" i="55" s="1"/>
  <c r="I15" i="55" s="1"/>
  <c r="F6" i="8"/>
  <c r="A1" i="54" s="1"/>
  <c r="I44" i="55" l="1"/>
  <c r="I28" i="55"/>
  <c r="I30" i="55"/>
  <c r="I42" i="55"/>
  <c r="I36" i="55"/>
  <c r="I29" i="55"/>
  <c r="I16" i="55"/>
  <c r="I37" i="55"/>
  <c r="I14" i="55"/>
  <c r="C196" i="55"/>
  <c r="E196" i="55" s="1"/>
  <c r="G14" i="7"/>
  <c r="R13" i="54"/>
  <c r="R14" i="54"/>
  <c r="R12" i="54"/>
  <c r="R7" i="54"/>
  <c r="R11" i="54"/>
  <c r="R10" i="54"/>
  <c r="R9" i="54"/>
  <c r="R8" i="54"/>
  <c r="H123" i="54"/>
  <c r="H120" i="54"/>
  <c r="H117" i="54"/>
  <c r="H114" i="54"/>
  <c r="H111" i="54"/>
  <c r="H108" i="54"/>
  <c r="H105" i="54"/>
  <c r="H102" i="54"/>
  <c r="C202" i="55" l="1"/>
  <c r="E220" i="55" s="1"/>
  <c r="C206" i="55"/>
  <c r="E222" i="55" s="1"/>
  <c r="C200" i="55"/>
  <c r="E201" i="55" s="1"/>
  <c r="G211" i="55" s="1"/>
  <c r="J215" i="55" s="1"/>
  <c r="C210" i="55"/>
  <c r="E210" i="55" s="1"/>
  <c r="E218" i="55"/>
  <c r="G218" i="55" s="1"/>
  <c r="E197" i="55"/>
  <c r="G199" i="55" s="1"/>
  <c r="J203" i="55" s="1"/>
  <c r="C204" i="55"/>
  <c r="E205" i="55" s="1"/>
  <c r="G207" i="55" s="1"/>
  <c r="J208" i="55" s="1"/>
  <c r="B104" i="55"/>
  <c r="B112" i="55"/>
  <c r="B124" i="55"/>
  <c r="B102" i="55"/>
  <c r="C102" i="55" s="1"/>
  <c r="B110" i="55"/>
  <c r="B116" i="55"/>
  <c r="B122" i="55"/>
  <c r="B130" i="55"/>
  <c r="B108" i="55"/>
  <c r="B120" i="55"/>
  <c r="B128" i="55"/>
  <c r="B106" i="55"/>
  <c r="B114" i="55"/>
  <c r="B118" i="55"/>
  <c r="B126" i="55"/>
  <c r="B132" i="55"/>
  <c r="Q13" i="54"/>
  <c r="Q12" i="54"/>
  <c r="Q7" i="54"/>
  <c r="Q14" i="54"/>
  <c r="Q11" i="54"/>
  <c r="Q10" i="54"/>
  <c r="Q9" i="54"/>
  <c r="Q8" i="54"/>
  <c r="K14" i="54"/>
  <c r="T14" i="54" s="1"/>
  <c r="K13" i="54"/>
  <c r="T13" i="54" s="1"/>
  <c r="W13" i="54" s="1"/>
  <c r="E224" i="55" l="1"/>
  <c r="G224" i="55" s="1"/>
  <c r="E209" i="55"/>
  <c r="G213" i="55" s="1"/>
  <c r="J212" i="55" s="1"/>
  <c r="G222" i="55"/>
  <c r="G220" i="55"/>
  <c r="G226" i="55" s="1"/>
  <c r="I226" i="55" s="1"/>
  <c r="C132" i="55"/>
  <c r="C114" i="55"/>
  <c r="C118" i="55"/>
  <c r="C127" i="55"/>
  <c r="C107" i="55"/>
  <c r="C130" i="55"/>
  <c r="C116" i="55"/>
  <c r="C104" i="55"/>
  <c r="C157" i="55" s="1"/>
  <c r="C120" i="55"/>
  <c r="C119" i="55" s="1"/>
  <c r="C161" i="55"/>
  <c r="K12" i="54"/>
  <c r="T12" i="54" s="1"/>
  <c r="W12" i="54" s="1"/>
  <c r="K11" i="54"/>
  <c r="T11" i="54" s="1"/>
  <c r="K10" i="54"/>
  <c r="T10" i="54" s="1"/>
  <c r="K9" i="54"/>
  <c r="T9" i="54" s="1"/>
  <c r="K8" i="54"/>
  <c r="T8" i="54" s="1"/>
  <c r="K7" i="54"/>
  <c r="T7" i="54" s="1"/>
  <c r="S11" i="54"/>
  <c r="S10" i="54"/>
  <c r="S9" i="54"/>
  <c r="S8" i="54"/>
  <c r="S7" i="54"/>
  <c r="U6" i="54"/>
  <c r="G219" i="55" l="1"/>
  <c r="J224" i="55" s="1"/>
  <c r="G228" i="55"/>
  <c r="I228" i="55" s="1"/>
  <c r="J227" i="55" s="1"/>
  <c r="G223" i="55"/>
  <c r="J221" i="55" s="1"/>
  <c r="C163" i="55"/>
  <c r="C123" i="55"/>
  <c r="C169" i="55"/>
  <c r="C167" i="55"/>
  <c r="C115" i="55"/>
  <c r="E161" i="55"/>
  <c r="C111" i="55"/>
  <c r="C103" i="55"/>
  <c r="C131" i="55"/>
  <c r="C171" i="55"/>
  <c r="C159" i="55"/>
  <c r="E159" i="55" s="1"/>
  <c r="C165" i="55"/>
  <c r="E163" i="55"/>
  <c r="W7" i="54"/>
  <c r="W8" i="54"/>
  <c r="W9" i="54"/>
  <c r="W10" i="54"/>
  <c r="W11" i="54"/>
  <c r="J230" i="55" l="1"/>
  <c r="N7" i="54"/>
  <c r="E142" i="55"/>
  <c r="E129" i="55"/>
  <c r="E121" i="55"/>
  <c r="E162" i="55"/>
  <c r="E165" i="55"/>
  <c r="E171" i="55"/>
  <c r="E169" i="55"/>
  <c r="E144" i="55"/>
  <c r="E113" i="55"/>
  <c r="E105" i="55"/>
  <c r="E157" i="55"/>
  <c r="E181" i="55"/>
  <c r="E167" i="55"/>
  <c r="N11" i="54"/>
  <c r="U11" i="54" s="1"/>
  <c r="N10" i="54"/>
  <c r="U10" i="54" s="1"/>
  <c r="N9" i="54"/>
  <c r="U9" i="54" s="1"/>
  <c r="N8" i="54"/>
  <c r="U8" i="54" s="1"/>
  <c r="U7" i="54"/>
  <c r="E146" i="55" l="1"/>
  <c r="E183" i="55"/>
  <c r="E170" i="55"/>
  <c r="E185" i="55"/>
  <c r="G183" i="55" s="1"/>
  <c r="E140" i="55"/>
  <c r="E166" i="55"/>
  <c r="E158" i="55"/>
  <c r="E179" i="55"/>
  <c r="G179" i="55" s="1"/>
  <c r="P7" i="54"/>
  <c r="V7" i="54" s="1"/>
  <c r="P9" i="54"/>
  <c r="V9" i="54" s="1"/>
  <c r="P11" i="54"/>
  <c r="V11" i="54" s="1"/>
  <c r="P8" i="54"/>
  <c r="V8" i="54" s="1"/>
  <c r="P10" i="54"/>
  <c r="V10" i="54" s="1"/>
  <c r="G185" i="55" l="1"/>
  <c r="G189" i="55" s="1"/>
  <c r="G145" i="55"/>
  <c r="G184" i="55"/>
  <c r="G150" i="55"/>
  <c r="G174" i="55"/>
  <c r="G133" i="55"/>
  <c r="G131" i="55"/>
  <c r="G125" i="55"/>
  <c r="G109" i="55"/>
  <c r="G181" i="55"/>
  <c r="G187" i="55" s="1"/>
  <c r="B307" i="54"/>
  <c r="B306" i="54"/>
  <c r="B305" i="54"/>
  <c r="B304" i="54"/>
  <c r="B303" i="54"/>
  <c r="B302" i="54"/>
  <c r="B301" i="54"/>
  <c r="B300" i="54"/>
  <c r="G168" i="55" l="1"/>
  <c r="I187" i="55"/>
  <c r="G148" i="55"/>
  <c r="G141" i="55"/>
  <c r="G180" i="55"/>
  <c r="G172" i="55"/>
  <c r="G160" i="55"/>
  <c r="J132" i="55"/>
  <c r="I189" i="55"/>
  <c r="J117" i="55" l="1"/>
  <c r="J188" i="55"/>
  <c r="J135" i="55"/>
  <c r="J126" i="55"/>
  <c r="J169" i="55"/>
  <c r="I180" i="55"/>
  <c r="I184" i="55"/>
  <c r="I188" i="55"/>
  <c r="J173" i="55"/>
  <c r="J191" i="55"/>
  <c r="C306" i="53"/>
  <c r="C307" i="53"/>
  <c r="C308" i="53"/>
  <c r="C309" i="53"/>
  <c r="C310" i="53"/>
  <c r="C311" i="53"/>
  <c r="C312" i="53"/>
  <c r="C313" i="53"/>
  <c r="C314" i="53"/>
  <c r="C315" i="53"/>
  <c r="C154" i="51"/>
  <c r="C167" i="51" s="1"/>
  <c r="E167" i="51" s="1"/>
  <c r="V36" i="16"/>
  <c r="V65" i="16"/>
  <c r="B303" i="55" l="1"/>
  <c r="B301" i="55"/>
  <c r="B302" i="55"/>
  <c r="B300" i="55"/>
  <c r="J164" i="55"/>
  <c r="J152" i="55"/>
  <c r="J149" i="55"/>
  <c r="J143" i="55"/>
  <c r="J146" i="55"/>
  <c r="I182" i="55"/>
  <c r="J185" i="55"/>
  <c r="J182" i="55"/>
  <c r="J176" i="55"/>
  <c r="AA7" i="16" l="1"/>
  <c r="B311" i="55"/>
  <c r="B309" i="55"/>
  <c r="B307" i="55"/>
  <c r="B305" i="55"/>
  <c r="B310" i="55"/>
  <c r="B308" i="55"/>
  <c r="B306" i="55"/>
  <c r="B304" i="55"/>
  <c r="B317" i="55"/>
  <c r="B315" i="55"/>
  <c r="B313" i="55"/>
  <c r="B316" i="55"/>
  <c r="B314" i="55"/>
  <c r="B312" i="55"/>
  <c r="E171" i="51"/>
  <c r="G171" i="51" s="1"/>
  <c r="C305" i="53" l="1"/>
  <c r="C304" i="53"/>
  <c r="C303" i="53"/>
  <c r="C302" i="53"/>
  <c r="C301" i="53"/>
  <c r="C300" i="53"/>
  <c r="P60" i="53"/>
  <c r="O60" i="53"/>
  <c r="N60" i="53"/>
  <c r="H60" i="53"/>
  <c r="Q60" i="53" s="1"/>
  <c r="P59" i="53"/>
  <c r="O59" i="53"/>
  <c r="N59" i="53"/>
  <c r="H59" i="53"/>
  <c r="Q59" i="53" s="1"/>
  <c r="P58" i="53"/>
  <c r="O58" i="53"/>
  <c r="N58" i="53"/>
  <c r="H58" i="53"/>
  <c r="Q58" i="53" s="1"/>
  <c r="P57" i="53"/>
  <c r="O57" i="53"/>
  <c r="N57" i="53"/>
  <c r="H57" i="53"/>
  <c r="Q57" i="53" s="1"/>
  <c r="P56" i="53"/>
  <c r="O56" i="53"/>
  <c r="N56" i="53"/>
  <c r="H56" i="53"/>
  <c r="Q56" i="53" s="1"/>
  <c r="R55" i="53"/>
  <c r="P53" i="53"/>
  <c r="O53" i="53"/>
  <c r="N53" i="53"/>
  <c r="H53" i="53"/>
  <c r="Q53" i="53" s="1"/>
  <c r="P52" i="53"/>
  <c r="O52" i="53"/>
  <c r="N52" i="53"/>
  <c r="H52" i="53"/>
  <c r="Q52" i="53" s="1"/>
  <c r="P51" i="53"/>
  <c r="O51" i="53"/>
  <c r="N51" i="53"/>
  <c r="H51" i="53"/>
  <c r="Q51" i="53" s="1"/>
  <c r="P50" i="53"/>
  <c r="O50" i="53"/>
  <c r="N50" i="53"/>
  <c r="H50" i="53"/>
  <c r="Q50" i="53" s="1"/>
  <c r="P49" i="53"/>
  <c r="O49" i="53"/>
  <c r="N49" i="53"/>
  <c r="H49" i="53"/>
  <c r="Q49" i="53" s="1"/>
  <c r="R48" i="53"/>
  <c r="P46" i="53"/>
  <c r="O46" i="53"/>
  <c r="N46" i="53"/>
  <c r="H46" i="53"/>
  <c r="Q46" i="53" s="1"/>
  <c r="P45" i="53"/>
  <c r="O45" i="53"/>
  <c r="N45" i="53"/>
  <c r="H45" i="53"/>
  <c r="Q45" i="53" s="1"/>
  <c r="P44" i="53"/>
  <c r="O44" i="53"/>
  <c r="N44" i="53"/>
  <c r="H44" i="53"/>
  <c r="Q44" i="53" s="1"/>
  <c r="P43" i="53"/>
  <c r="O43" i="53"/>
  <c r="N43" i="53"/>
  <c r="H43" i="53"/>
  <c r="Q43" i="53" s="1"/>
  <c r="P42" i="53"/>
  <c r="O42" i="53"/>
  <c r="N42" i="53"/>
  <c r="H42" i="53"/>
  <c r="Q42" i="53" s="1"/>
  <c r="R41" i="53"/>
  <c r="P39" i="53"/>
  <c r="O39" i="53"/>
  <c r="N39" i="53"/>
  <c r="H39" i="53"/>
  <c r="Q39" i="53" s="1"/>
  <c r="P38" i="53"/>
  <c r="O38" i="53"/>
  <c r="N38" i="53"/>
  <c r="H38" i="53"/>
  <c r="Q38" i="53" s="1"/>
  <c r="P37" i="53"/>
  <c r="O37" i="53"/>
  <c r="N37" i="53"/>
  <c r="H37" i="53"/>
  <c r="Q37" i="53" s="1"/>
  <c r="P36" i="53"/>
  <c r="O36" i="53"/>
  <c r="N36" i="53"/>
  <c r="H36" i="53"/>
  <c r="Q36" i="53" s="1"/>
  <c r="P35" i="53"/>
  <c r="O35" i="53"/>
  <c r="N35" i="53"/>
  <c r="H35" i="53"/>
  <c r="Q35" i="53" s="1"/>
  <c r="R34" i="53"/>
  <c r="P32" i="53"/>
  <c r="O32" i="53"/>
  <c r="N32" i="53"/>
  <c r="H32" i="53"/>
  <c r="Q32" i="53" s="1"/>
  <c r="P31" i="53"/>
  <c r="O31" i="53"/>
  <c r="N31" i="53"/>
  <c r="H31" i="53"/>
  <c r="Q31" i="53" s="1"/>
  <c r="P30" i="53"/>
  <c r="O30" i="53"/>
  <c r="N30" i="53"/>
  <c r="H30" i="53"/>
  <c r="Q30" i="53" s="1"/>
  <c r="P29" i="53"/>
  <c r="O29" i="53"/>
  <c r="N29" i="53"/>
  <c r="H29" i="53"/>
  <c r="Q29" i="53" s="1"/>
  <c r="P28" i="53"/>
  <c r="O28" i="53"/>
  <c r="N28" i="53"/>
  <c r="H28" i="53"/>
  <c r="Q28" i="53" s="1"/>
  <c r="R27" i="53"/>
  <c r="P25" i="53"/>
  <c r="O25" i="53"/>
  <c r="N25" i="53"/>
  <c r="H25" i="53"/>
  <c r="Q25" i="53" s="1"/>
  <c r="P24" i="53"/>
  <c r="O24" i="53"/>
  <c r="N24" i="53"/>
  <c r="H24" i="53"/>
  <c r="Q24" i="53" s="1"/>
  <c r="P23" i="53"/>
  <c r="O23" i="53"/>
  <c r="N23" i="53"/>
  <c r="H23" i="53"/>
  <c r="Q23" i="53" s="1"/>
  <c r="P22" i="53"/>
  <c r="O22" i="53"/>
  <c r="N22" i="53"/>
  <c r="H22" i="53"/>
  <c r="Q22" i="53" s="1"/>
  <c r="P21" i="53"/>
  <c r="O21" i="53"/>
  <c r="N21" i="53"/>
  <c r="H21" i="53"/>
  <c r="Q21" i="53" s="1"/>
  <c r="R20" i="53"/>
  <c r="P18" i="53"/>
  <c r="O18" i="53"/>
  <c r="N18" i="53"/>
  <c r="H18" i="53"/>
  <c r="Q18" i="53" s="1"/>
  <c r="P17" i="53"/>
  <c r="O17" i="53"/>
  <c r="N17" i="53"/>
  <c r="H17" i="53"/>
  <c r="Q17" i="53" s="1"/>
  <c r="P16" i="53"/>
  <c r="O16" i="53"/>
  <c r="N16" i="53"/>
  <c r="H16" i="53"/>
  <c r="Q16" i="53" s="1"/>
  <c r="P15" i="53"/>
  <c r="O15" i="53"/>
  <c r="N15" i="53"/>
  <c r="H15" i="53"/>
  <c r="Q15" i="53" s="1"/>
  <c r="P14" i="53"/>
  <c r="O14" i="53"/>
  <c r="N14" i="53"/>
  <c r="H14" i="53"/>
  <c r="Q14" i="53" s="1"/>
  <c r="R13" i="53"/>
  <c r="P11" i="53"/>
  <c r="O11" i="53"/>
  <c r="N11" i="53"/>
  <c r="H11" i="53"/>
  <c r="Q11" i="53" s="1"/>
  <c r="P10" i="53"/>
  <c r="O10" i="53"/>
  <c r="N10" i="53"/>
  <c r="H10" i="53"/>
  <c r="Q10" i="53" s="1"/>
  <c r="P9" i="53"/>
  <c r="O9" i="53"/>
  <c r="N9" i="53"/>
  <c r="H9" i="53"/>
  <c r="Q9" i="53" s="1"/>
  <c r="P8" i="53"/>
  <c r="O8" i="53"/>
  <c r="N8" i="53"/>
  <c r="H8" i="53"/>
  <c r="Q8" i="53" s="1"/>
  <c r="P7" i="53"/>
  <c r="O7" i="53"/>
  <c r="N7" i="53"/>
  <c r="H7" i="53"/>
  <c r="Q7" i="53" s="1"/>
  <c r="R6" i="53"/>
  <c r="P32" i="51"/>
  <c r="O32" i="51"/>
  <c r="N32" i="51"/>
  <c r="H32" i="51"/>
  <c r="Q32" i="51" s="1"/>
  <c r="P31" i="51"/>
  <c r="O31" i="51"/>
  <c r="N31" i="51"/>
  <c r="H31" i="51"/>
  <c r="Q31" i="51" s="1"/>
  <c r="P30" i="51"/>
  <c r="O30" i="51"/>
  <c r="N30" i="51"/>
  <c r="H30" i="51"/>
  <c r="Q30" i="51" s="1"/>
  <c r="P29" i="51"/>
  <c r="O29" i="51"/>
  <c r="N29" i="51"/>
  <c r="H29" i="51"/>
  <c r="Q29" i="51" s="1"/>
  <c r="P28" i="51"/>
  <c r="O28" i="51"/>
  <c r="N28" i="51"/>
  <c r="H28" i="51"/>
  <c r="Q28" i="51" s="1"/>
  <c r="R27" i="51"/>
  <c r="P25" i="51"/>
  <c r="O25" i="51"/>
  <c r="N25" i="51"/>
  <c r="H25" i="51"/>
  <c r="Q25" i="51" s="1"/>
  <c r="P24" i="51"/>
  <c r="O24" i="51"/>
  <c r="N24" i="51"/>
  <c r="H24" i="51"/>
  <c r="Q24" i="51" s="1"/>
  <c r="P23" i="51"/>
  <c r="O23" i="51"/>
  <c r="N23" i="51"/>
  <c r="H23" i="51"/>
  <c r="Q23" i="51" s="1"/>
  <c r="P22" i="51"/>
  <c r="O22" i="51"/>
  <c r="N22" i="51"/>
  <c r="H22" i="51"/>
  <c r="Q22" i="51" s="1"/>
  <c r="P21" i="51"/>
  <c r="O21" i="51"/>
  <c r="N21" i="51"/>
  <c r="H21" i="51"/>
  <c r="Q21" i="51" s="1"/>
  <c r="R20" i="51"/>
  <c r="P18" i="51"/>
  <c r="O18" i="51"/>
  <c r="N18" i="51"/>
  <c r="H18" i="51"/>
  <c r="Q18" i="51" s="1"/>
  <c r="P17" i="51"/>
  <c r="O17" i="51"/>
  <c r="N17" i="51"/>
  <c r="H17" i="51"/>
  <c r="Q17" i="51" s="1"/>
  <c r="P16" i="51"/>
  <c r="O16" i="51"/>
  <c r="N16" i="51"/>
  <c r="H16" i="51"/>
  <c r="Q16" i="51" s="1"/>
  <c r="P15" i="51"/>
  <c r="O15" i="51"/>
  <c r="N15" i="51"/>
  <c r="H15" i="51"/>
  <c r="Q15" i="51" s="1"/>
  <c r="P14" i="51"/>
  <c r="O14" i="51"/>
  <c r="N14" i="51"/>
  <c r="H14" i="51"/>
  <c r="Q14" i="51" s="1"/>
  <c r="R13" i="51"/>
  <c r="P11" i="51"/>
  <c r="O11" i="51"/>
  <c r="N11" i="51"/>
  <c r="H11" i="51"/>
  <c r="Q11" i="51" s="1"/>
  <c r="P10" i="51"/>
  <c r="O10" i="51"/>
  <c r="N10" i="51"/>
  <c r="H10" i="51"/>
  <c r="Q10" i="51" s="1"/>
  <c r="P9" i="51"/>
  <c r="O9" i="51"/>
  <c r="N9" i="51"/>
  <c r="H9" i="51"/>
  <c r="Q9" i="51" s="1"/>
  <c r="P8" i="51"/>
  <c r="O8" i="51"/>
  <c r="N8" i="51"/>
  <c r="H8" i="51"/>
  <c r="Q8" i="51" s="1"/>
  <c r="P7" i="51"/>
  <c r="O7" i="51"/>
  <c r="N7" i="51"/>
  <c r="H7" i="51"/>
  <c r="Q7" i="51" s="1"/>
  <c r="R6" i="51"/>
  <c r="L14" i="53" l="1"/>
  <c r="J14" i="53"/>
  <c r="T14" i="53" s="1"/>
  <c r="L15" i="53"/>
  <c r="J15" i="53"/>
  <c r="T15" i="53" s="1"/>
  <c r="L16" i="53"/>
  <c r="J16" i="53"/>
  <c r="T16" i="53" s="1"/>
  <c r="L21" i="53"/>
  <c r="J21" i="53"/>
  <c r="T21" i="53" s="1"/>
  <c r="L22" i="53"/>
  <c r="J22" i="53"/>
  <c r="T22" i="53" s="1"/>
  <c r="L23" i="53"/>
  <c r="J23" i="53"/>
  <c r="T23" i="53" s="1"/>
  <c r="L24" i="53"/>
  <c r="J24" i="53"/>
  <c r="T24" i="53" s="1"/>
  <c r="L25" i="53"/>
  <c r="J25" i="53"/>
  <c r="T25" i="53" s="1"/>
  <c r="K25" i="53" s="1"/>
  <c r="J38" i="53"/>
  <c r="L35" i="53"/>
  <c r="J35" i="53"/>
  <c r="T35" i="53" s="1"/>
  <c r="J7" i="53"/>
  <c r="T7" i="53" s="1"/>
  <c r="L7" i="53"/>
  <c r="J8" i="53"/>
  <c r="T8" i="53" s="1"/>
  <c r="L8" i="53"/>
  <c r="J9" i="53"/>
  <c r="T9" i="53" s="1"/>
  <c r="L9" i="53"/>
  <c r="J10" i="53"/>
  <c r="T10" i="53" s="1"/>
  <c r="L10" i="53"/>
  <c r="J11" i="53"/>
  <c r="T11" i="53" s="1"/>
  <c r="K11" i="53" s="1"/>
  <c r="R11" i="53" s="1"/>
  <c r="L11" i="53"/>
  <c r="L17" i="53"/>
  <c r="J17" i="53"/>
  <c r="T17" i="53" s="1"/>
  <c r="L18" i="53"/>
  <c r="J18" i="53"/>
  <c r="T18" i="53" s="1"/>
  <c r="K18" i="53" s="1"/>
  <c r="L28" i="53"/>
  <c r="J28" i="53"/>
  <c r="T28" i="53" s="1"/>
  <c r="L29" i="53"/>
  <c r="J29" i="53"/>
  <c r="T29" i="53" s="1"/>
  <c r="L30" i="53"/>
  <c r="J30" i="53"/>
  <c r="T30" i="53" s="1"/>
  <c r="L31" i="53"/>
  <c r="J31" i="53"/>
  <c r="T31" i="53" s="1"/>
  <c r="L32" i="53"/>
  <c r="J32" i="53"/>
  <c r="T38" i="53"/>
  <c r="J36" i="53"/>
  <c r="T36" i="53" s="1"/>
  <c r="L37" i="53"/>
  <c r="J37" i="53"/>
  <c r="T37" i="53" s="1"/>
  <c r="L38" i="53"/>
  <c r="L43" i="53"/>
  <c r="J43" i="53"/>
  <c r="T43" i="53" s="1"/>
  <c r="L50" i="53"/>
  <c r="J50" i="53"/>
  <c r="T50" i="53" s="1"/>
  <c r="L57" i="53"/>
  <c r="J57" i="53"/>
  <c r="T57" i="53" s="1"/>
  <c r="L36" i="53"/>
  <c r="L39" i="53"/>
  <c r="J39" i="53"/>
  <c r="T39" i="53" s="1"/>
  <c r="L45" i="53"/>
  <c r="J45" i="53"/>
  <c r="T45" i="53" s="1"/>
  <c r="L52" i="53"/>
  <c r="J52" i="53"/>
  <c r="T52" i="53" s="1"/>
  <c r="L59" i="53"/>
  <c r="J59" i="53"/>
  <c r="T59" i="53" s="1"/>
  <c r="J42" i="53"/>
  <c r="T42" i="53" s="1"/>
  <c r="L42" i="53"/>
  <c r="J44" i="53"/>
  <c r="T44" i="53" s="1"/>
  <c r="L44" i="53"/>
  <c r="J46" i="53"/>
  <c r="T46" i="53" s="1"/>
  <c r="L46" i="53"/>
  <c r="J49" i="53"/>
  <c r="T49" i="53" s="1"/>
  <c r="L49" i="53"/>
  <c r="J51" i="53"/>
  <c r="T51" i="53" s="1"/>
  <c r="L51" i="53"/>
  <c r="J53" i="53"/>
  <c r="T53" i="53" s="1"/>
  <c r="L53" i="53"/>
  <c r="J56" i="53"/>
  <c r="T56" i="53" s="1"/>
  <c r="L56" i="53"/>
  <c r="J58" i="53"/>
  <c r="T58" i="53" s="1"/>
  <c r="L58" i="53"/>
  <c r="J60" i="53"/>
  <c r="T60" i="53" s="1"/>
  <c r="L60" i="53"/>
  <c r="L9" i="51"/>
  <c r="J9" i="51"/>
  <c r="J15" i="51"/>
  <c r="T15" i="51" s="1"/>
  <c r="L14" i="51"/>
  <c r="J14" i="51"/>
  <c r="T14" i="51" s="1"/>
  <c r="L7" i="51"/>
  <c r="J7" i="51"/>
  <c r="T7" i="51" s="1"/>
  <c r="L11" i="51"/>
  <c r="J11" i="51"/>
  <c r="L16" i="51"/>
  <c r="J16" i="51"/>
  <c r="L17" i="51"/>
  <c r="L22" i="51"/>
  <c r="J22" i="51"/>
  <c r="T22" i="51" s="1"/>
  <c r="L29" i="51"/>
  <c r="J29" i="51"/>
  <c r="T29" i="51" s="1"/>
  <c r="J8" i="51"/>
  <c r="T8" i="51" s="1"/>
  <c r="L8" i="51"/>
  <c r="J10" i="51"/>
  <c r="T10" i="51" s="1"/>
  <c r="L10" i="51"/>
  <c r="L15" i="51"/>
  <c r="J17" i="51"/>
  <c r="L24" i="51"/>
  <c r="J24" i="51"/>
  <c r="L31" i="51"/>
  <c r="J31" i="51"/>
  <c r="J18" i="51"/>
  <c r="T18" i="51" s="1"/>
  <c r="L18" i="51"/>
  <c r="J21" i="51"/>
  <c r="T21" i="51" s="1"/>
  <c r="L21" i="51"/>
  <c r="J23" i="51"/>
  <c r="T23" i="51" s="1"/>
  <c r="L23" i="51"/>
  <c r="J25" i="51"/>
  <c r="T25" i="51" s="1"/>
  <c r="L25" i="51"/>
  <c r="J28" i="51"/>
  <c r="T28" i="51" s="1"/>
  <c r="L28" i="51"/>
  <c r="J30" i="51"/>
  <c r="T30" i="51" s="1"/>
  <c r="L30" i="51"/>
  <c r="J32" i="51"/>
  <c r="T32" i="51" s="1"/>
  <c r="L32" i="51"/>
  <c r="K60" i="53" l="1"/>
  <c r="R60" i="53" s="1"/>
  <c r="K58" i="53"/>
  <c r="K49" i="53"/>
  <c r="R49" i="53" s="1"/>
  <c r="K46" i="53"/>
  <c r="R46" i="53" s="1"/>
  <c r="K37" i="53"/>
  <c r="T32" i="53"/>
  <c r="K32" i="53" s="1"/>
  <c r="R32" i="53" s="1"/>
  <c r="B104" i="53"/>
  <c r="B102" i="53"/>
  <c r="B154" i="53"/>
  <c r="B142" i="53"/>
  <c r="B112" i="53"/>
  <c r="B106" i="53"/>
  <c r="B150" i="53"/>
  <c r="B148" i="53"/>
  <c r="B144" i="53"/>
  <c r="B140" i="53"/>
  <c r="C140" i="53" s="1"/>
  <c r="B116" i="53"/>
  <c r="B114" i="53"/>
  <c r="B108" i="53"/>
  <c r="B152" i="53"/>
  <c r="B146" i="53"/>
  <c r="C146" i="53" s="1"/>
  <c r="B110" i="53"/>
  <c r="K42" i="53"/>
  <c r="R42" i="53" s="1"/>
  <c r="K56" i="53"/>
  <c r="K53" i="53"/>
  <c r="R53" i="53" s="1"/>
  <c r="K51" i="53"/>
  <c r="R51" i="53" s="1"/>
  <c r="K43" i="53"/>
  <c r="K36" i="53"/>
  <c r="K10" i="53"/>
  <c r="R10" i="53" s="1"/>
  <c r="K9" i="53"/>
  <c r="R9" i="53" s="1"/>
  <c r="K8" i="53"/>
  <c r="R8" i="53" s="1"/>
  <c r="K7" i="53"/>
  <c r="R7" i="53" s="1"/>
  <c r="K35" i="53"/>
  <c r="K44" i="53"/>
  <c r="R44" i="53" s="1"/>
  <c r="K57" i="53"/>
  <c r="K17" i="53"/>
  <c r="R17" i="53" s="1"/>
  <c r="K24" i="53"/>
  <c r="K23" i="53"/>
  <c r="R23" i="53" s="1"/>
  <c r="K22" i="53"/>
  <c r="K21" i="53"/>
  <c r="R21" i="53" s="1"/>
  <c r="K16" i="53"/>
  <c r="K15" i="53"/>
  <c r="R15" i="53" s="1"/>
  <c r="K14" i="53"/>
  <c r="R56" i="53"/>
  <c r="K59" i="53"/>
  <c r="R59" i="53" s="1"/>
  <c r="K52" i="53"/>
  <c r="R52" i="53" s="1"/>
  <c r="K45" i="53"/>
  <c r="R45" i="53" s="1"/>
  <c r="K39" i="53"/>
  <c r="R39" i="53" s="1"/>
  <c r="R57" i="53"/>
  <c r="K50" i="53"/>
  <c r="R50" i="53" s="1"/>
  <c r="R43" i="53"/>
  <c r="R37" i="53"/>
  <c r="K38" i="53"/>
  <c r="R38" i="53" s="1"/>
  <c r="K31" i="53"/>
  <c r="R31" i="53" s="1"/>
  <c r="K29" i="53"/>
  <c r="R29" i="53" s="1"/>
  <c r="R18" i="53"/>
  <c r="R36" i="53"/>
  <c r="R25" i="53"/>
  <c r="R24" i="53"/>
  <c r="R22" i="53"/>
  <c r="R16" i="53"/>
  <c r="R14" i="53"/>
  <c r="R58" i="53"/>
  <c r="R35" i="53"/>
  <c r="T31" i="51"/>
  <c r="K31" i="51" s="1"/>
  <c r="R31" i="51" s="1"/>
  <c r="T24" i="51"/>
  <c r="K24" i="51" s="1"/>
  <c r="R24" i="51" s="1"/>
  <c r="T16" i="51"/>
  <c r="T17" i="51"/>
  <c r="K17" i="51" s="1"/>
  <c r="R17" i="51" s="1"/>
  <c r="T11" i="51"/>
  <c r="T9" i="51"/>
  <c r="K9" i="51" s="1"/>
  <c r="R9" i="51" s="1"/>
  <c r="K22" i="51"/>
  <c r="R22" i="51" s="1"/>
  <c r="K15" i="51"/>
  <c r="R15" i="51" s="1"/>
  <c r="K7" i="51"/>
  <c r="R7" i="51" s="1"/>
  <c r="C110" i="53" l="1"/>
  <c r="C152" i="53"/>
  <c r="C114" i="53"/>
  <c r="C148" i="53"/>
  <c r="C102" i="53"/>
  <c r="C106" i="53"/>
  <c r="C116" i="53"/>
  <c r="C129" i="53" s="1"/>
  <c r="C142" i="53"/>
  <c r="C161" i="53" s="1"/>
  <c r="K28" i="53"/>
  <c r="R28" i="53" s="1"/>
  <c r="K30" i="53"/>
  <c r="R30" i="53" s="1"/>
  <c r="M29" i="53" s="1"/>
  <c r="S29" i="53" s="1"/>
  <c r="C108" i="53"/>
  <c r="C144" i="53"/>
  <c r="C150" i="53"/>
  <c r="C112" i="53"/>
  <c r="C127" i="53" s="1"/>
  <c r="C154" i="53"/>
  <c r="C104" i="53"/>
  <c r="C103" i="53" s="1"/>
  <c r="K29" i="51"/>
  <c r="R29" i="51" s="1"/>
  <c r="M31" i="53"/>
  <c r="S31" i="53" s="1"/>
  <c r="M50" i="53"/>
  <c r="S50" i="53" s="1"/>
  <c r="M49" i="53"/>
  <c r="S49" i="53" s="1"/>
  <c r="M39" i="53"/>
  <c r="S39" i="53" s="1"/>
  <c r="S52" i="53"/>
  <c r="M52" i="53"/>
  <c r="M60" i="53"/>
  <c r="S60" i="53" s="1"/>
  <c r="M32" i="53"/>
  <c r="S32" i="53" s="1"/>
  <c r="M30" i="53"/>
  <c r="M45" i="53"/>
  <c r="S45" i="53" s="1"/>
  <c r="M59" i="53"/>
  <c r="S59" i="53" s="1"/>
  <c r="M46" i="53"/>
  <c r="S46" i="53" s="1"/>
  <c r="M58" i="53"/>
  <c r="S58" i="53" s="1"/>
  <c r="M15" i="53"/>
  <c r="S15" i="53" s="1"/>
  <c r="M21" i="53"/>
  <c r="S21" i="53" s="1"/>
  <c r="M23" i="53"/>
  <c r="S23" i="53" s="1"/>
  <c r="M25" i="53"/>
  <c r="S25" i="53" s="1"/>
  <c r="M17" i="53"/>
  <c r="S17" i="53"/>
  <c r="M38" i="53"/>
  <c r="S38" i="53" s="1"/>
  <c r="M43" i="53"/>
  <c r="S43" i="53" s="1"/>
  <c r="M57" i="53"/>
  <c r="S57" i="53" s="1"/>
  <c r="M8" i="53"/>
  <c r="S8" i="53" s="1"/>
  <c r="M10" i="53"/>
  <c r="S10" i="53" s="1"/>
  <c r="M51" i="53"/>
  <c r="S51" i="53" s="1"/>
  <c r="M35" i="53"/>
  <c r="S35" i="53" s="1"/>
  <c r="M14" i="53"/>
  <c r="S14" i="53" s="1"/>
  <c r="M16" i="53"/>
  <c r="S16" i="53" s="1"/>
  <c r="M22" i="53"/>
  <c r="S22" i="53" s="1"/>
  <c r="M24" i="53"/>
  <c r="S24" i="53" s="1"/>
  <c r="M36" i="53"/>
  <c r="S36" i="53" s="1"/>
  <c r="M18" i="53"/>
  <c r="S18" i="53" s="1"/>
  <c r="M37" i="53"/>
  <c r="S37" i="53" s="1"/>
  <c r="M56" i="53"/>
  <c r="S56" i="53" s="1"/>
  <c r="M44" i="53"/>
  <c r="S44" i="53" s="1"/>
  <c r="M7" i="53"/>
  <c r="S7" i="53" s="1"/>
  <c r="M9" i="53"/>
  <c r="S9" i="53" s="1"/>
  <c r="M11" i="53"/>
  <c r="S11" i="53" s="1"/>
  <c r="S53" i="53"/>
  <c r="M53" i="53"/>
  <c r="S42" i="53"/>
  <c r="M42" i="53"/>
  <c r="K11" i="51"/>
  <c r="R11" i="51" s="1"/>
  <c r="K16" i="51"/>
  <c r="R16" i="51" s="1"/>
  <c r="K14" i="51"/>
  <c r="R14" i="51" s="1"/>
  <c r="K18" i="51"/>
  <c r="R18" i="51" s="1"/>
  <c r="K23" i="51"/>
  <c r="R23" i="51" s="1"/>
  <c r="K28" i="51"/>
  <c r="R28" i="51" s="1"/>
  <c r="K32" i="51"/>
  <c r="R32" i="51" s="1"/>
  <c r="K10" i="51"/>
  <c r="R10" i="51" s="1"/>
  <c r="K21" i="51"/>
  <c r="R21" i="51" s="1"/>
  <c r="M22" i="51" s="1"/>
  <c r="S22" i="51" s="1"/>
  <c r="K25" i="51"/>
  <c r="R25" i="51" s="1"/>
  <c r="K30" i="51"/>
  <c r="R30" i="51" s="1"/>
  <c r="K8" i="51"/>
  <c r="R8" i="51" s="1"/>
  <c r="M7" i="51" s="1"/>
  <c r="S7" i="51" s="1"/>
  <c r="C167" i="53" l="1"/>
  <c r="C165" i="53"/>
  <c r="E165" i="53" s="1"/>
  <c r="C125" i="53"/>
  <c r="E127" i="53"/>
  <c r="C123" i="53"/>
  <c r="C107" i="53"/>
  <c r="E103" i="53" s="1"/>
  <c r="E125" i="53"/>
  <c r="C111" i="53"/>
  <c r="E129" i="53"/>
  <c r="E133" i="53" s="1"/>
  <c r="E123" i="53"/>
  <c r="E131" i="53" s="1"/>
  <c r="C149" i="53"/>
  <c r="C141" i="53"/>
  <c r="C115" i="53"/>
  <c r="C153" i="53"/>
  <c r="S30" i="53"/>
  <c r="M28" i="53"/>
  <c r="S28" i="53" s="1"/>
  <c r="C145" i="53"/>
  <c r="E145" i="53" s="1"/>
  <c r="C163" i="53"/>
  <c r="E163" i="53" s="1"/>
  <c r="M25" i="51"/>
  <c r="S25" i="51" s="1"/>
  <c r="M10" i="51"/>
  <c r="S10" i="51" s="1"/>
  <c r="M32" i="51"/>
  <c r="S32" i="51" s="1"/>
  <c r="M23" i="51"/>
  <c r="S23" i="51" s="1"/>
  <c r="M14" i="51"/>
  <c r="S14" i="51" s="1"/>
  <c r="M16" i="51"/>
  <c r="S16" i="51" s="1"/>
  <c r="M29" i="51"/>
  <c r="S29" i="51" s="1"/>
  <c r="M15" i="51"/>
  <c r="S15" i="51" s="1"/>
  <c r="M8" i="51"/>
  <c r="S8" i="51" s="1"/>
  <c r="M30" i="51"/>
  <c r="S30" i="51" s="1"/>
  <c r="M21" i="51"/>
  <c r="S21" i="51" s="1"/>
  <c r="M28" i="51"/>
  <c r="S28" i="51" s="1"/>
  <c r="M18" i="51"/>
  <c r="S18" i="51" s="1"/>
  <c r="M11" i="51"/>
  <c r="S11" i="51" s="1"/>
  <c r="M24" i="51"/>
  <c r="S24" i="51" s="1"/>
  <c r="M31" i="51"/>
  <c r="S31" i="51" s="1"/>
  <c r="M17" i="51"/>
  <c r="S17" i="51" s="1"/>
  <c r="M9" i="51"/>
  <c r="S9" i="51" s="1"/>
  <c r="E111" i="53" l="1"/>
  <c r="E107" i="53"/>
  <c r="E115" i="53"/>
  <c r="E167" i="53"/>
  <c r="E153" i="53"/>
  <c r="E128" i="53"/>
  <c r="G131" i="53"/>
  <c r="E105" i="53"/>
  <c r="E119" i="53"/>
  <c r="E113" i="53"/>
  <c r="G113" i="53" s="1"/>
  <c r="E149" i="53"/>
  <c r="E124" i="53"/>
  <c r="G124" i="53" s="1"/>
  <c r="G133" i="53"/>
  <c r="H135" i="53" s="1"/>
  <c r="E141" i="53"/>
  <c r="E161" i="53"/>
  <c r="E117" i="53"/>
  <c r="G117" i="53" s="1"/>
  <c r="E171" i="53"/>
  <c r="E166" i="53"/>
  <c r="G105" i="53" l="1"/>
  <c r="H109" i="53" s="1"/>
  <c r="H132" i="53"/>
  <c r="H114" i="53"/>
  <c r="B301" i="53" s="1"/>
  <c r="E162" i="53"/>
  <c r="G162" i="53" s="1"/>
  <c r="E169" i="53"/>
  <c r="G169" i="53" s="1"/>
  <c r="E155" i="53"/>
  <c r="E143" i="53"/>
  <c r="G128" i="53"/>
  <c r="H129" i="53" s="1"/>
  <c r="B300" i="53"/>
  <c r="E157" i="53"/>
  <c r="G157" i="53" s="1"/>
  <c r="E151" i="53"/>
  <c r="G151" i="53" s="1"/>
  <c r="G119" i="53"/>
  <c r="H118" i="53" s="1"/>
  <c r="B150" i="51"/>
  <c r="C165" i="51" s="1"/>
  <c r="E166" i="51" s="1"/>
  <c r="B148" i="51"/>
  <c r="C149" i="51" s="1"/>
  <c r="E157" i="51" s="1"/>
  <c r="B144" i="51"/>
  <c r="C145" i="51" s="1"/>
  <c r="B140" i="51"/>
  <c r="C161" i="51" s="1"/>
  <c r="B116" i="51"/>
  <c r="C115" i="51" s="1"/>
  <c r="E119" i="51" s="1"/>
  <c r="B114" i="51"/>
  <c r="C129" i="51" s="1"/>
  <c r="E133" i="51" s="1"/>
  <c r="B108" i="51"/>
  <c r="C107" i="51" s="1"/>
  <c r="B152" i="51"/>
  <c r="C153" i="51" s="1"/>
  <c r="E151" i="51" s="1"/>
  <c r="B146" i="51"/>
  <c r="C163" i="51" s="1"/>
  <c r="E162" i="51" s="1"/>
  <c r="B142" i="51"/>
  <c r="B112" i="51"/>
  <c r="C111" i="51" s="1"/>
  <c r="E113" i="51" s="1"/>
  <c r="B110" i="51"/>
  <c r="C127" i="51" s="1"/>
  <c r="E128" i="51" s="1"/>
  <c r="B106" i="51"/>
  <c r="C125" i="51" s="1"/>
  <c r="B104" i="51"/>
  <c r="B102" i="51"/>
  <c r="G171" i="53" l="1"/>
  <c r="H126" i="53"/>
  <c r="B302" i="53"/>
  <c r="G155" i="53"/>
  <c r="H121" i="53"/>
  <c r="G143" i="53"/>
  <c r="H173" i="53"/>
  <c r="H170" i="53"/>
  <c r="G166" i="53"/>
  <c r="H167" i="53" s="1"/>
  <c r="C123" i="51"/>
  <c r="E124" i="51" s="1"/>
  <c r="H164" i="53" l="1"/>
  <c r="B303" i="53"/>
  <c r="B307" i="53"/>
  <c r="H152" i="53"/>
  <c r="H147" i="53"/>
  <c r="H156" i="53"/>
  <c r="H159" i="53"/>
  <c r="B304" i="53"/>
  <c r="B306" i="53"/>
  <c r="B305" i="53"/>
  <c r="B314" i="53"/>
  <c r="C103" i="51"/>
  <c r="C141" i="51"/>
  <c r="B312" i="53" l="1"/>
  <c r="B315" i="53"/>
  <c r="B311" i="53"/>
  <c r="B310" i="53"/>
  <c r="B313" i="53"/>
  <c r="B309" i="53"/>
  <c r="B308" i="53"/>
  <c r="E117" i="51"/>
  <c r="E131" i="51"/>
  <c r="E105" i="51"/>
  <c r="E169" i="51" l="1"/>
  <c r="E143" i="51"/>
  <c r="E155" i="51"/>
  <c r="H132" i="51" l="1"/>
  <c r="H126" i="51"/>
  <c r="H129" i="51"/>
  <c r="H135" i="51"/>
  <c r="H118" i="51"/>
  <c r="H121" i="51"/>
  <c r="G169" i="51"/>
  <c r="H109" i="51"/>
  <c r="H114" i="51"/>
  <c r="B306" i="51" l="1"/>
  <c r="B307" i="51"/>
  <c r="B304" i="51"/>
  <c r="B302" i="51"/>
  <c r="B300" i="51"/>
  <c r="B305" i="51"/>
  <c r="B303" i="51"/>
  <c r="B301" i="51"/>
  <c r="H173" i="51"/>
  <c r="H170" i="51"/>
  <c r="H152" i="51"/>
  <c r="H147" i="51"/>
  <c r="B308" i="51" s="1"/>
  <c r="H167" i="51"/>
  <c r="H164" i="51"/>
  <c r="H159" i="51"/>
  <c r="H156" i="51"/>
  <c r="Z7" i="16" l="1"/>
  <c r="B313" i="51"/>
  <c r="B311" i="51"/>
  <c r="B309" i="51"/>
  <c r="B314" i="51"/>
  <c r="B312" i="51"/>
  <c r="B310" i="51"/>
  <c r="M16" i="7" l="1"/>
  <c r="M7" i="7"/>
  <c r="L39" i="7" l="1"/>
  <c r="M42" i="7"/>
  <c r="M23" i="7"/>
  <c r="K23" i="7"/>
  <c r="M13" i="7"/>
  <c r="O74" i="16" l="1"/>
  <c r="M74" i="16"/>
  <c r="Q74" i="16"/>
  <c r="E37" i="8" l="1"/>
  <c r="E36" i="8"/>
  <c r="E34" i="8"/>
  <c r="E22" i="8"/>
  <c r="AL74" i="16" l="1"/>
  <c r="AL75" i="16" l="1"/>
  <c r="I53" i="8"/>
  <c r="AE4" i="16" l="1"/>
  <c r="AD4" i="16"/>
  <c r="AC4" i="16"/>
  <c r="AB4" i="16"/>
  <c r="AA4" i="16"/>
  <c r="Z4" i="16"/>
  <c r="V45" i="16" l="1"/>
  <c r="N45" i="16"/>
  <c r="V53" i="16"/>
  <c r="N53" i="16"/>
  <c r="V19" i="16"/>
  <c r="N19" i="16"/>
  <c r="V54" i="16"/>
  <c r="N54" i="16"/>
  <c r="V34" i="16"/>
  <c r="N34" i="16"/>
  <c r="V51" i="16"/>
  <c r="N51" i="16"/>
  <c r="V15" i="16"/>
  <c r="V55" i="16"/>
  <c r="V69" i="16"/>
  <c r="N69" i="16"/>
  <c r="V17" i="16"/>
  <c r="V40" i="16"/>
  <c r="N40" i="16"/>
  <c r="V64" i="16"/>
  <c r="N64" i="16"/>
  <c r="V12" i="16"/>
  <c r="V59" i="16"/>
  <c r="N59" i="16"/>
  <c r="V57" i="16"/>
  <c r="N57" i="16"/>
  <c r="V22" i="16"/>
  <c r="N22" i="16"/>
  <c r="V41" i="16"/>
  <c r="V37" i="16"/>
  <c r="N37" i="16"/>
  <c r="V16" i="16"/>
  <c r="N16" i="16"/>
  <c r="V38" i="16"/>
  <c r="N38" i="16"/>
  <c r="V26" i="16"/>
  <c r="N26" i="16"/>
  <c r="V25" i="16"/>
  <c r="N25" i="16"/>
  <c r="V29" i="16"/>
  <c r="N29" i="16"/>
  <c r="V48" i="16"/>
  <c r="N48" i="16"/>
  <c r="V31" i="16"/>
  <c r="N31" i="16"/>
  <c r="V43" i="16"/>
  <c r="N43" i="16"/>
  <c r="V32" i="16"/>
  <c r="N32" i="16"/>
  <c r="V47" i="16"/>
  <c r="V20" i="16"/>
  <c r="N20" i="16"/>
  <c r="V28" i="16"/>
  <c r="N28" i="16"/>
  <c r="V21" i="16"/>
  <c r="N21" i="16"/>
  <c r="V24" i="16"/>
  <c r="N24" i="16"/>
  <c r="V35" i="16"/>
  <c r="N35" i="16"/>
  <c r="V23" i="16"/>
  <c r="N23" i="16"/>
  <c r="V42" i="16"/>
  <c r="N42" i="16"/>
  <c r="V39" i="16"/>
  <c r="N39" i="16"/>
  <c r="V8" i="16"/>
  <c r="N8" i="16"/>
  <c r="V27" i="16"/>
  <c r="N27" i="16"/>
  <c r="V13" i="16"/>
  <c r="N13" i="16"/>
  <c r="V11" i="16"/>
  <c r="N11" i="16"/>
  <c r="V30" i="16"/>
  <c r="N30" i="16"/>
  <c r="V44" i="16"/>
  <c r="V18" i="16"/>
  <c r="N18" i="16"/>
  <c r="V14" i="16"/>
  <c r="N14" i="16"/>
  <c r="V33" i="16"/>
  <c r="N33" i="16"/>
  <c r="V7" i="16"/>
  <c r="N7" i="16"/>
  <c r="V10" i="16"/>
  <c r="N10" i="16"/>
  <c r="AR74" i="16"/>
  <c r="I48" i="8" s="1"/>
  <c r="V9" i="16"/>
  <c r="N9" i="16"/>
  <c r="AR6" i="16"/>
  <c r="AL6" i="16"/>
  <c r="AK6" i="16"/>
  <c r="AJ6" i="16"/>
  <c r="AI6" i="16"/>
  <c r="AH6" i="16"/>
  <c r="AG6" i="16"/>
  <c r="AF6" i="16"/>
  <c r="AE6" i="16"/>
  <c r="AD6" i="16"/>
  <c r="AC6" i="16"/>
  <c r="AB6" i="16"/>
  <c r="AA6" i="16"/>
  <c r="Z6" i="16"/>
  <c r="AY52" i="16" l="1"/>
  <c r="AY66" i="16"/>
  <c r="AY56" i="16"/>
  <c r="AY61" i="16"/>
  <c r="BA52" i="16"/>
  <c r="BA61" i="16"/>
  <c r="BA66" i="16"/>
  <c r="BA56" i="16"/>
  <c r="BC52" i="16"/>
  <c r="BC61" i="16"/>
  <c r="BC66" i="16"/>
  <c r="BC56" i="16"/>
  <c r="BE52" i="16"/>
  <c r="BE66" i="16"/>
  <c r="BE56" i="16"/>
  <c r="BE61" i="16"/>
  <c r="BG52" i="16"/>
  <c r="BG66" i="16"/>
  <c r="BG61" i="16"/>
  <c r="BG56" i="16"/>
  <c r="BI52" i="16"/>
  <c r="BI61" i="16"/>
  <c r="BI56" i="16"/>
  <c r="BI66" i="16"/>
  <c r="AX52" i="16"/>
  <c r="AX66" i="16"/>
  <c r="AX61" i="16"/>
  <c r="AX56" i="16"/>
  <c r="BB52" i="16"/>
  <c r="BB66" i="16"/>
  <c r="BB61" i="16"/>
  <c r="BB56" i="16"/>
  <c r="BD52" i="16"/>
  <c r="BD61" i="16"/>
  <c r="BD56" i="16"/>
  <c r="BD66" i="16"/>
  <c r="BF52" i="16"/>
  <c r="BF61" i="16"/>
  <c r="BF66" i="16"/>
  <c r="BF56" i="16"/>
  <c r="BH66" i="16"/>
  <c r="BH61" i="16"/>
  <c r="BH56" i="16"/>
  <c r="BH52" i="16"/>
  <c r="BJ52" i="16"/>
  <c r="BJ66" i="16"/>
  <c r="BJ61" i="16"/>
  <c r="BJ56" i="16"/>
  <c r="BB60" i="16"/>
  <c r="BB70" i="16"/>
  <c r="BB73" i="16"/>
  <c r="BB68" i="16"/>
  <c r="BB50" i="16"/>
  <c r="BB49" i="16"/>
  <c r="AY60" i="16"/>
  <c r="AY70" i="16"/>
  <c r="AY73" i="16"/>
  <c r="AY68" i="16"/>
  <c r="AY49" i="16"/>
  <c r="AY50" i="16"/>
  <c r="BA60" i="16"/>
  <c r="BA70" i="16"/>
  <c r="BA73" i="16"/>
  <c r="BA68" i="16"/>
  <c r="BA50" i="16"/>
  <c r="BA49" i="16"/>
  <c r="BC60" i="16"/>
  <c r="BC70" i="16"/>
  <c r="BC73" i="16"/>
  <c r="BC68" i="16"/>
  <c r="BC50" i="16"/>
  <c r="BC49" i="16"/>
  <c r="BE60" i="16"/>
  <c r="BE70" i="16"/>
  <c r="BE73" i="16"/>
  <c r="BE68" i="16"/>
  <c r="BE49" i="16"/>
  <c r="BE50" i="16"/>
  <c r="BG60" i="16"/>
  <c r="BG70" i="16"/>
  <c r="BG73" i="16"/>
  <c r="BG68" i="16"/>
  <c r="BG49" i="16"/>
  <c r="BG50" i="16"/>
  <c r="BI60" i="16"/>
  <c r="BI70" i="16"/>
  <c r="BI73" i="16"/>
  <c r="BI68" i="16"/>
  <c r="BI49" i="16"/>
  <c r="BI50" i="16"/>
  <c r="AX60" i="16"/>
  <c r="AX70" i="16"/>
  <c r="AX73" i="16"/>
  <c r="AX68" i="16"/>
  <c r="AX49" i="16"/>
  <c r="AX50" i="16"/>
  <c r="BD60" i="16"/>
  <c r="BD70" i="16"/>
  <c r="BD73" i="16"/>
  <c r="BD49" i="16"/>
  <c r="BD50" i="16"/>
  <c r="BD68" i="16"/>
  <c r="BF60" i="16"/>
  <c r="BF73" i="16"/>
  <c r="BF70" i="16"/>
  <c r="BF68" i="16"/>
  <c r="BF49" i="16"/>
  <c r="BF50" i="16"/>
  <c r="BH60" i="16"/>
  <c r="BH73" i="16"/>
  <c r="BH70" i="16"/>
  <c r="BH68" i="16"/>
  <c r="BH49" i="16"/>
  <c r="BH50" i="16"/>
  <c r="BJ11" i="16"/>
  <c r="BJ60" i="16"/>
  <c r="BJ73" i="16"/>
  <c r="BJ70" i="16"/>
  <c r="BJ68" i="16"/>
  <c r="BJ49" i="16"/>
  <c r="BJ50" i="16"/>
  <c r="BJ33" i="16"/>
  <c r="AY63" i="16"/>
  <c r="AY46" i="16"/>
  <c r="AY36" i="16"/>
  <c r="AY62" i="16"/>
  <c r="AY71" i="16"/>
  <c r="AY67" i="16"/>
  <c r="AY72" i="16"/>
  <c r="AY58" i="16"/>
  <c r="AY65" i="16"/>
  <c r="BA63" i="16"/>
  <c r="BA46" i="16"/>
  <c r="BA72" i="16"/>
  <c r="BA71" i="16"/>
  <c r="BA62" i="16"/>
  <c r="BA58" i="16"/>
  <c r="BA67" i="16"/>
  <c r="BA65" i="16"/>
  <c r="BA36" i="16"/>
  <c r="BC63" i="16"/>
  <c r="BC46" i="16"/>
  <c r="BC72" i="16"/>
  <c r="BC58" i="16"/>
  <c r="BC67" i="16"/>
  <c r="BC71" i="16"/>
  <c r="BC62" i="16"/>
  <c r="BC36" i="16"/>
  <c r="BC65" i="16"/>
  <c r="BE63" i="16"/>
  <c r="BE46" i="16"/>
  <c r="BE72" i="16"/>
  <c r="BE58" i="16"/>
  <c r="BE71" i="16"/>
  <c r="BE62" i="16"/>
  <c r="BE67" i="16"/>
  <c r="BE65" i="16"/>
  <c r="BE36" i="16"/>
  <c r="BG63" i="16"/>
  <c r="BG46" i="16"/>
  <c r="BG71" i="16"/>
  <c r="BG72" i="16"/>
  <c r="BG67" i="16"/>
  <c r="BG58" i="16"/>
  <c r="BG62" i="16"/>
  <c r="BG36" i="16"/>
  <c r="BG65" i="16"/>
  <c r="BI63" i="16"/>
  <c r="BI46" i="16"/>
  <c r="BI72" i="16"/>
  <c r="BI58" i="16"/>
  <c r="BI62" i="16"/>
  <c r="BI71" i="16"/>
  <c r="BI67" i="16"/>
  <c r="BI65" i="16"/>
  <c r="BI36" i="16"/>
  <c r="AX63" i="16"/>
  <c r="AX46" i="16"/>
  <c r="AX67" i="16"/>
  <c r="AX62" i="16"/>
  <c r="AX58" i="16"/>
  <c r="AX72" i="16"/>
  <c r="AX71" i="16"/>
  <c r="AX36" i="16"/>
  <c r="AX65" i="16"/>
  <c r="BB46" i="16"/>
  <c r="BB63" i="16"/>
  <c r="BB67" i="16"/>
  <c r="BB72" i="16"/>
  <c r="BB71" i="16"/>
  <c r="BB62" i="16"/>
  <c r="BB58" i="16"/>
  <c r="BB65" i="16"/>
  <c r="BB36" i="16"/>
  <c r="BD46" i="16"/>
  <c r="BD63" i="16"/>
  <c r="BD72" i="16"/>
  <c r="BD62" i="16"/>
  <c r="BD67" i="16"/>
  <c r="BD58" i="16"/>
  <c r="BD71" i="16"/>
  <c r="BD36" i="16"/>
  <c r="BD65" i="16"/>
  <c r="BF46" i="16"/>
  <c r="BF63" i="16"/>
  <c r="BF72" i="16"/>
  <c r="BF71" i="16"/>
  <c r="BF62" i="16"/>
  <c r="BF67" i="16"/>
  <c r="BF58" i="16"/>
  <c r="BF36" i="16"/>
  <c r="BF65" i="16"/>
  <c r="BH46" i="16"/>
  <c r="BH63" i="16"/>
  <c r="BH72" i="16"/>
  <c r="BH62" i="16"/>
  <c r="BH67" i="16"/>
  <c r="BH58" i="16"/>
  <c r="BH71" i="16"/>
  <c r="BH36" i="16"/>
  <c r="BH65" i="16"/>
  <c r="BJ27" i="16"/>
  <c r="BJ46" i="16"/>
  <c r="BJ63" i="16"/>
  <c r="BJ67" i="16"/>
  <c r="BJ72" i="16"/>
  <c r="BJ71" i="16"/>
  <c r="BJ62" i="16"/>
  <c r="BJ58" i="16"/>
  <c r="BJ36" i="16"/>
  <c r="BJ65" i="16"/>
  <c r="BJ39" i="16"/>
  <c r="N74" i="16"/>
  <c r="AR75" i="16"/>
  <c r="BJ14" i="16"/>
  <c r="BJ18" i="16"/>
  <c r="BJ44" i="16"/>
  <c r="BJ13" i="16"/>
  <c r="BJ23" i="16"/>
  <c r="BJ24" i="16"/>
  <c r="BJ28" i="16"/>
  <c r="BJ43" i="16"/>
  <c r="BJ48" i="16"/>
  <c r="BJ29" i="16"/>
  <c r="BJ37" i="16"/>
  <c r="BJ41" i="16"/>
  <c r="BJ38" i="16"/>
  <c r="BJ10" i="16"/>
  <c r="BJ7" i="16"/>
  <c r="BJ30" i="16"/>
  <c r="BJ8" i="16"/>
  <c r="BJ42" i="16"/>
  <c r="BJ35" i="16"/>
  <c r="BJ21" i="16"/>
  <c r="BJ20" i="16"/>
  <c r="BJ47" i="16"/>
  <c r="BJ32" i="16"/>
  <c r="BJ31" i="16"/>
  <c r="BJ25" i="16"/>
  <c r="BJ26" i="16"/>
  <c r="BJ57" i="16"/>
  <c r="BJ59" i="16"/>
  <c r="BJ12" i="16"/>
  <c r="BJ40" i="16"/>
  <c r="I33" i="8"/>
  <c r="BJ9" i="16"/>
  <c r="BJ16" i="16"/>
  <c r="BJ22" i="16"/>
  <c r="BJ64" i="16"/>
  <c r="BJ17" i="16"/>
  <c r="BJ69" i="16"/>
  <c r="BJ55" i="16"/>
  <c r="BJ15" i="16"/>
  <c r="BJ51" i="16"/>
  <c r="BJ54" i="16"/>
  <c r="BJ34" i="16"/>
  <c r="BJ19" i="16"/>
  <c r="BJ45" i="16"/>
  <c r="BJ53" i="16"/>
  <c r="L2" i="7"/>
  <c r="F37" i="8"/>
  <c r="F36" i="8"/>
  <c r="F35" i="8"/>
  <c r="E35" i="8"/>
  <c r="F33" i="8"/>
  <c r="F29" i="8"/>
  <c r="A1" i="68" s="1"/>
  <c r="F34" i="8"/>
  <c r="F22" i="8"/>
  <c r="F14" i="8"/>
  <c r="A1" i="61" s="1"/>
  <c r="F13" i="8"/>
  <c r="F12" i="8"/>
  <c r="A1" i="59" s="1"/>
  <c r="F10" i="8"/>
  <c r="A1" i="58" s="1"/>
  <c r="F9" i="8"/>
  <c r="F7" i="8"/>
  <c r="A1" i="69" s="1"/>
  <c r="F5" i="8"/>
  <c r="A1" i="51" s="1"/>
  <c r="G1" i="8"/>
  <c r="A1" i="60" l="1"/>
  <c r="A1" i="57"/>
  <c r="A1" i="50"/>
  <c r="A1" i="53"/>
  <c r="A1" i="55"/>
  <c r="B300" i="61"/>
  <c r="B304" i="61"/>
  <c r="B308" i="61"/>
  <c r="B301" i="61"/>
  <c r="B305" i="61"/>
  <c r="B309" i="61"/>
  <c r="B302" i="61"/>
  <c r="B306" i="61"/>
  <c r="B310" i="61"/>
  <c r="B303" i="61"/>
  <c r="B307" i="61"/>
  <c r="B311" i="61"/>
  <c r="AX10" i="16"/>
  <c r="AX7" i="16"/>
  <c r="AX33" i="16"/>
  <c r="AX14" i="16"/>
  <c r="AX18" i="16"/>
  <c r="AX44" i="16"/>
  <c r="AX30" i="16"/>
  <c r="AX11" i="16"/>
  <c r="AX13" i="16"/>
  <c r="AX27" i="16"/>
  <c r="AX8" i="16"/>
  <c r="AX39" i="16"/>
  <c r="AX42" i="16"/>
  <c r="AX23" i="16"/>
  <c r="AX35" i="16"/>
  <c r="AX21" i="16"/>
  <c r="AX28" i="16"/>
  <c r="AX47" i="16"/>
  <c r="AX43" i="16"/>
  <c r="AX48" i="16"/>
  <c r="AX25" i="16"/>
  <c r="AX38" i="16"/>
  <c r="AX37" i="16"/>
  <c r="AX22" i="16"/>
  <c r="AX57" i="16"/>
  <c r="AX64" i="16"/>
  <c r="AX17" i="16"/>
  <c r="AX15" i="16"/>
  <c r="AX51" i="16"/>
  <c r="AX34" i="16"/>
  <c r="AX45" i="16"/>
  <c r="AX24" i="16"/>
  <c r="AX20" i="16"/>
  <c r="AX32" i="16"/>
  <c r="AX31" i="16"/>
  <c r="AX29" i="16"/>
  <c r="AX26" i="16"/>
  <c r="AX16" i="16"/>
  <c r="AX41" i="16"/>
  <c r="AX59" i="16"/>
  <c r="AX12" i="16"/>
  <c r="AX40" i="16"/>
  <c r="AX69" i="16"/>
  <c r="AX55" i="16"/>
  <c r="AX54" i="16"/>
  <c r="AX19" i="16"/>
  <c r="AX53" i="16"/>
  <c r="B312" i="50" l="1"/>
  <c r="B301" i="50"/>
  <c r="B303" i="50"/>
  <c r="B305" i="50"/>
  <c r="B307" i="50"/>
  <c r="B309" i="50"/>
  <c r="B311" i="50"/>
  <c r="B300" i="50"/>
  <c r="B302" i="50"/>
  <c r="B304" i="50"/>
  <c r="B306" i="50"/>
  <c r="B308" i="50"/>
  <c r="B310" i="50"/>
  <c r="B304" i="57"/>
  <c r="B303" i="57"/>
  <c r="B311" i="57"/>
  <c r="B310" i="57"/>
  <c r="B301" i="57"/>
  <c r="B309" i="57"/>
  <c r="B306" i="57"/>
  <c r="B312" i="57"/>
  <c r="B307" i="57"/>
  <c r="B302" i="57"/>
  <c r="B308" i="57"/>
  <c r="B305" i="57"/>
  <c r="B300" i="57"/>
  <c r="BC10" i="16"/>
  <c r="BC18" i="16"/>
  <c r="BC13" i="16"/>
  <c r="BC42" i="16"/>
  <c r="BC21" i="16"/>
  <c r="BC32" i="16"/>
  <c r="BC29" i="16"/>
  <c r="BC16" i="16"/>
  <c r="BC12" i="16"/>
  <c r="BC14" i="16"/>
  <c r="BC11" i="16"/>
  <c r="BC39" i="16"/>
  <c r="BC24" i="16"/>
  <c r="BC47" i="16"/>
  <c r="BC48" i="16"/>
  <c r="BC38" i="16"/>
  <c r="BC22" i="16"/>
  <c r="BC15" i="16"/>
  <c r="BC34" i="16"/>
  <c r="BC45" i="16"/>
  <c r="BC55" i="16"/>
  <c r="BC53" i="16"/>
  <c r="BC33" i="16"/>
  <c r="BC30" i="16"/>
  <c r="BC8" i="16"/>
  <c r="BC35" i="16"/>
  <c r="BC31" i="16"/>
  <c r="BC41" i="16"/>
  <c r="BC40" i="16"/>
  <c r="BC44" i="16"/>
  <c r="BC23" i="16"/>
  <c r="BC43" i="16"/>
  <c r="BC37" i="16"/>
  <c r="BC64" i="16"/>
  <c r="BC51" i="16"/>
  <c r="BC69" i="16"/>
  <c r="BC54" i="16"/>
  <c r="BC19" i="16"/>
  <c r="BC20" i="16"/>
  <c r="BC26" i="16"/>
  <c r="BC59" i="16"/>
  <c r="BC7" i="16"/>
  <c r="BC27" i="16"/>
  <c r="BC28" i="16"/>
  <c r="BC25" i="16"/>
  <c r="BC57" i="16"/>
  <c r="BC17" i="16"/>
  <c r="BB44" i="16"/>
  <c r="BB27" i="16"/>
  <c r="BB23" i="16"/>
  <c r="BB28" i="16"/>
  <c r="BB43" i="16"/>
  <c r="BB25" i="16"/>
  <c r="BB37" i="16"/>
  <c r="BB57" i="16"/>
  <c r="BB64" i="16"/>
  <c r="BB17" i="16"/>
  <c r="BB33" i="16"/>
  <c r="BB30" i="16"/>
  <c r="BB8" i="16"/>
  <c r="BB35" i="16"/>
  <c r="BB20" i="16"/>
  <c r="BB31" i="16"/>
  <c r="BB26" i="16"/>
  <c r="BB41" i="16"/>
  <c r="BB59" i="16"/>
  <c r="BB40" i="16"/>
  <c r="BB55" i="16"/>
  <c r="BB53" i="16"/>
  <c r="BB15" i="16"/>
  <c r="BB34" i="16"/>
  <c r="BB45" i="16"/>
  <c r="BB14" i="16"/>
  <c r="BB11" i="16"/>
  <c r="BB39" i="16"/>
  <c r="BB24" i="16"/>
  <c r="BB47" i="16"/>
  <c r="BB48" i="16"/>
  <c r="BB38" i="16"/>
  <c r="BB22" i="16"/>
  <c r="BB10" i="16"/>
  <c r="BB18" i="16"/>
  <c r="BB13" i="16"/>
  <c r="BB42" i="16"/>
  <c r="BB21" i="16"/>
  <c r="BB32" i="16"/>
  <c r="BB29" i="16"/>
  <c r="BB16" i="16"/>
  <c r="BB12" i="16"/>
  <c r="BB69" i="16"/>
  <c r="BB54" i="16"/>
  <c r="BB19" i="16"/>
  <c r="BB51" i="16"/>
  <c r="BH10" i="16"/>
  <c r="BH18" i="16"/>
  <c r="BH13" i="16"/>
  <c r="BH42" i="16"/>
  <c r="BH21" i="16"/>
  <c r="BH32" i="16"/>
  <c r="BH29" i="16"/>
  <c r="BH16" i="16"/>
  <c r="BH12" i="16"/>
  <c r="BH69" i="16"/>
  <c r="BH54" i="16"/>
  <c r="BH19" i="16"/>
  <c r="BH14" i="16"/>
  <c r="BH11" i="16"/>
  <c r="BH39" i="16"/>
  <c r="BH24" i="16"/>
  <c r="BH47" i="16"/>
  <c r="BH48" i="16"/>
  <c r="BH38" i="16"/>
  <c r="BH22" i="16"/>
  <c r="BH15" i="16"/>
  <c r="BH34" i="16"/>
  <c r="BH45" i="16"/>
  <c r="BH33" i="16"/>
  <c r="BH30" i="16"/>
  <c r="BH8" i="16"/>
  <c r="BH35" i="16"/>
  <c r="BH20" i="16"/>
  <c r="BH31" i="16"/>
  <c r="BH26" i="16"/>
  <c r="BH41" i="16"/>
  <c r="BH59" i="16"/>
  <c r="BH40" i="16"/>
  <c r="BH55" i="16"/>
  <c r="BH53" i="16"/>
  <c r="BH7" i="16"/>
  <c r="BH44" i="16"/>
  <c r="BH27" i="16"/>
  <c r="BH23" i="16"/>
  <c r="BH28" i="16"/>
  <c r="BH43" i="16"/>
  <c r="BH25" i="16"/>
  <c r="BH37" i="16"/>
  <c r="BH57" i="16"/>
  <c r="BH64" i="16"/>
  <c r="BH17" i="16"/>
  <c r="BH51" i="16"/>
  <c r="BE10" i="16"/>
  <c r="BE18" i="16"/>
  <c r="BE13" i="16"/>
  <c r="BE42" i="16"/>
  <c r="BE33" i="16"/>
  <c r="BE8" i="16"/>
  <c r="BE21" i="16"/>
  <c r="BE32" i="16"/>
  <c r="BE29" i="16"/>
  <c r="BE16" i="16"/>
  <c r="BE12" i="16"/>
  <c r="BE69" i="16"/>
  <c r="BE54" i="16"/>
  <c r="BE19" i="16"/>
  <c r="BE14" i="16"/>
  <c r="BE11" i="16"/>
  <c r="BE39" i="16"/>
  <c r="BE24" i="16"/>
  <c r="BE47" i="16"/>
  <c r="BE48" i="16"/>
  <c r="BE38" i="16"/>
  <c r="BE22" i="16"/>
  <c r="BE15" i="16"/>
  <c r="BE34" i="16"/>
  <c r="BE45" i="16"/>
  <c r="BE30" i="16"/>
  <c r="BE35" i="16"/>
  <c r="BE20" i="16"/>
  <c r="BE31" i="16"/>
  <c r="BE26" i="16"/>
  <c r="BE41" i="16"/>
  <c r="BE59" i="16"/>
  <c r="BE40" i="16"/>
  <c r="BE55" i="16"/>
  <c r="BE53" i="16"/>
  <c r="BE7" i="16"/>
  <c r="BE44" i="16"/>
  <c r="BE27" i="16"/>
  <c r="BE23" i="16"/>
  <c r="BE28" i="16"/>
  <c r="BE43" i="16"/>
  <c r="BE25" i="16"/>
  <c r="BE37" i="16"/>
  <c r="BE57" i="16"/>
  <c r="BE64" i="16"/>
  <c r="BE17" i="16"/>
  <c r="BE51" i="16"/>
  <c r="BD7" i="16"/>
  <c r="BD44" i="16"/>
  <c r="BD27" i="16"/>
  <c r="BD23" i="16"/>
  <c r="BD28" i="16"/>
  <c r="BD43" i="16"/>
  <c r="BD25" i="16"/>
  <c r="BD37" i="16"/>
  <c r="BD57" i="16"/>
  <c r="BD11" i="16"/>
  <c r="BD24" i="16"/>
  <c r="BD48" i="16"/>
  <c r="BD22" i="16"/>
  <c r="BD64" i="16"/>
  <c r="BD17" i="16"/>
  <c r="BD33" i="16"/>
  <c r="BD30" i="16"/>
  <c r="BD8" i="16"/>
  <c r="BD35" i="16"/>
  <c r="BD20" i="16"/>
  <c r="BD31" i="16"/>
  <c r="BD26" i="16"/>
  <c r="BD41" i="16"/>
  <c r="BD59" i="16"/>
  <c r="BD69" i="16"/>
  <c r="BD54" i="16"/>
  <c r="BD19" i="16"/>
  <c r="BD40" i="16"/>
  <c r="BD15" i="16"/>
  <c r="BD34" i="16"/>
  <c r="BD45" i="16"/>
  <c r="BD14" i="16"/>
  <c r="BD39" i="16"/>
  <c r="BD47" i="16"/>
  <c r="BD38" i="16"/>
  <c r="BD10" i="16"/>
  <c r="BD18" i="16"/>
  <c r="BD13" i="16"/>
  <c r="BD42" i="16"/>
  <c r="BD21" i="16"/>
  <c r="BD32" i="16"/>
  <c r="BD29" i="16"/>
  <c r="BD16" i="16"/>
  <c r="BD55" i="16"/>
  <c r="BD53" i="16"/>
  <c r="BD12" i="16"/>
  <c r="BD51" i="16"/>
  <c r="BF10" i="16"/>
  <c r="BF33" i="16"/>
  <c r="BF18" i="16"/>
  <c r="BF30" i="16"/>
  <c r="BF13" i="16"/>
  <c r="BF8" i="16"/>
  <c r="BF42" i="16"/>
  <c r="BF24" i="16"/>
  <c r="BF20" i="16"/>
  <c r="BF31" i="16"/>
  <c r="BF26" i="16"/>
  <c r="BF41" i="16"/>
  <c r="BF59" i="16"/>
  <c r="BF40" i="16"/>
  <c r="BF55" i="16"/>
  <c r="BF53" i="16"/>
  <c r="BF28" i="16"/>
  <c r="BF43" i="16"/>
  <c r="BF25" i="16"/>
  <c r="BF37" i="16"/>
  <c r="BF57" i="16"/>
  <c r="BF64" i="16"/>
  <c r="BF17" i="16"/>
  <c r="BF51" i="16"/>
  <c r="BF7" i="16"/>
  <c r="BF14" i="16"/>
  <c r="BF44" i="16"/>
  <c r="BF11" i="16"/>
  <c r="BF27" i="16"/>
  <c r="BF39" i="16"/>
  <c r="BF23" i="16"/>
  <c r="BF21" i="16"/>
  <c r="BF32" i="16"/>
  <c r="BF29" i="16"/>
  <c r="BF16" i="16"/>
  <c r="BF12" i="16"/>
  <c r="BF69" i="16"/>
  <c r="BF54" i="16"/>
  <c r="BF19" i="16"/>
  <c r="BF35" i="16"/>
  <c r="BF47" i="16"/>
  <c r="BF48" i="16"/>
  <c r="BF22" i="16"/>
  <c r="BF15" i="16"/>
  <c r="BF45" i="16"/>
  <c r="BF38" i="16"/>
  <c r="BF34" i="16"/>
  <c r="Z74" i="16"/>
  <c r="AX9" i="16"/>
  <c r="AB8" i="16" l="1"/>
  <c r="R8" i="16" s="1" a="1"/>
  <c r="R8" i="16" s="1"/>
  <c r="AI14" i="80" s="1"/>
  <c r="AB10" i="16"/>
  <c r="R10" i="16" s="1" a="1"/>
  <c r="R10" i="16" s="1"/>
  <c r="AG8" i="80" s="1"/>
  <c r="AB13" i="16"/>
  <c r="R13" i="16" s="1" a="1"/>
  <c r="R13" i="16" s="1"/>
  <c r="AB15" i="16"/>
  <c r="R15" i="16" s="1" a="1"/>
  <c r="R15" i="16" s="1"/>
  <c r="AB14" i="16"/>
  <c r="R14" i="16" s="1" a="1"/>
  <c r="R14" i="16" s="1"/>
  <c r="AE9" i="80" s="1"/>
  <c r="AB19" i="16"/>
  <c r="R19" i="16" s="1" a="1"/>
  <c r="R19" i="16" s="1"/>
  <c r="AB22" i="16"/>
  <c r="R22" i="16" s="1" a="1"/>
  <c r="R22" i="16" s="1"/>
  <c r="AB27" i="16"/>
  <c r="R27" i="16" s="1" a="1"/>
  <c r="R27" i="16" s="1"/>
  <c r="AB20" i="16"/>
  <c r="R20" i="16" s="1" a="1"/>
  <c r="R20" i="16" s="1"/>
  <c r="AE12" i="80" s="1"/>
  <c r="AB30" i="16"/>
  <c r="R30" i="16" s="1" a="1"/>
  <c r="R30" i="16" s="1"/>
  <c r="AB26" i="16"/>
  <c r="R26" i="16" s="1" a="1"/>
  <c r="R26" i="16" s="1"/>
  <c r="AG11" i="80" s="1"/>
  <c r="AB28" i="16"/>
  <c r="R28" i="16" s="1" a="1"/>
  <c r="R28" i="16" s="1"/>
  <c r="AG13" i="80" s="1"/>
  <c r="AB33" i="16"/>
  <c r="R33" i="16" s="1" a="1"/>
  <c r="R33" i="16" s="1"/>
  <c r="AB36" i="16"/>
  <c r="R36" i="16" s="1" a="1"/>
  <c r="R36" i="16" s="1"/>
  <c r="AB35" i="16"/>
  <c r="R35" i="16" s="1" a="1"/>
  <c r="R35" i="16" s="1"/>
  <c r="AG15" i="80" s="1"/>
  <c r="AB9" i="16"/>
  <c r="R9" i="16" s="1" a="1"/>
  <c r="R9" i="16" s="1"/>
  <c r="AE8" i="80" s="1"/>
  <c r="AD8" i="80" s="1"/>
  <c r="AB12" i="16"/>
  <c r="R12" i="16" s="1" a="1"/>
  <c r="R12" i="16" s="1"/>
  <c r="AE7" i="80" s="1"/>
  <c r="AB11" i="16"/>
  <c r="R11" i="16" s="1" a="1"/>
  <c r="R11" i="16" s="1"/>
  <c r="AG7" i="80" s="1"/>
  <c r="AB16" i="16"/>
  <c r="R16" i="16" s="1" a="1"/>
  <c r="R16" i="16" s="1"/>
  <c r="AB18" i="16"/>
  <c r="R18" i="16" s="1" a="1"/>
  <c r="R18" i="16" s="1"/>
  <c r="AB17" i="16"/>
  <c r="R17" i="16" s="1" a="1"/>
  <c r="R17" i="16" s="1"/>
  <c r="AG10" i="80" s="1"/>
  <c r="AB24" i="16"/>
  <c r="R24" i="16" s="1" a="1"/>
  <c r="R24" i="16" s="1"/>
  <c r="AE13" i="80" s="1"/>
  <c r="AD13" i="80" s="1"/>
  <c r="AB23" i="16"/>
  <c r="R23" i="16" s="1" a="1"/>
  <c r="R23" i="16" s="1"/>
  <c r="AI16" i="80" s="1"/>
  <c r="AB21" i="16"/>
  <c r="R21" i="16" s="1" a="1"/>
  <c r="R21" i="16" s="1"/>
  <c r="AG9" i="80" s="1"/>
  <c r="AB25" i="16"/>
  <c r="R25" i="16" s="1" a="1"/>
  <c r="R25" i="16" s="1"/>
  <c r="AE11" i="80" s="1"/>
  <c r="AD11" i="80" s="1"/>
  <c r="AB29" i="16"/>
  <c r="R29" i="16" s="1" a="1"/>
  <c r="R29" i="16" s="1"/>
  <c r="AE16" i="80" s="1"/>
  <c r="AB31" i="16"/>
  <c r="R31" i="16" s="1" a="1"/>
  <c r="R31" i="16" s="1"/>
  <c r="AB34" i="16"/>
  <c r="R34" i="16" s="1" a="1"/>
  <c r="R34" i="16" s="1"/>
  <c r="AB32" i="16"/>
  <c r="R32" i="16" s="1" a="1"/>
  <c r="R32" i="16" s="1"/>
  <c r="AE10" i="80" s="1"/>
  <c r="AD10" i="80" s="1"/>
  <c r="AB42" i="16"/>
  <c r="R42" i="16" s="1" a="1"/>
  <c r="R42" i="16" s="1"/>
  <c r="AB44" i="16"/>
  <c r="R44" i="16" s="1" a="1"/>
  <c r="R44" i="16" s="1"/>
  <c r="AB37" i="16"/>
  <c r="R37" i="16" s="1" a="1"/>
  <c r="R37" i="16" s="1"/>
  <c r="AK14" i="80" s="1"/>
  <c r="AB46" i="16"/>
  <c r="R46" i="16" s="1" a="1"/>
  <c r="R46" i="16" s="1"/>
  <c r="AB40" i="16"/>
  <c r="R40" i="16" s="1" a="1"/>
  <c r="R40" i="16" s="1"/>
  <c r="AG12" i="80" s="1"/>
  <c r="AB48" i="16"/>
  <c r="R48" i="16" s="1" a="1"/>
  <c r="R48" i="16" s="1"/>
  <c r="AB50" i="16"/>
  <c r="R50" i="16" s="1" a="1"/>
  <c r="R50" i="16" s="1"/>
  <c r="AB52" i="16"/>
  <c r="AB54" i="16"/>
  <c r="R54" i="16" s="1" a="1"/>
  <c r="R54" i="16" s="1"/>
  <c r="AB56" i="16"/>
  <c r="R56" i="16" s="1" a="1"/>
  <c r="R56" i="16" s="1"/>
  <c r="AB58" i="16"/>
  <c r="R58" i="16" s="1" a="1"/>
  <c r="R58" i="16" s="1"/>
  <c r="AB60" i="16"/>
  <c r="R60" i="16" s="1" a="1"/>
  <c r="R60" i="16" s="1"/>
  <c r="AB62" i="16"/>
  <c r="R62" i="16" s="1" a="1"/>
  <c r="R62" i="16" s="1"/>
  <c r="AB64" i="16"/>
  <c r="R64" i="16" s="1" a="1"/>
  <c r="R64" i="16" s="1"/>
  <c r="AB41" i="16"/>
  <c r="R41" i="16" s="1" a="1"/>
  <c r="R41" i="16" s="1"/>
  <c r="AB43" i="16"/>
  <c r="R43" i="16" s="1" a="1"/>
  <c r="R43" i="16" s="1"/>
  <c r="AB38" i="16"/>
  <c r="R38" i="16" s="1" a="1"/>
  <c r="R38" i="16" s="1"/>
  <c r="AK16" i="80" s="1"/>
  <c r="AB45" i="16"/>
  <c r="R45" i="16" s="1" a="1"/>
  <c r="R45" i="16" s="1"/>
  <c r="AB39" i="16"/>
  <c r="R39" i="16" s="1" a="1"/>
  <c r="R39" i="16" s="1"/>
  <c r="AE15" i="80" s="1"/>
  <c r="AD15" i="80" s="1"/>
  <c r="AB47" i="16"/>
  <c r="R47" i="16" s="1" a="1"/>
  <c r="R47" i="16" s="1"/>
  <c r="AB49" i="16"/>
  <c r="R49" i="16" s="1" a="1"/>
  <c r="R49" i="16" s="1"/>
  <c r="AB51" i="16"/>
  <c r="R51" i="16" s="1" a="1"/>
  <c r="R51" i="16" s="1"/>
  <c r="AB53" i="16"/>
  <c r="R53" i="16" s="1" a="1"/>
  <c r="R53" i="16" s="1"/>
  <c r="AB55" i="16"/>
  <c r="R55" i="16" s="1" a="1"/>
  <c r="R55" i="16" s="1"/>
  <c r="AB57" i="16"/>
  <c r="R57" i="16" s="1" a="1"/>
  <c r="R57" i="16" s="1"/>
  <c r="AB59" i="16"/>
  <c r="R59" i="16" s="1" a="1"/>
  <c r="R59" i="16" s="1"/>
  <c r="AB61" i="16"/>
  <c r="R61" i="16" s="1" a="1"/>
  <c r="R61" i="16" s="1"/>
  <c r="AB63" i="16"/>
  <c r="R63" i="16" s="1" a="1"/>
  <c r="R63" i="16" s="1"/>
  <c r="AB66" i="16"/>
  <c r="R66" i="16" s="1" a="1"/>
  <c r="R66" i="16" s="1"/>
  <c r="AB68" i="16"/>
  <c r="R68" i="16" s="1" a="1"/>
  <c r="R68" i="16" s="1"/>
  <c r="AB70" i="16"/>
  <c r="R70" i="16" s="1" a="1"/>
  <c r="R70" i="16" s="1"/>
  <c r="AB72" i="16"/>
  <c r="R72" i="16" s="1" a="1"/>
  <c r="R72" i="16" s="1"/>
  <c r="AB65" i="16"/>
  <c r="R65" i="16" s="1" a="1"/>
  <c r="R65" i="16" s="1"/>
  <c r="AB67" i="16"/>
  <c r="R67" i="16" s="1" a="1"/>
  <c r="R67" i="16" s="1"/>
  <c r="AB69" i="16"/>
  <c r="R69" i="16" s="1" a="1"/>
  <c r="R69" i="16" s="1"/>
  <c r="AB71" i="16"/>
  <c r="R71" i="16" s="1" a="1"/>
  <c r="R71" i="16" s="1"/>
  <c r="AB73" i="16"/>
  <c r="R73" i="16" s="1" a="1"/>
  <c r="R73" i="16" s="1"/>
  <c r="AB7" i="16"/>
  <c r="R7" i="16" s="1" a="1"/>
  <c r="R7" i="16" s="1"/>
  <c r="AE14" i="80" s="1"/>
  <c r="AD14" i="80" s="1"/>
  <c r="AP17" i="16"/>
  <c r="AP19" i="16"/>
  <c r="AP38" i="16"/>
  <c r="BB7" i="16"/>
  <c r="AP9" i="16"/>
  <c r="AP51" i="16"/>
  <c r="AP22" i="16"/>
  <c r="AP24" i="16"/>
  <c r="AP11" i="16"/>
  <c r="AP59" i="16"/>
  <c r="AP26" i="16"/>
  <c r="AP20" i="16"/>
  <c r="AP8" i="16"/>
  <c r="AP33" i="16"/>
  <c r="AP34" i="16"/>
  <c r="AP37" i="16"/>
  <c r="AP43" i="16"/>
  <c r="AP23" i="16"/>
  <c r="AP29" i="16"/>
  <c r="AP21" i="16"/>
  <c r="AP13" i="16"/>
  <c r="AP10" i="16"/>
  <c r="AP64" i="16"/>
  <c r="AP39" i="16"/>
  <c r="AP14" i="16"/>
  <c r="AP40" i="16"/>
  <c r="AP31" i="16"/>
  <c r="AP35" i="16"/>
  <c r="AP30" i="16"/>
  <c r="AP15" i="16"/>
  <c r="AP57" i="16"/>
  <c r="AP25" i="16"/>
  <c r="AP28" i="16"/>
  <c r="AP27" i="16"/>
  <c r="AP12" i="16"/>
  <c r="AP16" i="16"/>
  <c r="AP32" i="16"/>
  <c r="AP42" i="16"/>
  <c r="AP18" i="16"/>
  <c r="AP53" i="16"/>
  <c r="AP55" i="16"/>
  <c r="AP41" i="16"/>
  <c r="AP54" i="16"/>
  <c r="AP45" i="16"/>
  <c r="AP48" i="16"/>
  <c r="AP44" i="16"/>
  <c r="BA17" i="16"/>
  <c r="S17" i="16"/>
  <c r="S9" i="16"/>
  <c r="BA51" i="16"/>
  <c r="S51" i="16"/>
  <c r="BA22" i="16"/>
  <c r="S22" i="16"/>
  <c r="BA48" i="16"/>
  <c r="S48" i="16"/>
  <c r="BA24" i="16"/>
  <c r="S24" i="16"/>
  <c r="S11" i="16"/>
  <c r="BA59" i="16"/>
  <c r="S59" i="16"/>
  <c r="BA26" i="16"/>
  <c r="S26" i="16"/>
  <c r="BA20" i="16"/>
  <c r="S20" i="16"/>
  <c r="BA8" i="16"/>
  <c r="S8" i="16"/>
  <c r="BA33" i="16"/>
  <c r="S33" i="16"/>
  <c r="BA34" i="16"/>
  <c r="S34" i="16"/>
  <c r="BA37" i="16"/>
  <c r="S37" i="16"/>
  <c r="BA43" i="16"/>
  <c r="S43" i="16"/>
  <c r="BA23" i="16"/>
  <c r="S23" i="16"/>
  <c r="BA44" i="16"/>
  <c r="S44" i="16"/>
  <c r="BA29" i="16"/>
  <c r="S29" i="16"/>
  <c r="BA21" i="16"/>
  <c r="S21" i="16"/>
  <c r="BA13" i="16"/>
  <c r="S13" i="16"/>
  <c r="BA10" i="16"/>
  <c r="S10" i="16"/>
  <c r="BA53" i="16"/>
  <c r="S53" i="16"/>
  <c r="BA55" i="16"/>
  <c r="S55" i="16"/>
  <c r="BA64" i="16"/>
  <c r="S64" i="16"/>
  <c r="BA38" i="16"/>
  <c r="S38" i="16"/>
  <c r="BA47" i="16"/>
  <c r="S47" i="16"/>
  <c r="BA39" i="16"/>
  <c r="S39" i="16"/>
  <c r="BA14" i="16"/>
  <c r="S14" i="16"/>
  <c r="BA40" i="16"/>
  <c r="S40" i="16"/>
  <c r="BA41" i="16"/>
  <c r="S41" i="16"/>
  <c r="BA31" i="16"/>
  <c r="S31" i="16"/>
  <c r="BA35" i="16"/>
  <c r="S35" i="16"/>
  <c r="BA30" i="16"/>
  <c r="S30" i="16"/>
  <c r="BA19" i="16"/>
  <c r="S19" i="16"/>
  <c r="BA54" i="16"/>
  <c r="S54" i="16"/>
  <c r="BA69" i="16"/>
  <c r="S69" i="16"/>
  <c r="BA45" i="16"/>
  <c r="S45" i="16"/>
  <c r="BA15" i="16"/>
  <c r="S15" i="16"/>
  <c r="BA57" i="16"/>
  <c r="S57" i="16"/>
  <c r="BA25" i="16"/>
  <c r="S25" i="16"/>
  <c r="BA28" i="16"/>
  <c r="S28" i="16"/>
  <c r="BA27" i="16"/>
  <c r="S27" i="16"/>
  <c r="BA7" i="16"/>
  <c r="S7" i="16"/>
  <c r="BA12" i="16"/>
  <c r="S12" i="16"/>
  <c r="BA16" i="16"/>
  <c r="S16" i="16"/>
  <c r="BA32" i="16"/>
  <c r="S32" i="16"/>
  <c r="BA42" i="16"/>
  <c r="S42" i="16"/>
  <c r="BA18" i="16"/>
  <c r="S18" i="16"/>
  <c r="BA11" i="16"/>
  <c r="AU58" i="16"/>
  <c r="AT58" i="16"/>
  <c r="AU72" i="16"/>
  <c r="AT71" i="16"/>
  <c r="AU62" i="16"/>
  <c r="BD9" i="16"/>
  <c r="AF74" i="16"/>
  <c r="I18" i="8" s="1"/>
  <c r="BA9" i="16"/>
  <c r="AC74" i="16"/>
  <c r="BE9" i="16"/>
  <c r="AG74" i="16"/>
  <c r="I21" i="8" s="1"/>
  <c r="BH9" i="16"/>
  <c r="AJ74" i="16"/>
  <c r="I51" i="8" s="1"/>
  <c r="AD74" i="16"/>
  <c r="BB9" i="16"/>
  <c r="BC9" i="16"/>
  <c r="AE74" i="16"/>
  <c r="AH74" i="16"/>
  <c r="I26" i="8" s="1"/>
  <c r="BF9" i="16"/>
  <c r="I5" i="8"/>
  <c r="Z75" i="16"/>
  <c r="AP69" i="16" l="1"/>
  <c r="AD16" i="80"/>
  <c r="AP7" i="16"/>
  <c r="AS52" i="16"/>
  <c r="AO52" i="16" s="1"/>
  <c r="AP52" i="16"/>
  <c r="R52" i="16" a="1"/>
  <c r="R52" i="16" s="1"/>
  <c r="S52" i="16"/>
  <c r="T52" i="16" s="1"/>
  <c r="AZ52" i="16"/>
  <c r="AW52" i="16" s="1"/>
  <c r="AD7" i="80"/>
  <c r="AD12" i="80"/>
  <c r="AD9" i="80"/>
  <c r="AT52" i="16"/>
  <c r="AU52" i="16"/>
  <c r="AP73" i="16"/>
  <c r="AS73" i="16"/>
  <c r="AO73" i="16" s="1"/>
  <c r="S73" i="16"/>
  <c r="AZ73" i="16"/>
  <c r="AW73" i="16" s="1"/>
  <c r="AS60" i="16"/>
  <c r="AO60" i="16" s="1"/>
  <c r="AP60" i="16"/>
  <c r="S60" i="16"/>
  <c r="AZ60" i="16"/>
  <c r="AW60" i="16" s="1"/>
  <c r="AZ66" i="16"/>
  <c r="AW66" i="16" s="1"/>
  <c r="S66" i="16"/>
  <c r="AS66" i="16"/>
  <c r="AO66" i="16" s="1"/>
  <c r="AQ66" i="16" s="1"/>
  <c r="AP66" i="16"/>
  <c r="AP70" i="16"/>
  <c r="S70" i="16"/>
  <c r="AS70" i="16"/>
  <c r="AO70" i="16" s="1"/>
  <c r="AZ70" i="16"/>
  <c r="AW70" i="16" s="1"/>
  <c r="AZ56" i="16"/>
  <c r="AW56" i="16" s="1"/>
  <c r="AP56" i="16"/>
  <c r="S56" i="16"/>
  <c r="AS56" i="16"/>
  <c r="AO56" i="16" s="1"/>
  <c r="AZ61" i="16"/>
  <c r="AW61" i="16" s="1"/>
  <c r="S61" i="16"/>
  <c r="AP61" i="16"/>
  <c r="AS61" i="16"/>
  <c r="AO61" i="16" s="1"/>
  <c r="AT66" i="16"/>
  <c r="AU66" i="16"/>
  <c r="AU61" i="16"/>
  <c r="AT61" i="16"/>
  <c r="AU56" i="16"/>
  <c r="AT56" i="16"/>
  <c r="AT60" i="16"/>
  <c r="AU60" i="16"/>
  <c r="AT73" i="16"/>
  <c r="AU70" i="16"/>
  <c r="AT70" i="16"/>
  <c r="AU73" i="16"/>
  <c r="AS68" i="16"/>
  <c r="AO68" i="16" s="1"/>
  <c r="AZ68" i="16"/>
  <c r="AW68" i="16" s="1"/>
  <c r="AP68" i="16"/>
  <c r="S68" i="16"/>
  <c r="AG14" i="72"/>
  <c r="AU68" i="16"/>
  <c r="AT68" i="16"/>
  <c r="AU71" i="16"/>
  <c r="AT67" i="16"/>
  <c r="AU46" i="16"/>
  <c r="AT46" i="16"/>
  <c r="AP47" i="16"/>
  <c r="AU50" i="16"/>
  <c r="AU67" i="16"/>
  <c r="AT62" i="16"/>
  <c r="AT72" i="16"/>
  <c r="AT50" i="16"/>
  <c r="AP63" i="16"/>
  <c r="S63" i="16"/>
  <c r="AS63" i="16"/>
  <c r="AO63" i="16" s="1"/>
  <c r="AZ63" i="16"/>
  <c r="AW63" i="16" s="1"/>
  <c r="AS72" i="16"/>
  <c r="AO72" i="16" s="1"/>
  <c r="AP72" i="16"/>
  <c r="S72" i="16"/>
  <c r="AZ72" i="16"/>
  <c r="AW72" i="16" s="1"/>
  <c r="S67" i="16"/>
  <c r="AP67" i="16"/>
  <c r="AS67" i="16"/>
  <c r="AO67" i="16" s="1"/>
  <c r="AZ67" i="16"/>
  <c r="AW67" i="16" s="1"/>
  <c r="AT63" i="16"/>
  <c r="AU63" i="16"/>
  <c r="S65" i="16"/>
  <c r="AS65" i="16"/>
  <c r="AO65" i="16" s="1"/>
  <c r="AP65" i="16"/>
  <c r="AZ65" i="16"/>
  <c r="AW65" i="16" s="1"/>
  <c r="S46" i="16"/>
  <c r="AP46" i="16"/>
  <c r="AS46" i="16"/>
  <c r="AZ46" i="16"/>
  <c r="AW46" i="16" s="1"/>
  <c r="S36" i="16"/>
  <c r="AP36" i="16"/>
  <c r="AS36" i="16"/>
  <c r="AZ36" i="16"/>
  <c r="AW36" i="16" s="1"/>
  <c r="AZ50" i="16"/>
  <c r="AW50" i="16" s="1"/>
  <c r="AS50" i="16"/>
  <c r="AP50" i="16"/>
  <c r="S50" i="16"/>
  <c r="S71" i="16"/>
  <c r="AS71" i="16"/>
  <c r="AO71" i="16" s="1"/>
  <c r="AP71" i="16"/>
  <c r="AZ71" i="16"/>
  <c r="AW71" i="16" s="1"/>
  <c r="AP62" i="16"/>
  <c r="AS62" i="16"/>
  <c r="AO62" i="16" s="1"/>
  <c r="S62" i="16"/>
  <c r="AZ62" i="16"/>
  <c r="AW62" i="16" s="1"/>
  <c r="AS58" i="16"/>
  <c r="AO58" i="16" s="1"/>
  <c r="AP58" i="16"/>
  <c r="S58" i="16"/>
  <c r="AZ58" i="16"/>
  <c r="AW58" i="16" s="1"/>
  <c r="AZ49" i="16"/>
  <c r="AW49" i="16" s="1"/>
  <c r="AS49" i="16"/>
  <c r="S49" i="16"/>
  <c r="AU49" i="16"/>
  <c r="AG18" i="79"/>
  <c r="AP49" i="16"/>
  <c r="AT49" i="16"/>
  <c r="AE75" i="16"/>
  <c r="I13" i="8"/>
  <c r="AJ75" i="16"/>
  <c r="AG75" i="16"/>
  <c r="AC75" i="16"/>
  <c r="I10" i="8"/>
  <c r="AF75" i="16"/>
  <c r="AH75" i="16"/>
  <c r="AD75" i="16"/>
  <c r="I12" i="8"/>
  <c r="A52" i="16" l="1"/>
  <c r="G52" i="16"/>
  <c r="W52" i="16"/>
  <c r="AE7" i="79"/>
  <c r="AE12" i="72"/>
  <c r="AG19" i="79"/>
  <c r="AG15" i="78"/>
  <c r="C61" i="16"/>
  <c r="E61" i="16"/>
  <c r="AG15" i="76"/>
  <c r="T61" i="16"/>
  <c r="AE14" i="77"/>
  <c r="I61" i="16"/>
  <c r="A61" i="16"/>
  <c r="W61" i="16"/>
  <c r="A56" i="16"/>
  <c r="AG12" i="76"/>
  <c r="E56" i="16"/>
  <c r="AI36" i="68"/>
  <c r="AG11" i="77"/>
  <c r="W56" i="16"/>
  <c r="T56" i="16"/>
  <c r="C56" i="16"/>
  <c r="AG9" i="73"/>
  <c r="AK16" i="68"/>
  <c r="T60" i="16"/>
  <c r="AE14" i="72"/>
  <c r="AD14" i="72" s="1"/>
  <c r="T73" i="16"/>
  <c r="W73" i="16"/>
  <c r="G73" i="16"/>
  <c r="C73" i="16"/>
  <c r="A73" i="16"/>
  <c r="AK28" i="68"/>
  <c r="W70" i="16"/>
  <c r="C70" i="16"/>
  <c r="T70" i="16"/>
  <c r="AI28" i="68"/>
  <c r="A70" i="16"/>
  <c r="G70" i="16"/>
  <c r="C66" i="16"/>
  <c r="T66" i="16"/>
  <c r="AG19" i="76"/>
  <c r="A66" i="16"/>
  <c r="W66" i="16"/>
  <c r="G66" i="16"/>
  <c r="C60" i="16"/>
  <c r="A60" i="16"/>
  <c r="G60" i="16"/>
  <c r="I60" i="16"/>
  <c r="W60" i="16"/>
  <c r="AE7" i="76"/>
  <c r="AE13" i="77"/>
  <c r="T68" i="16"/>
  <c r="AE10" i="70"/>
  <c r="AD10" i="70" s="1"/>
  <c r="AE29" i="70"/>
  <c r="AD29" i="70" s="1"/>
  <c r="A68" i="16"/>
  <c r="C68" i="16"/>
  <c r="G68" i="16"/>
  <c r="AE17" i="70"/>
  <c r="AD17" i="70" s="1"/>
  <c r="I68" i="16"/>
  <c r="W68" i="16"/>
  <c r="AG8" i="58"/>
  <c r="AG9" i="67"/>
  <c r="C58" i="16"/>
  <c r="AG30" i="62"/>
  <c r="AK37" i="55"/>
  <c r="E58" i="16"/>
  <c r="I58" i="16"/>
  <c r="AG17" i="61"/>
  <c r="AG17" i="59"/>
  <c r="T58" i="16"/>
  <c r="W58" i="16"/>
  <c r="A58" i="16"/>
  <c r="A50" i="16"/>
  <c r="AE31" i="62"/>
  <c r="I50" i="16"/>
  <c r="T50" i="16"/>
  <c r="C50" i="16"/>
  <c r="G50" i="16"/>
  <c r="W50" i="16"/>
  <c r="AE24" i="58"/>
  <c r="AE17" i="64"/>
  <c r="AD17" i="64" s="1"/>
  <c r="AE10" i="59"/>
  <c r="T46" i="16"/>
  <c r="E46" i="16"/>
  <c r="C46" i="16"/>
  <c r="AE14" i="57"/>
  <c r="AE8" i="66"/>
  <c r="A46" i="16"/>
  <c r="W46" i="16"/>
  <c r="AK14" i="62"/>
  <c r="AE23" i="55"/>
  <c r="I67" i="16"/>
  <c r="T67" i="16"/>
  <c r="W67" i="16"/>
  <c r="C67" i="16"/>
  <c r="A67" i="16"/>
  <c r="G67" i="16"/>
  <c r="E67" i="16"/>
  <c r="C63" i="16"/>
  <c r="AE7" i="61"/>
  <c r="T63" i="16"/>
  <c r="A63" i="16"/>
  <c r="I63" i="16"/>
  <c r="AE17" i="57"/>
  <c r="W63" i="16"/>
  <c r="G63" i="16"/>
  <c r="AG17" i="62"/>
  <c r="C49" i="16"/>
  <c r="AE18" i="63"/>
  <c r="G49" i="16"/>
  <c r="I49" i="16"/>
  <c r="T49" i="16"/>
  <c r="W49" i="16"/>
  <c r="AI18" i="61"/>
  <c r="AE30" i="55"/>
  <c r="A62" i="16"/>
  <c r="T62" i="16"/>
  <c r="C62" i="16"/>
  <c r="AE17" i="59"/>
  <c r="G62" i="16"/>
  <c r="W62" i="16"/>
  <c r="E62" i="16"/>
  <c r="AE37" i="55"/>
  <c r="T71" i="16"/>
  <c r="W71" i="16"/>
  <c r="A71" i="16"/>
  <c r="C71" i="16"/>
  <c r="E71" i="16"/>
  <c r="G71" i="16"/>
  <c r="I71" i="16"/>
  <c r="C36" i="16"/>
  <c r="AK17" i="63"/>
  <c r="AE30" i="62"/>
  <c r="A36" i="16"/>
  <c r="T36" i="16"/>
  <c r="E36" i="16"/>
  <c r="AE17" i="61"/>
  <c r="AD17" i="61" s="1"/>
  <c r="AG9" i="59"/>
  <c r="AG23" i="51"/>
  <c r="AG16" i="60"/>
  <c r="W36" i="16"/>
  <c r="I36" i="16"/>
  <c r="AG19" i="57"/>
  <c r="AG29" i="55"/>
  <c r="AI8" i="58"/>
  <c r="AK18" i="61"/>
  <c r="G65" i="16"/>
  <c r="C65" i="16"/>
  <c r="AG30" i="55"/>
  <c r="W65" i="16"/>
  <c r="A65" i="16"/>
  <c r="AK8" i="51"/>
  <c r="T65" i="16"/>
  <c r="C72" i="16"/>
  <c r="W72" i="16"/>
  <c r="E72" i="16"/>
  <c r="AI37" i="55"/>
  <c r="A72" i="16"/>
  <c r="T72" i="16"/>
  <c r="AE18" i="61"/>
  <c r="AD18" i="61" s="1"/>
  <c r="AD17" i="59" l="1"/>
  <c r="AD28" i="68"/>
  <c r="AD37" i="55"/>
  <c r="AD30" i="55"/>
  <c r="AD30" i="62"/>
  <c r="AU36" i="16"/>
  <c r="AU65" i="16"/>
  <c r="AT36" i="16"/>
  <c r="AT65" i="16"/>
  <c r="BI45" i="16" l="1"/>
  <c r="BI53" i="16"/>
  <c r="BI54" i="16"/>
  <c r="BI34" i="16"/>
  <c r="BI19" i="16"/>
  <c r="BI15" i="16"/>
  <c r="BI55" i="16"/>
  <c r="BI69" i="16"/>
  <c r="BI17" i="16"/>
  <c r="BI40" i="16"/>
  <c r="BI12" i="16"/>
  <c r="BI51" i="16"/>
  <c r="BI64" i="16"/>
  <c r="BI41" i="16"/>
  <c r="BI37" i="16"/>
  <c r="BI16" i="16"/>
  <c r="BI38" i="16"/>
  <c r="BI29" i="16"/>
  <c r="BI48" i="16"/>
  <c r="BI43" i="16"/>
  <c r="BI28" i="16"/>
  <c r="BI24" i="16"/>
  <c r="BI23" i="16"/>
  <c r="BI39" i="16"/>
  <c r="BI8" i="16"/>
  <c r="BI27" i="16"/>
  <c r="BI13" i="16"/>
  <c r="BI30" i="16"/>
  <c r="BI44" i="16"/>
  <c r="BI33" i="16"/>
  <c r="BI7" i="16"/>
  <c r="BI10" i="16"/>
  <c r="BI59" i="16"/>
  <c r="BI57" i="16"/>
  <c r="BI22" i="16"/>
  <c r="BI26" i="16"/>
  <c r="BI25" i="16"/>
  <c r="BI31" i="16"/>
  <c r="BI32" i="16"/>
  <c r="BI47" i="16"/>
  <c r="BI20" i="16"/>
  <c r="BI21" i="16"/>
  <c r="BI35" i="16"/>
  <c r="BI42" i="16"/>
  <c r="BI11" i="16"/>
  <c r="BI18" i="16"/>
  <c r="BI14" i="16"/>
  <c r="BI9" i="16" l="1"/>
  <c r="I52" i="8"/>
  <c r="I34" i="8" l="1"/>
  <c r="BG40" i="16"/>
  <c r="BG28" i="16"/>
  <c r="BG24" i="16"/>
  <c r="BG23" i="16"/>
  <c r="BG39" i="16"/>
  <c r="BG8" i="16"/>
  <c r="BG27" i="16"/>
  <c r="BG13" i="16"/>
  <c r="BG30" i="16"/>
  <c r="BG44" i="16"/>
  <c r="BG33" i="16"/>
  <c r="BG10" i="16"/>
  <c r="BG32" i="16"/>
  <c r="BG47" i="16"/>
  <c r="BG20" i="16"/>
  <c r="BG21" i="16"/>
  <c r="BG35" i="16"/>
  <c r="BG42" i="16"/>
  <c r="BG11" i="16"/>
  <c r="BG18" i="16"/>
  <c r="BG14" i="16"/>
  <c r="BG25" i="16" l="1"/>
  <c r="BG22" i="16"/>
  <c r="BG57" i="16"/>
  <c r="BG9" i="16"/>
  <c r="BG7" i="16"/>
  <c r="BG48" i="16"/>
  <c r="BG38" i="16"/>
  <c r="BG37" i="16"/>
  <c r="BG69" i="16"/>
  <c r="BG55" i="16"/>
  <c r="BG19" i="16"/>
  <c r="BG54" i="16"/>
  <c r="BG45" i="16"/>
  <c r="BG31" i="16"/>
  <c r="BG26" i="16"/>
  <c r="BG59" i="16"/>
  <c r="BG43" i="16"/>
  <c r="BG29" i="16"/>
  <c r="BG16" i="16"/>
  <c r="BG41" i="16"/>
  <c r="BG64" i="16"/>
  <c r="BG51" i="16"/>
  <c r="BG12" i="16"/>
  <c r="BG17" i="16"/>
  <c r="BG15" i="16"/>
  <c r="BG34" i="16"/>
  <c r="BG53" i="16"/>
  <c r="AI74" i="16" l="1"/>
  <c r="I39" i="8" l="1"/>
  <c r="AI75" i="16"/>
  <c r="AZ17" i="16"/>
  <c r="AZ40" i="16"/>
  <c r="AZ31" i="16"/>
  <c r="AZ47" i="16"/>
  <c r="AZ20" i="16"/>
  <c r="AZ21" i="16"/>
  <c r="AZ18" i="16"/>
  <c r="AZ14" i="16"/>
  <c r="AZ48" i="16"/>
  <c r="AZ23" i="16"/>
  <c r="AZ8" i="16"/>
  <c r="AZ13" i="16"/>
  <c r="AZ30" i="16"/>
  <c r="AZ44" i="16"/>
  <c r="AZ33" i="16"/>
  <c r="AZ10" i="16"/>
  <c r="AZ9" i="16" l="1"/>
  <c r="AZ19" i="16" l="1"/>
  <c r="AZ45" i="16"/>
  <c r="AZ54" i="16"/>
  <c r="AZ15" i="16"/>
  <c r="AZ12" i="16"/>
  <c r="AZ59" i="16"/>
  <c r="AZ26" i="16"/>
  <c r="AZ42" i="16"/>
  <c r="AZ41" i="16"/>
  <c r="AZ16" i="16"/>
  <c r="AZ29" i="16"/>
  <c r="AZ43" i="16"/>
  <c r="AZ24" i="16"/>
  <c r="AZ39" i="16"/>
  <c r="AZ27" i="16"/>
  <c r="AZ53" i="16"/>
  <c r="AZ34" i="16"/>
  <c r="AZ51" i="16"/>
  <c r="AZ64" i="16"/>
  <c r="AZ55" i="16"/>
  <c r="AZ69" i="16"/>
  <c r="AZ57" i="16"/>
  <c r="AZ22" i="16"/>
  <c r="AZ25" i="16"/>
  <c r="AZ32" i="16"/>
  <c r="AZ35" i="16"/>
  <c r="AZ11" i="16"/>
  <c r="AZ37" i="16"/>
  <c r="AZ38" i="16"/>
  <c r="AZ28" i="16"/>
  <c r="AZ7" i="16" l="1"/>
  <c r="AB74" i="16"/>
  <c r="AB75" i="16" l="1"/>
  <c r="I9" i="8"/>
  <c r="AE16" i="79" l="1"/>
  <c r="AT14" i="16"/>
  <c r="AY14" i="16"/>
  <c r="AW14" i="16" s="1"/>
  <c r="AU14" i="16"/>
  <c r="AS14" i="16"/>
  <c r="AG10" i="79"/>
  <c r="AT11" i="16"/>
  <c r="AU11" i="16"/>
  <c r="AY11" i="16"/>
  <c r="AW11" i="16" s="1"/>
  <c r="W11" i="16"/>
  <c r="AS11" i="16"/>
  <c r="AE19" i="79"/>
  <c r="AD19" i="79" s="1"/>
  <c r="AT35" i="16"/>
  <c r="AY35" i="16"/>
  <c r="AW35" i="16" s="1"/>
  <c r="AS35" i="16"/>
  <c r="AU35" i="16"/>
  <c r="AE14" i="79"/>
  <c r="AT20" i="16"/>
  <c r="AY20" i="16"/>
  <c r="AW20" i="16" s="1"/>
  <c r="AS20" i="16"/>
  <c r="AU20" i="16"/>
  <c r="AE12" i="79"/>
  <c r="AT32" i="16"/>
  <c r="AY32" i="16"/>
  <c r="AW32" i="16" s="1"/>
  <c r="AU32" i="16"/>
  <c r="AS32" i="16"/>
  <c r="AE13" i="79"/>
  <c r="AT25" i="16"/>
  <c r="AY25" i="16"/>
  <c r="AW25" i="16" s="1"/>
  <c r="AU25" i="16"/>
  <c r="AS25" i="16"/>
  <c r="AG13" i="75"/>
  <c r="AT22" i="16"/>
  <c r="AS22" i="16"/>
  <c r="AY22" i="16"/>
  <c r="AW22" i="16" s="1"/>
  <c r="AU22" i="16"/>
  <c r="AY10" i="16"/>
  <c r="AW10" i="16" s="1"/>
  <c r="AS10" i="16"/>
  <c r="AT10" i="16"/>
  <c r="AU10" i="16"/>
  <c r="AI35" i="68"/>
  <c r="AT33" i="16"/>
  <c r="AU33" i="16"/>
  <c r="AS33" i="16"/>
  <c r="W33" i="16"/>
  <c r="AY33" i="16"/>
  <c r="AW33" i="16" s="1"/>
  <c r="AG15" i="79"/>
  <c r="AT30" i="16"/>
  <c r="AY30" i="16"/>
  <c r="AW30" i="16" s="1"/>
  <c r="AU30" i="16"/>
  <c r="AS30" i="16"/>
  <c r="AS27" i="16"/>
  <c r="AT27" i="16"/>
  <c r="AU27" i="16"/>
  <c r="AY27" i="16"/>
  <c r="AW27" i="16" s="1"/>
  <c r="T27" i="16"/>
  <c r="AY39" i="16"/>
  <c r="AW39" i="16" s="1"/>
  <c r="AT39" i="16"/>
  <c r="AU39" i="16"/>
  <c r="AS39" i="16"/>
  <c r="AE17" i="79"/>
  <c r="AT24" i="16"/>
  <c r="AY24" i="16"/>
  <c r="AW24" i="16" s="1"/>
  <c r="AS24" i="16"/>
  <c r="AU24" i="16"/>
  <c r="AE17" i="71"/>
  <c r="AT43" i="16"/>
  <c r="AY43" i="16"/>
  <c r="AW43" i="16" s="1"/>
  <c r="AU43" i="16"/>
  <c r="AS43" i="16"/>
  <c r="AE12" i="73"/>
  <c r="AY29" i="16"/>
  <c r="AW29" i="16" s="1"/>
  <c r="AT29" i="16"/>
  <c r="AU29" i="16"/>
  <c r="AS29" i="16"/>
  <c r="AT16" i="16"/>
  <c r="AS16" i="16"/>
  <c r="AY16" i="16"/>
  <c r="AW16" i="16" s="1"/>
  <c r="AU16" i="16"/>
  <c r="AU41" i="16"/>
  <c r="AY41" i="16"/>
  <c r="AW41" i="16" s="1"/>
  <c r="AT41" i="16"/>
  <c r="AS41" i="16"/>
  <c r="AI14" i="57"/>
  <c r="AS59" i="16"/>
  <c r="AO59" i="16" s="1"/>
  <c r="AT59" i="16"/>
  <c r="AY59" i="16"/>
  <c r="AW59" i="16" s="1"/>
  <c r="AU59" i="16"/>
  <c r="AK35" i="55"/>
  <c r="AT64" i="16"/>
  <c r="AU64" i="16"/>
  <c r="AY64" i="16"/>
  <c r="AW64" i="16" s="1"/>
  <c r="AS64" i="16"/>
  <c r="AO64" i="16" s="1"/>
  <c r="AY51" i="16"/>
  <c r="AW51" i="16" s="1"/>
  <c r="AS51" i="16"/>
  <c r="AT51" i="16"/>
  <c r="AU51" i="16"/>
  <c r="AY17" i="16"/>
  <c r="AW17" i="16" s="1"/>
  <c r="AT17" i="16"/>
  <c r="AS17" i="16"/>
  <c r="AU17" i="16"/>
  <c r="AE9" i="77"/>
  <c r="AY15" i="16"/>
  <c r="AW15" i="16" s="1"/>
  <c r="AT15" i="16"/>
  <c r="AS15" i="16"/>
  <c r="AU15" i="16"/>
  <c r="AY19" i="16"/>
  <c r="AW19" i="16" s="1"/>
  <c r="AS19" i="16"/>
  <c r="AT19" i="16"/>
  <c r="AU19" i="16"/>
  <c r="AT54" i="16"/>
  <c r="AU54" i="16"/>
  <c r="AY54" i="16"/>
  <c r="AW54" i="16" s="1"/>
  <c r="W54" i="16"/>
  <c r="AS54" i="16"/>
  <c r="AO54" i="16" s="1"/>
  <c r="AG11" i="79"/>
  <c r="AY45" i="16"/>
  <c r="AW45" i="16" s="1"/>
  <c r="AU45" i="16"/>
  <c r="AT45" i="16"/>
  <c r="AS45" i="16"/>
  <c r="AS18" i="16"/>
  <c r="AY18" i="16"/>
  <c r="AW18" i="16" s="1"/>
  <c r="AT18" i="16"/>
  <c r="AU18" i="16"/>
  <c r="T18" i="16"/>
  <c r="AY42" i="16"/>
  <c r="AW42" i="16" s="1"/>
  <c r="AT42" i="16"/>
  <c r="AU42" i="16"/>
  <c r="AS42" i="16"/>
  <c r="AG16" i="79"/>
  <c r="AY21" i="16"/>
  <c r="AW21" i="16" s="1"/>
  <c r="AT21" i="16"/>
  <c r="AU21" i="16"/>
  <c r="AS21" i="16"/>
  <c r="AY47" i="16"/>
  <c r="AW47" i="16" s="1"/>
  <c r="AS47" i="16"/>
  <c r="AO47" i="16" s="1"/>
  <c r="AT47" i="16"/>
  <c r="AU47" i="16"/>
  <c r="AY31" i="16"/>
  <c r="AW31" i="16" s="1"/>
  <c r="AT31" i="16"/>
  <c r="AS31" i="16"/>
  <c r="AU31" i="16"/>
  <c r="AG13" i="79"/>
  <c r="AY26" i="16"/>
  <c r="AW26" i="16" s="1"/>
  <c r="AT26" i="16"/>
  <c r="AS26" i="16"/>
  <c r="AU26" i="16"/>
  <c r="AE9" i="79"/>
  <c r="AY9" i="16"/>
  <c r="AW9" i="16" s="1"/>
  <c r="AA74" i="16"/>
  <c r="AT9" i="16"/>
  <c r="AU9" i="16"/>
  <c r="AS9" i="16"/>
  <c r="AE8" i="79"/>
  <c r="AT7" i="16"/>
  <c r="AY7" i="16"/>
  <c r="AW7" i="16" s="1"/>
  <c r="AU7" i="16"/>
  <c r="AS7" i="16"/>
  <c r="AS44" i="16"/>
  <c r="AY44" i="16"/>
  <c r="AW44" i="16" s="1"/>
  <c r="AT44" i="16"/>
  <c r="AU44" i="16"/>
  <c r="AG9" i="78"/>
  <c r="AT13" i="16"/>
  <c r="AY13" i="16"/>
  <c r="AW13" i="16" s="1"/>
  <c r="AU13" i="16"/>
  <c r="AS13" i="16"/>
  <c r="AY8" i="16"/>
  <c r="AW8" i="16" s="1"/>
  <c r="AT8" i="16"/>
  <c r="AU8" i="16"/>
  <c r="AS8" i="16"/>
  <c r="AE18" i="79"/>
  <c r="AD18" i="79" s="1"/>
  <c r="AT23" i="16"/>
  <c r="AU23" i="16"/>
  <c r="AY23" i="16"/>
  <c r="AW23" i="16" s="1"/>
  <c r="AS23" i="16"/>
  <c r="AG15" i="75"/>
  <c r="AT28" i="16"/>
  <c r="AU28" i="16"/>
  <c r="AY28" i="16"/>
  <c r="AW28" i="16" s="1"/>
  <c r="AS28" i="16"/>
  <c r="AI8" i="68"/>
  <c r="AY48" i="16"/>
  <c r="AW48" i="16" s="1"/>
  <c r="AS48" i="16"/>
  <c r="AT48" i="16"/>
  <c r="AU48" i="16"/>
  <c r="AS38" i="16"/>
  <c r="AG13" i="78"/>
  <c r="AT38" i="16"/>
  <c r="AU38" i="16"/>
  <c r="AY38" i="16"/>
  <c r="AW38" i="16" s="1"/>
  <c r="T38" i="16"/>
  <c r="AT37" i="16"/>
  <c r="AU37" i="16"/>
  <c r="AY37" i="16"/>
  <c r="AW37" i="16" s="1"/>
  <c r="AS37" i="16"/>
  <c r="AT57" i="16"/>
  <c r="AU57" i="16"/>
  <c r="AY57" i="16"/>
  <c r="AW57" i="16" s="1"/>
  <c r="AS57" i="16"/>
  <c r="AO57" i="16" s="1"/>
  <c r="AU12" i="16"/>
  <c r="W12" i="16"/>
  <c r="AT12" i="16"/>
  <c r="AY12" i="16"/>
  <c r="AW12" i="16" s="1"/>
  <c r="AS12" i="16"/>
  <c r="AE15" i="77"/>
  <c r="AY40" i="16"/>
  <c r="AW40" i="16" s="1"/>
  <c r="AU40" i="16"/>
  <c r="AT40" i="16"/>
  <c r="AS40" i="16"/>
  <c r="AY69" i="16"/>
  <c r="AW69" i="16" s="1"/>
  <c r="AT69" i="16"/>
  <c r="AS69" i="16"/>
  <c r="AO69" i="16" s="1"/>
  <c r="AU69" i="16"/>
  <c r="AY55" i="16"/>
  <c r="AW55" i="16" s="1"/>
  <c r="AT55" i="16"/>
  <c r="AS55" i="16"/>
  <c r="AO55" i="16" s="1"/>
  <c r="AU55" i="16"/>
  <c r="AY34" i="16"/>
  <c r="AW34" i="16" s="1"/>
  <c r="AU34" i="16"/>
  <c r="AT34" i="16"/>
  <c r="AS34" i="16"/>
  <c r="AY53" i="16"/>
  <c r="AW53" i="16" s="1"/>
  <c r="AS53" i="16"/>
  <c r="AO53" i="16" s="1"/>
  <c r="AT53" i="16"/>
  <c r="AU53" i="16"/>
  <c r="AG7" i="73" l="1"/>
  <c r="AG14" i="79"/>
  <c r="AG7" i="78"/>
  <c r="AE11" i="79"/>
  <c r="AD11" i="79" s="1"/>
  <c r="AG19" i="78"/>
  <c r="AG17" i="79"/>
  <c r="AG10" i="78"/>
  <c r="AG8" i="79"/>
  <c r="AD8" i="79" s="1"/>
  <c r="AG12" i="75"/>
  <c r="AG12" i="79"/>
  <c r="AD12" i="79" s="1"/>
  <c r="AE8" i="78"/>
  <c r="AE15" i="79"/>
  <c r="AD15" i="79" s="1"/>
  <c r="AG14" i="78"/>
  <c r="AG9" i="79"/>
  <c r="AD9" i="79" s="1"/>
  <c r="AG24" i="67"/>
  <c r="AG7" i="79"/>
  <c r="AD7" i="79" s="1"/>
  <c r="AD17" i="79"/>
  <c r="AD13" i="79"/>
  <c r="AD14" i="79"/>
  <c r="AD16" i="79"/>
  <c r="C55" i="16"/>
  <c r="AE10" i="79"/>
  <c r="AD10" i="79" s="1"/>
  <c r="AG11" i="78"/>
  <c r="AG12" i="78"/>
  <c r="AG8" i="78"/>
  <c r="AE13" i="78"/>
  <c r="AE10" i="78"/>
  <c r="AE7" i="78"/>
  <c r="AD7" i="78" s="1"/>
  <c r="AG14" i="77"/>
  <c r="AD14" i="77" s="1"/>
  <c r="AE15" i="78"/>
  <c r="AD15" i="78" s="1"/>
  <c r="AG13" i="77"/>
  <c r="AD13" i="77" s="1"/>
  <c r="AE16" i="78"/>
  <c r="AG18" i="76"/>
  <c r="AG18" i="78"/>
  <c r="AE12" i="76"/>
  <c r="AD12" i="76" s="1"/>
  <c r="AE12" i="78"/>
  <c r="AG7" i="77"/>
  <c r="AE9" i="78"/>
  <c r="AD9" i="78" s="1"/>
  <c r="AG16" i="76"/>
  <c r="AG16" i="78"/>
  <c r="AE14" i="76"/>
  <c r="AE14" i="78"/>
  <c r="AG10" i="77"/>
  <c r="AG17" i="78"/>
  <c r="AE19" i="76"/>
  <c r="AD19" i="76" s="1"/>
  <c r="AE19" i="78"/>
  <c r="AD13" i="78"/>
  <c r="AE18" i="76"/>
  <c r="AE18" i="78"/>
  <c r="AD18" i="78" s="1"/>
  <c r="AE10" i="77"/>
  <c r="AE17" i="78"/>
  <c r="AE11" i="76"/>
  <c r="AE11" i="78"/>
  <c r="AD11" i="78" s="1"/>
  <c r="AG7" i="76"/>
  <c r="AD7" i="76" s="1"/>
  <c r="AE12" i="77"/>
  <c r="AI22" i="68"/>
  <c r="AG15" i="77"/>
  <c r="AD15" i="77" s="1"/>
  <c r="AE8" i="72"/>
  <c r="AE16" i="77"/>
  <c r="C69" i="16"/>
  <c r="AG12" i="77"/>
  <c r="AE10" i="76"/>
  <c r="AE11" i="77"/>
  <c r="AD11" i="77" s="1"/>
  <c r="C47" i="16"/>
  <c r="AG16" i="77"/>
  <c r="AE8" i="76"/>
  <c r="AE7" i="77"/>
  <c r="AD7" i="77" s="1"/>
  <c r="AG13" i="76"/>
  <c r="AG8" i="77"/>
  <c r="AE13" i="76"/>
  <c r="AE8" i="77"/>
  <c r="AD8" i="77" s="1"/>
  <c r="AO9" i="68"/>
  <c r="AG9" i="77"/>
  <c r="AD9" i="77" s="1"/>
  <c r="AG11" i="75"/>
  <c r="AE15" i="76"/>
  <c r="AD15" i="76" s="1"/>
  <c r="AG7" i="75"/>
  <c r="AG10" i="76"/>
  <c r="AD10" i="76" s="1"/>
  <c r="AE10" i="75"/>
  <c r="AE16" i="76"/>
  <c r="AD16" i="76" s="1"/>
  <c r="AG16" i="75"/>
  <c r="AG11" i="76"/>
  <c r="AD11" i="76" s="1"/>
  <c r="AG14" i="75"/>
  <c r="AG14" i="76"/>
  <c r="AE8" i="75"/>
  <c r="AE9" i="76"/>
  <c r="AG8" i="75"/>
  <c r="AG9" i="76"/>
  <c r="AK29" i="68"/>
  <c r="AG17" i="76"/>
  <c r="AK44" i="68"/>
  <c r="AG8" i="76"/>
  <c r="AD13" i="76"/>
  <c r="AI29" i="68"/>
  <c r="AD29" i="68" s="1"/>
  <c r="AE17" i="76"/>
  <c r="AG10" i="75"/>
  <c r="AM14" i="68"/>
  <c r="AE16" i="75"/>
  <c r="AE16" i="73"/>
  <c r="AE15" i="75"/>
  <c r="AD15" i="75" s="1"/>
  <c r="AE10" i="72"/>
  <c r="AE14" i="75"/>
  <c r="AE9" i="73"/>
  <c r="AD9" i="73" s="1"/>
  <c r="AE13" i="75"/>
  <c r="AD13" i="75" s="1"/>
  <c r="AI21" i="71"/>
  <c r="AE12" i="75"/>
  <c r="AE14" i="73"/>
  <c r="AE11" i="75"/>
  <c r="AG10" i="73"/>
  <c r="AG9" i="75"/>
  <c r="AI44" i="68"/>
  <c r="AD44" i="68" s="1"/>
  <c r="AE9" i="75"/>
  <c r="AD9" i="75" s="1"/>
  <c r="AD8" i="75"/>
  <c r="AG14" i="73"/>
  <c r="AE7" i="75"/>
  <c r="AD7" i="75" s="1"/>
  <c r="AG9" i="72"/>
  <c r="AK30" i="68"/>
  <c r="AG16" i="73"/>
  <c r="AI37" i="68"/>
  <c r="AD37" i="68" s="1"/>
  <c r="AG7" i="71"/>
  <c r="AK21" i="68"/>
  <c r="AG23" i="71"/>
  <c r="AI9" i="68"/>
  <c r="AK21" i="71"/>
  <c r="AK8" i="68"/>
  <c r="AD8" i="68" s="1"/>
  <c r="AG10" i="72"/>
  <c r="AI21" i="68"/>
  <c r="AD21" i="68" s="1"/>
  <c r="AE13" i="72"/>
  <c r="AI30" i="68"/>
  <c r="AD30" i="68" s="1"/>
  <c r="AE7" i="72"/>
  <c r="AI15" i="68"/>
  <c r="AG12" i="73"/>
  <c r="AK35" i="68"/>
  <c r="AD35" i="68" s="1"/>
  <c r="AE29" i="71"/>
  <c r="AI14" i="68"/>
  <c r="AD14" i="68" s="1"/>
  <c r="AG7" i="72"/>
  <c r="AK22" i="68"/>
  <c r="AD22" i="68" s="1"/>
  <c r="AG29" i="71"/>
  <c r="AK15" i="68"/>
  <c r="AI16" i="68"/>
  <c r="AD16" i="68" s="1"/>
  <c r="AK36" i="68"/>
  <c r="AD36" i="68" s="1"/>
  <c r="AE16" i="72"/>
  <c r="AM9" i="68"/>
  <c r="AG11" i="73"/>
  <c r="AG16" i="71"/>
  <c r="AE15" i="71"/>
  <c r="AE8" i="73"/>
  <c r="AG17" i="72"/>
  <c r="AG8" i="73"/>
  <c r="AG15" i="72"/>
  <c r="AG15" i="73"/>
  <c r="AE31" i="71"/>
  <c r="AE11" i="73"/>
  <c r="AE15" i="73"/>
  <c r="AG24" i="71"/>
  <c r="AG13" i="73"/>
  <c r="AD12" i="73"/>
  <c r="AE28" i="71"/>
  <c r="AE10" i="73"/>
  <c r="AE24" i="71"/>
  <c r="AE13" i="73"/>
  <c r="AG16" i="72"/>
  <c r="AE7" i="73"/>
  <c r="AD7" i="73" s="1"/>
  <c r="AG8" i="55"/>
  <c r="AG13" i="72"/>
  <c r="AD13" i="72" s="1"/>
  <c r="AG9" i="71"/>
  <c r="AG19" i="72"/>
  <c r="AG30" i="71"/>
  <c r="AG8" i="72"/>
  <c r="AD8" i="72" s="1"/>
  <c r="AG28" i="71"/>
  <c r="AG18" i="72"/>
  <c r="AG14" i="71"/>
  <c r="AG11" i="72"/>
  <c r="AE23" i="67"/>
  <c r="AE17" i="72"/>
  <c r="AD17" i="72" s="1"/>
  <c r="C53" i="16"/>
  <c r="AE15" i="72"/>
  <c r="AG17" i="71"/>
  <c r="AG12" i="72"/>
  <c r="AD12" i="72" s="1"/>
  <c r="AE7" i="71"/>
  <c r="AD7" i="71" s="1"/>
  <c r="AE9" i="72"/>
  <c r="AE14" i="71"/>
  <c r="AE11" i="72"/>
  <c r="AE9" i="71"/>
  <c r="AE19" i="72"/>
  <c r="AE22" i="71"/>
  <c r="AE18" i="72"/>
  <c r="C21" i="16"/>
  <c r="AG22" i="71"/>
  <c r="AE31" i="70"/>
  <c r="AD31" i="70" s="1"/>
  <c r="AG10" i="71"/>
  <c r="AE8" i="67"/>
  <c r="AE8" i="71"/>
  <c r="AD17" i="71"/>
  <c r="AE21" i="70"/>
  <c r="AD21" i="70" s="1"/>
  <c r="AG21" i="71"/>
  <c r="AE9" i="67"/>
  <c r="AD9" i="67" s="1"/>
  <c r="AE16" i="71"/>
  <c r="AE15" i="70"/>
  <c r="AD15" i="70" s="1"/>
  <c r="AE30" i="71"/>
  <c r="C38" i="16"/>
  <c r="AK23" i="71"/>
  <c r="AE14" i="70"/>
  <c r="AD14" i="70" s="1"/>
  <c r="AE21" i="71"/>
  <c r="AE9" i="70"/>
  <c r="AD9" i="70" s="1"/>
  <c r="AG31" i="71"/>
  <c r="AE24" i="70"/>
  <c r="AD24" i="70" s="1"/>
  <c r="AE10" i="71"/>
  <c r="AG8" i="67"/>
  <c r="AG8" i="71"/>
  <c r="C29" i="16"/>
  <c r="AE23" i="71"/>
  <c r="AG23" i="67"/>
  <c r="AI23" i="71"/>
  <c r="AG15" i="67"/>
  <c r="AG15" i="71"/>
  <c r="AE22" i="67"/>
  <c r="AE28" i="70"/>
  <c r="AD28" i="70" s="1"/>
  <c r="AG16" i="67"/>
  <c r="AE8" i="70"/>
  <c r="AD8" i="70" s="1"/>
  <c r="C31" i="16"/>
  <c r="AE16" i="70"/>
  <c r="AD16" i="70" s="1"/>
  <c r="AE7" i="67"/>
  <c r="AE7" i="70"/>
  <c r="AD7" i="70" s="1"/>
  <c r="C26" i="16"/>
  <c r="AE30" i="70"/>
  <c r="AD30" i="70" s="1"/>
  <c r="AE16" i="67"/>
  <c r="AD16" i="67" s="1"/>
  <c r="AE22" i="70"/>
  <c r="AD22" i="70" s="1"/>
  <c r="C25" i="16"/>
  <c r="AE23" i="70"/>
  <c r="AD23" i="70" s="1"/>
  <c r="AG9" i="63"/>
  <c r="AG7" i="67"/>
  <c r="C18" i="16"/>
  <c r="AE28" i="67"/>
  <c r="AG15" i="63"/>
  <c r="AG22" i="67"/>
  <c r="C43" i="16"/>
  <c r="AG30" i="67"/>
  <c r="AE24" i="64"/>
  <c r="AD24" i="64" s="1"/>
  <c r="AE31" i="67"/>
  <c r="C10" i="16"/>
  <c r="AG14" i="67"/>
  <c r="C22" i="16"/>
  <c r="AG21" i="67"/>
  <c r="C11" i="16"/>
  <c r="AE29" i="67"/>
  <c r="C34" i="16"/>
  <c r="AE30" i="67"/>
  <c r="C13" i="16"/>
  <c r="AG29" i="67"/>
  <c r="C44" i="16"/>
  <c r="AE24" i="67"/>
  <c r="AD24" i="67" s="1"/>
  <c r="C9" i="16"/>
  <c r="AE14" i="67"/>
  <c r="C42" i="16"/>
  <c r="AG31" i="67"/>
  <c r="C15" i="16"/>
  <c r="AE21" i="67"/>
  <c r="C27" i="16"/>
  <c r="AG28" i="67"/>
  <c r="C14" i="16"/>
  <c r="AE15" i="67"/>
  <c r="AE17" i="62"/>
  <c r="AD17" i="62" s="1"/>
  <c r="C54" i="16"/>
  <c r="AE23" i="64"/>
  <c r="AD23" i="64" s="1"/>
  <c r="C51" i="16"/>
  <c r="AE9" i="55"/>
  <c r="C57" i="16"/>
  <c r="AE10" i="60"/>
  <c r="C45" i="16"/>
  <c r="AE23" i="62"/>
  <c r="AI15" i="58"/>
  <c r="C41" i="16"/>
  <c r="AE12" i="61"/>
  <c r="C30" i="16"/>
  <c r="AG23" i="62"/>
  <c r="C20" i="16"/>
  <c r="W55" i="16"/>
  <c r="AG9" i="61"/>
  <c r="AE15" i="63"/>
  <c r="AD15" i="63" s="1"/>
  <c r="AE11" i="61"/>
  <c r="AE14" i="62"/>
  <c r="AE28" i="64"/>
  <c r="AD28" i="64" s="1"/>
  <c r="AG19" i="63"/>
  <c r="AG13" i="61"/>
  <c r="AE29" i="62"/>
  <c r="AE14" i="61"/>
  <c r="AG11" i="63"/>
  <c r="AG28" i="62"/>
  <c r="AE21" i="62"/>
  <c r="AE10" i="63"/>
  <c r="AG12" i="61"/>
  <c r="AD12" i="61" s="1"/>
  <c r="AE16" i="64"/>
  <c r="AD16" i="64" s="1"/>
  <c r="AE16" i="61"/>
  <c r="AE22" i="62"/>
  <c r="AE15" i="62"/>
  <c r="AE30" i="64"/>
  <c r="AD30" i="64" s="1"/>
  <c r="AG18" i="63"/>
  <c r="AD18" i="63" s="1"/>
  <c r="AG13" i="63"/>
  <c r="AG8" i="61"/>
  <c r="AG7" i="62"/>
  <c r="AE29" i="64"/>
  <c r="AD29" i="64" s="1"/>
  <c r="AG10" i="61"/>
  <c r="AG12" i="63"/>
  <c r="AE17" i="63"/>
  <c r="AE9" i="64"/>
  <c r="AD9" i="64" s="1"/>
  <c r="AG8" i="62"/>
  <c r="AG29" i="62"/>
  <c r="AG14" i="61"/>
  <c r="AE14" i="63"/>
  <c r="AG15" i="61"/>
  <c r="AG16" i="62"/>
  <c r="AE8" i="64"/>
  <c r="AD8" i="64" s="1"/>
  <c r="AG7" i="63"/>
  <c r="AG31" i="62"/>
  <c r="AD31" i="62" s="1"/>
  <c r="AG11" i="61"/>
  <c r="AE14" i="64"/>
  <c r="AD14" i="64" s="1"/>
  <c r="AG15" i="62"/>
  <c r="AG14" i="63"/>
  <c r="AE17" i="58"/>
  <c r="AE9" i="61"/>
  <c r="AD9" i="61" s="1"/>
  <c r="AE24" i="62"/>
  <c r="AE8" i="63"/>
  <c r="AE21" i="64"/>
  <c r="AD21" i="64" s="1"/>
  <c r="AE9" i="63"/>
  <c r="AI14" i="62"/>
  <c r="AE13" i="63"/>
  <c r="AD13" i="63" s="1"/>
  <c r="AE7" i="62"/>
  <c r="AE8" i="61"/>
  <c r="AG9" i="62"/>
  <c r="AG16" i="63"/>
  <c r="AG17" i="58"/>
  <c r="AG24" i="62"/>
  <c r="AG8" i="63"/>
  <c r="AI17" i="63"/>
  <c r="AE31" i="64"/>
  <c r="AD31" i="64" s="1"/>
  <c r="AG16" i="61"/>
  <c r="AG22" i="62"/>
  <c r="AE10" i="61"/>
  <c r="AD10" i="61" s="1"/>
  <c r="AE12" i="63"/>
  <c r="AD12" i="63" s="1"/>
  <c r="AE15" i="61"/>
  <c r="AD15" i="61" s="1"/>
  <c r="AE7" i="63"/>
  <c r="AD7" i="63" s="1"/>
  <c r="AE22" i="64"/>
  <c r="AD22" i="64" s="1"/>
  <c r="AE16" i="62"/>
  <c r="AD16" i="62" s="1"/>
  <c r="AE19" i="63"/>
  <c r="AE13" i="61"/>
  <c r="AE8" i="62"/>
  <c r="AD8" i="62" s="1"/>
  <c r="AE7" i="64"/>
  <c r="AD7" i="64" s="1"/>
  <c r="AG21" i="62"/>
  <c r="AE15" i="64"/>
  <c r="AD15" i="64" s="1"/>
  <c r="AG10" i="63"/>
  <c r="AG7" i="61"/>
  <c r="AD7" i="61" s="1"/>
  <c r="AE9" i="62"/>
  <c r="AE16" i="63"/>
  <c r="AE11" i="63"/>
  <c r="AE28" i="62"/>
  <c r="AE15" i="60"/>
  <c r="AE29" i="59"/>
  <c r="AE28" i="55"/>
  <c r="AE14" i="58"/>
  <c r="AI9" i="66"/>
  <c r="AE9" i="57"/>
  <c r="AE7" i="51"/>
  <c r="AG31" i="51"/>
  <c r="AE8" i="59"/>
  <c r="AG9" i="60"/>
  <c r="AG15" i="55"/>
  <c r="AG24" i="51"/>
  <c r="AG18" i="57"/>
  <c r="AK8" i="58"/>
  <c r="AG16" i="59"/>
  <c r="AG21" i="59"/>
  <c r="AG21" i="58"/>
  <c r="AG7" i="60"/>
  <c r="AG7" i="57"/>
  <c r="AG22" i="51"/>
  <c r="AG23" i="59"/>
  <c r="AG42" i="55"/>
  <c r="AG30" i="60"/>
  <c r="AG16" i="51"/>
  <c r="AG9" i="58"/>
  <c r="AG15" i="51"/>
  <c r="AI10" i="66"/>
  <c r="AG22" i="59"/>
  <c r="AG22" i="60"/>
  <c r="AI8" i="66"/>
  <c r="AG16" i="57"/>
  <c r="AG14" i="51"/>
  <c r="AG22" i="58"/>
  <c r="AG8" i="59"/>
  <c r="AG22" i="55"/>
  <c r="AG28" i="60"/>
  <c r="AG10" i="60"/>
  <c r="AG29" i="59"/>
  <c r="AG9" i="57"/>
  <c r="AG7" i="51"/>
  <c r="AG14" i="58"/>
  <c r="AG28" i="55"/>
  <c r="AG31" i="59"/>
  <c r="AG31" i="58"/>
  <c r="AG23" i="55"/>
  <c r="AD23" i="55" s="1"/>
  <c r="AE44" i="55"/>
  <c r="AE11" i="57"/>
  <c r="AE30" i="59"/>
  <c r="AE8" i="60"/>
  <c r="AE17" i="60"/>
  <c r="AE36" i="55"/>
  <c r="AE31" i="60"/>
  <c r="AE23" i="58"/>
  <c r="AE19" i="57"/>
  <c r="AD19" i="57" s="1"/>
  <c r="AI11" i="66"/>
  <c r="AE8" i="51"/>
  <c r="AE43" i="55"/>
  <c r="AE24" i="59"/>
  <c r="AG21" i="60"/>
  <c r="AG29" i="58"/>
  <c r="AG17" i="51"/>
  <c r="AG10" i="57"/>
  <c r="AG7" i="55"/>
  <c r="AG28" i="59"/>
  <c r="AG9" i="51"/>
  <c r="AG21" i="55"/>
  <c r="AG12" i="57"/>
  <c r="AG14" i="60"/>
  <c r="AG7" i="58"/>
  <c r="AG7" i="59"/>
  <c r="AE28" i="51"/>
  <c r="AE35" i="55"/>
  <c r="AE9" i="59"/>
  <c r="AD9" i="59" s="1"/>
  <c r="AE23" i="51"/>
  <c r="AD23" i="51" s="1"/>
  <c r="AE29" i="55"/>
  <c r="AD29" i="55" s="1"/>
  <c r="AE9" i="66"/>
  <c r="AE16" i="60"/>
  <c r="AD16" i="60" s="1"/>
  <c r="AE29" i="51"/>
  <c r="AE8" i="57"/>
  <c r="AE28" i="58"/>
  <c r="AE14" i="59"/>
  <c r="AE31" i="59"/>
  <c r="AE31" i="58"/>
  <c r="AE23" i="59"/>
  <c r="AE42" i="55"/>
  <c r="AE16" i="51"/>
  <c r="AD16" i="51" s="1"/>
  <c r="AE30" i="60"/>
  <c r="AD30" i="60" s="1"/>
  <c r="W69" i="16"/>
  <c r="AG10" i="59"/>
  <c r="AD10" i="59" s="1"/>
  <c r="AK23" i="60"/>
  <c r="AG30" i="51"/>
  <c r="AK9" i="66"/>
  <c r="AG17" i="60"/>
  <c r="AG24" i="58"/>
  <c r="AD24" i="58" s="1"/>
  <c r="AE29" i="60"/>
  <c r="AE15" i="58"/>
  <c r="AE13" i="57"/>
  <c r="AI9" i="55"/>
  <c r="AI8" i="51"/>
  <c r="AG36" i="55"/>
  <c r="AG29" i="51"/>
  <c r="AG8" i="57"/>
  <c r="AG28" i="58"/>
  <c r="AG14" i="59"/>
  <c r="AE21" i="59"/>
  <c r="AE21" i="58"/>
  <c r="AI7" i="66"/>
  <c r="AE14" i="55"/>
  <c r="AE7" i="57"/>
  <c r="AD7" i="57" s="1"/>
  <c r="AE22" i="51"/>
  <c r="AD22" i="51" s="1"/>
  <c r="AE7" i="60"/>
  <c r="AE21" i="60"/>
  <c r="AE29" i="58"/>
  <c r="AE17" i="51"/>
  <c r="AE10" i="57"/>
  <c r="AE7" i="55"/>
  <c r="AE28" i="59"/>
  <c r="AG15" i="57"/>
  <c r="AK10" i="66"/>
  <c r="AG16" i="55"/>
  <c r="AG24" i="60"/>
  <c r="AG30" i="58"/>
  <c r="AG31" i="60"/>
  <c r="AG23" i="58"/>
  <c r="AE21" i="51"/>
  <c r="AG43" i="55"/>
  <c r="AG24" i="59"/>
  <c r="AG44" i="55"/>
  <c r="AG11" i="57"/>
  <c r="AG30" i="59"/>
  <c r="AG8" i="60"/>
  <c r="AE9" i="51"/>
  <c r="AE21" i="55"/>
  <c r="AE7" i="58"/>
  <c r="AE7" i="59"/>
  <c r="AE14" i="60"/>
  <c r="AE12" i="57"/>
  <c r="AE23" i="60"/>
  <c r="AE15" i="59"/>
  <c r="AE7" i="66"/>
  <c r="AE30" i="51"/>
  <c r="AE16" i="58"/>
  <c r="AE9" i="60"/>
  <c r="AE15" i="55"/>
  <c r="AE11" i="66"/>
  <c r="AE24" i="51"/>
  <c r="AE8" i="58"/>
  <c r="AE16" i="59"/>
  <c r="AE18" i="57"/>
  <c r="AD18" i="57" s="1"/>
  <c r="AG29" i="60"/>
  <c r="AK15" i="58"/>
  <c r="AG17" i="57"/>
  <c r="AD17" i="57" s="1"/>
  <c r="AG21" i="51"/>
  <c r="AK8" i="66"/>
  <c r="AG14" i="55"/>
  <c r="AE22" i="55"/>
  <c r="AE16" i="57"/>
  <c r="AE28" i="60"/>
  <c r="AE14" i="51"/>
  <c r="AE22" i="58"/>
  <c r="AI23" i="60"/>
  <c r="AG15" i="59"/>
  <c r="AI35" i="55"/>
  <c r="AK14" i="57"/>
  <c r="AD14" i="57" s="1"/>
  <c r="AG28" i="51"/>
  <c r="AG16" i="58"/>
  <c r="AE15" i="57"/>
  <c r="AE30" i="58"/>
  <c r="AE24" i="60"/>
  <c r="AK7" i="66"/>
  <c r="AE16" i="55"/>
  <c r="AG15" i="60"/>
  <c r="AE31" i="51"/>
  <c r="AK11" i="66"/>
  <c r="AE8" i="55"/>
  <c r="AD8" i="55" s="1"/>
  <c r="AE9" i="58"/>
  <c r="AG13" i="57"/>
  <c r="AE15" i="51"/>
  <c r="AD15" i="51" s="1"/>
  <c r="AK9" i="55"/>
  <c r="AE10" i="66"/>
  <c r="AE22" i="59"/>
  <c r="AE22" i="60"/>
  <c r="T15" i="16"/>
  <c r="T17" i="16"/>
  <c r="T45" i="16"/>
  <c r="T10" i="16"/>
  <c r="W29" i="16"/>
  <c r="W32" i="16"/>
  <c r="W26" i="16"/>
  <c r="W59" i="16"/>
  <c r="W24" i="16"/>
  <c r="W31" i="16"/>
  <c r="W41" i="16"/>
  <c r="W39" i="16"/>
  <c r="W14" i="16"/>
  <c r="T44" i="16"/>
  <c r="I7" i="8"/>
  <c r="T53" i="16"/>
  <c r="I53" i="16"/>
  <c r="A53" i="16"/>
  <c r="G53" i="16"/>
  <c r="W53" i="16"/>
  <c r="T34" i="16"/>
  <c r="I34" i="16"/>
  <c r="A34" i="16"/>
  <c r="W34" i="16"/>
  <c r="G34" i="16"/>
  <c r="A55" i="16"/>
  <c r="G55" i="16"/>
  <c r="I55" i="16"/>
  <c r="T55" i="16"/>
  <c r="E69" i="16"/>
  <c r="T69" i="16"/>
  <c r="G40" i="16"/>
  <c r="I40" i="16"/>
  <c r="T40" i="16"/>
  <c r="G12" i="16"/>
  <c r="T12" i="16"/>
  <c r="T57" i="16"/>
  <c r="G57" i="16"/>
  <c r="W57" i="16"/>
  <c r="I57" i="16"/>
  <c r="G37" i="16"/>
  <c r="I37" i="16"/>
  <c r="T37" i="16"/>
  <c r="T48" i="16"/>
  <c r="G48" i="16"/>
  <c r="I48" i="16"/>
  <c r="W48" i="16"/>
  <c r="G28" i="16"/>
  <c r="I28" i="16"/>
  <c r="T28" i="16"/>
  <c r="G23" i="16"/>
  <c r="I23" i="16"/>
  <c r="T23" i="16"/>
  <c r="T8" i="16"/>
  <c r="G8" i="16"/>
  <c r="A8" i="16"/>
  <c r="I8" i="16"/>
  <c r="W8" i="16"/>
  <c r="I13" i="16"/>
  <c r="W13" i="16"/>
  <c r="T13" i="16"/>
  <c r="G13" i="16"/>
  <c r="A13" i="16"/>
  <c r="I7" i="16"/>
  <c r="T7" i="16"/>
  <c r="G7" i="16"/>
  <c r="W7" i="16"/>
  <c r="I9" i="16"/>
  <c r="W9" i="16"/>
  <c r="A9" i="16"/>
  <c r="T9" i="16"/>
  <c r="G9" i="16"/>
  <c r="I18" i="16"/>
  <c r="G18" i="16"/>
  <c r="W18" i="16"/>
  <c r="W19" i="16"/>
  <c r="T19" i="16"/>
  <c r="I19" i="16"/>
  <c r="G19" i="16"/>
  <c r="G27" i="16"/>
  <c r="I27" i="16"/>
  <c r="W27" i="16"/>
  <c r="W40" i="16"/>
  <c r="W37" i="16"/>
  <c r="I38" i="16"/>
  <c r="E38" i="16"/>
  <c r="W38" i="16"/>
  <c r="W28" i="16"/>
  <c r="W23" i="16"/>
  <c r="G44" i="16"/>
  <c r="A44" i="16"/>
  <c r="I44" i="16"/>
  <c r="W44" i="16"/>
  <c r="I26" i="16"/>
  <c r="G26" i="16"/>
  <c r="T26" i="16"/>
  <c r="I31" i="16"/>
  <c r="G31" i="16"/>
  <c r="A31" i="16"/>
  <c r="T31" i="16"/>
  <c r="W47" i="16"/>
  <c r="E47" i="16"/>
  <c r="A47" i="16"/>
  <c r="T47" i="16"/>
  <c r="I47" i="16"/>
  <c r="T21" i="16"/>
  <c r="G21" i="16"/>
  <c r="A21" i="16"/>
  <c r="I21" i="16"/>
  <c r="W21" i="16"/>
  <c r="T42" i="16"/>
  <c r="E42" i="16"/>
  <c r="A42" i="16"/>
  <c r="I42" i="16"/>
  <c r="W42" i="16"/>
  <c r="I45" i="16"/>
  <c r="A45" i="16"/>
  <c r="E45" i="16"/>
  <c r="W45" i="16"/>
  <c r="I54" i="16"/>
  <c r="G54" i="16"/>
  <c r="A54" i="16"/>
  <c r="T54" i="16"/>
  <c r="I15" i="16"/>
  <c r="W15" i="16"/>
  <c r="G15" i="16"/>
  <c r="I17" i="16"/>
  <c r="W17" i="16"/>
  <c r="G17" i="16"/>
  <c r="W51" i="16"/>
  <c r="I51" i="16"/>
  <c r="T51" i="16"/>
  <c r="G51" i="16"/>
  <c r="I64" i="16"/>
  <c r="W64" i="16"/>
  <c r="T64" i="16"/>
  <c r="E64" i="16"/>
  <c r="E59" i="16"/>
  <c r="T59" i="16"/>
  <c r="G41" i="16"/>
  <c r="A41" i="16"/>
  <c r="I41" i="16"/>
  <c r="T41" i="16"/>
  <c r="T16" i="16"/>
  <c r="E16" i="16"/>
  <c r="I16" i="16"/>
  <c r="W16" i="16"/>
  <c r="G29" i="16"/>
  <c r="I29" i="16"/>
  <c r="T29" i="16"/>
  <c r="T43" i="16"/>
  <c r="G43" i="16"/>
  <c r="A43" i="16"/>
  <c r="I43" i="16"/>
  <c r="W43" i="16"/>
  <c r="G24" i="16"/>
  <c r="I24" i="16"/>
  <c r="T24" i="16"/>
  <c r="G39" i="16"/>
  <c r="I39" i="16"/>
  <c r="T39" i="16"/>
  <c r="T30" i="16"/>
  <c r="G30" i="16"/>
  <c r="W30" i="16"/>
  <c r="I30" i="16"/>
  <c r="G33" i="16"/>
  <c r="A33" i="16"/>
  <c r="T33" i="16"/>
  <c r="I33" i="16"/>
  <c r="G10" i="16"/>
  <c r="A10" i="16"/>
  <c r="I10" i="16"/>
  <c r="W10" i="16"/>
  <c r="I22" i="16"/>
  <c r="T22" i="16"/>
  <c r="G22" i="16"/>
  <c r="W22" i="16"/>
  <c r="I25" i="16"/>
  <c r="T25" i="16"/>
  <c r="E25" i="16"/>
  <c r="W25" i="16"/>
  <c r="G32" i="16"/>
  <c r="T32" i="16"/>
  <c r="T20" i="16"/>
  <c r="G20" i="16"/>
  <c r="W20" i="16"/>
  <c r="I20" i="16"/>
  <c r="T35" i="16"/>
  <c r="G35" i="16"/>
  <c r="I35" i="16"/>
  <c r="W35" i="16"/>
  <c r="G11" i="16"/>
  <c r="I11" i="16"/>
  <c r="A11" i="16"/>
  <c r="T11" i="16"/>
  <c r="T14" i="16"/>
  <c r="G14" i="16"/>
  <c r="I14" i="16"/>
  <c r="AD8" i="78" l="1"/>
  <c r="AD12" i="75"/>
  <c r="AD19" i="78"/>
  <c r="AD14" i="78"/>
  <c r="AD10" i="78"/>
  <c r="AD10" i="77"/>
  <c r="X52" i="16"/>
  <c r="U52" i="16"/>
  <c r="B52" i="16" s="1"/>
  <c r="AD17" i="76"/>
  <c r="AD18" i="76"/>
  <c r="AD11" i="75"/>
  <c r="AD14" i="75"/>
  <c r="AD16" i="75"/>
  <c r="AD10" i="75"/>
  <c r="AD8" i="76"/>
  <c r="AD14" i="76"/>
  <c r="AD12" i="78"/>
  <c r="AD17" i="78"/>
  <c r="AD16" i="78"/>
  <c r="AD16" i="77"/>
  <c r="AD12" i="77"/>
  <c r="X66" i="16"/>
  <c r="U66" i="16"/>
  <c r="D66" i="16" s="1"/>
  <c r="AD18" i="72"/>
  <c r="AD19" i="72"/>
  <c r="AD11" i="72"/>
  <c r="AD15" i="72"/>
  <c r="AD16" i="72"/>
  <c r="AD24" i="71"/>
  <c r="AD11" i="73"/>
  <c r="AD9" i="68"/>
  <c r="X61" i="16"/>
  <c r="X56" i="16"/>
  <c r="U61" i="16"/>
  <c r="U56" i="16"/>
  <c r="AD9" i="76"/>
  <c r="AD22" i="59"/>
  <c r="AD31" i="51"/>
  <c r="AD8" i="58"/>
  <c r="AD9" i="60"/>
  <c r="AD10" i="60"/>
  <c r="AD9" i="63"/>
  <c r="AD30" i="71"/>
  <c r="AD16" i="71"/>
  <c r="AD10" i="73"/>
  <c r="AD10" i="72"/>
  <c r="AD16" i="73"/>
  <c r="AD9" i="71"/>
  <c r="AD14" i="71"/>
  <c r="AD14" i="73"/>
  <c r="AD7" i="72"/>
  <c r="AD9" i="72"/>
  <c r="AD29" i="71"/>
  <c r="AD15" i="68"/>
  <c r="AD23" i="67"/>
  <c r="AD15" i="73"/>
  <c r="AD15" i="67"/>
  <c r="X60" i="16"/>
  <c r="U60" i="16"/>
  <c r="D60" i="16" s="1"/>
  <c r="AD7" i="67"/>
  <c r="B60" i="16"/>
  <c r="AD31" i="71"/>
  <c r="AD28" i="71"/>
  <c r="AD15" i="71"/>
  <c r="AD13" i="73"/>
  <c r="AD8" i="73"/>
  <c r="AD22" i="71"/>
  <c r="AD8" i="67"/>
  <c r="X70" i="16"/>
  <c r="X73" i="16"/>
  <c r="U70" i="16"/>
  <c r="U73" i="16"/>
  <c r="AD21" i="67"/>
  <c r="AD8" i="71"/>
  <c r="AD30" i="67"/>
  <c r="AD22" i="67"/>
  <c r="AD23" i="71"/>
  <c r="AD10" i="71"/>
  <c r="AD21" i="71"/>
  <c r="X68" i="16"/>
  <c r="U68" i="16"/>
  <c r="AD14" i="67"/>
  <c r="AD28" i="67"/>
  <c r="AD29" i="67"/>
  <c r="AD31" i="67"/>
  <c r="AD21" i="55"/>
  <c r="AD11" i="63"/>
  <c r="AD9" i="62"/>
  <c r="AD23" i="62"/>
  <c r="AD16" i="55"/>
  <c r="AD15" i="57"/>
  <c r="AD28" i="62"/>
  <c r="AD16" i="63"/>
  <c r="AD7" i="59"/>
  <c r="AD14" i="51"/>
  <c r="AD22" i="60"/>
  <c r="AD10" i="66"/>
  <c r="AD9" i="58"/>
  <c r="AD22" i="58"/>
  <c r="AD16" i="59"/>
  <c r="AD15" i="55"/>
  <c r="AD7" i="58"/>
  <c r="AD9" i="51"/>
  <c r="AD21" i="58"/>
  <c r="AD23" i="59"/>
  <c r="AD19" i="63"/>
  <c r="AD28" i="51"/>
  <c r="AD16" i="57"/>
  <c r="AD12" i="57"/>
  <c r="AD7" i="55"/>
  <c r="AD17" i="51"/>
  <c r="AD21" i="60"/>
  <c r="AD14" i="60"/>
  <c r="AD7" i="60"/>
  <c r="AD21" i="59"/>
  <c r="AD42" i="55"/>
  <c r="AD10" i="57"/>
  <c r="AD29" i="58"/>
  <c r="AD31" i="58"/>
  <c r="AD13" i="61"/>
  <c r="AD7" i="62"/>
  <c r="AD24" i="60"/>
  <c r="AD30" i="51"/>
  <c r="AD31" i="59"/>
  <c r="AD28" i="55"/>
  <c r="AD8" i="61"/>
  <c r="AD8" i="63"/>
  <c r="AD17" i="63"/>
  <c r="AD22" i="62"/>
  <c r="AD10" i="63"/>
  <c r="AD14" i="61"/>
  <c r="AD11" i="61"/>
  <c r="AD24" i="62"/>
  <c r="AD17" i="58"/>
  <c r="AD14" i="63"/>
  <c r="AD15" i="62"/>
  <c r="AD16" i="61"/>
  <c r="AD21" i="62"/>
  <c r="AD29" i="62"/>
  <c r="AD14" i="62"/>
  <c r="AD9" i="55"/>
  <c r="AD11" i="66"/>
  <c r="AD15" i="59"/>
  <c r="AD30" i="58"/>
  <c r="AD14" i="55"/>
  <c r="AD15" i="58"/>
  <c r="AD14" i="59"/>
  <c r="AD8" i="57"/>
  <c r="AD43" i="55"/>
  <c r="AD23" i="58"/>
  <c r="AD36" i="55"/>
  <c r="AD8" i="60"/>
  <c r="AD11" i="57"/>
  <c r="AD28" i="60"/>
  <c r="AD8" i="66"/>
  <c r="AD24" i="51"/>
  <c r="AD9" i="57"/>
  <c r="AD14" i="58"/>
  <c r="AD29" i="59"/>
  <c r="AD16" i="58"/>
  <c r="AD7" i="66"/>
  <c r="AD23" i="60"/>
  <c r="AD21" i="51"/>
  <c r="AD13" i="57"/>
  <c r="AD29" i="60"/>
  <c r="AD28" i="58"/>
  <c r="AD29" i="51"/>
  <c r="AD9" i="66"/>
  <c r="AD35" i="55"/>
  <c r="AD28" i="59"/>
  <c r="AD24" i="59"/>
  <c r="AD8" i="51"/>
  <c r="AD31" i="60"/>
  <c r="AD17" i="60"/>
  <c r="AD30" i="59"/>
  <c r="AD44" i="55"/>
  <c r="AD22" i="55"/>
  <c r="AD8" i="59"/>
  <c r="AD7" i="51"/>
  <c r="AD15" i="60"/>
  <c r="X49" i="16"/>
  <c r="U49" i="16"/>
  <c r="D49" i="16" s="1"/>
  <c r="X50" i="16"/>
  <c r="U50" i="16"/>
  <c r="X63" i="16"/>
  <c r="U46" i="16"/>
  <c r="U63" i="16"/>
  <c r="D63" i="16" s="1"/>
  <c r="X46" i="16"/>
  <c r="X62" i="16"/>
  <c r="U62" i="16"/>
  <c r="D62" i="16" s="1"/>
  <c r="U58" i="16"/>
  <c r="D58" i="16" s="1"/>
  <c r="U71" i="16"/>
  <c r="D71" i="16" s="1"/>
  <c r="U72" i="16"/>
  <c r="D72" i="16" s="1"/>
  <c r="U67" i="16"/>
  <c r="D67" i="16" s="1"/>
  <c r="X58" i="16"/>
  <c r="X67" i="16"/>
  <c r="X72" i="16"/>
  <c r="X71" i="16"/>
  <c r="U36" i="16"/>
  <c r="X36" i="16"/>
  <c r="U65" i="16"/>
  <c r="D65" i="16" s="1"/>
  <c r="X65" i="16"/>
  <c r="X11" i="16"/>
  <c r="U14" i="16"/>
  <c r="X31" i="16"/>
  <c r="X35" i="16"/>
  <c r="U35" i="16"/>
  <c r="D35" i="16" s="1"/>
  <c r="X20" i="16"/>
  <c r="U20" i="16"/>
  <c r="D20" i="16" s="1"/>
  <c r="U32" i="16"/>
  <c r="D32" i="16" s="1"/>
  <c r="U33" i="16"/>
  <c r="D33" i="16" s="1"/>
  <c r="U39" i="16"/>
  <c r="D39" i="16" s="1"/>
  <c r="X43" i="16"/>
  <c r="X16" i="16"/>
  <c r="U16" i="16"/>
  <c r="D16" i="16" s="1"/>
  <c r="U64" i="16"/>
  <c r="D64" i="16" s="1"/>
  <c r="X51" i="16"/>
  <c r="X17" i="16"/>
  <c r="U17" i="16"/>
  <c r="D17" i="16" s="1"/>
  <c r="U15" i="16"/>
  <c r="D15" i="16" s="1"/>
  <c r="X54" i="16"/>
  <c r="X42" i="16"/>
  <c r="X21" i="16"/>
  <c r="U47" i="16"/>
  <c r="D47" i="16" s="1"/>
  <c r="U31" i="16"/>
  <c r="D31" i="16" s="1"/>
  <c r="U26" i="16"/>
  <c r="D26" i="16" s="1"/>
  <c r="X44" i="16"/>
  <c r="X28" i="16"/>
  <c r="X38" i="16"/>
  <c r="U38" i="16"/>
  <c r="D38" i="16" s="1"/>
  <c r="X14" i="16"/>
  <c r="X27" i="16"/>
  <c r="U27" i="16"/>
  <c r="D27" i="16" s="1"/>
  <c r="X24" i="16"/>
  <c r="X41" i="16"/>
  <c r="X19" i="16"/>
  <c r="U9" i="16"/>
  <c r="D9" i="16" s="1"/>
  <c r="X9" i="16"/>
  <c r="X7" i="16"/>
  <c r="U7" i="16"/>
  <c r="D7" i="16" s="1"/>
  <c r="U44" i="16"/>
  <c r="D44" i="16" s="1"/>
  <c r="X13" i="16"/>
  <c r="U8" i="16"/>
  <c r="D8" i="16" s="1"/>
  <c r="U28" i="16"/>
  <c r="D28" i="16" s="1"/>
  <c r="U48" i="16"/>
  <c r="D48" i="16" s="1"/>
  <c r="U12" i="16"/>
  <c r="D12" i="16" s="1"/>
  <c r="U55" i="16"/>
  <c r="D55" i="16" s="1"/>
  <c r="U53" i="16"/>
  <c r="D53" i="16" s="1"/>
  <c r="U11" i="16"/>
  <c r="D11" i="16" s="1"/>
  <c r="X25" i="16"/>
  <c r="U25" i="16"/>
  <c r="D25" i="16" s="1"/>
  <c r="X22" i="16"/>
  <c r="U22" i="16"/>
  <c r="D22" i="16" s="1"/>
  <c r="X10" i="16"/>
  <c r="X33" i="16"/>
  <c r="X30" i="16"/>
  <c r="U30" i="16"/>
  <c r="D30" i="16" s="1"/>
  <c r="U24" i="16"/>
  <c r="D24" i="16" s="1"/>
  <c r="U43" i="16"/>
  <c r="D43" i="16" s="1"/>
  <c r="U29" i="16"/>
  <c r="D29" i="16" s="1"/>
  <c r="U41" i="16"/>
  <c r="D41" i="16" s="1"/>
  <c r="U59" i="16"/>
  <c r="D59" i="16" s="1"/>
  <c r="X64" i="16"/>
  <c r="U51" i="16"/>
  <c r="D51" i="16" s="1"/>
  <c r="X15" i="16"/>
  <c r="U54" i="16"/>
  <c r="D54" i="16" s="1"/>
  <c r="X45" i="16"/>
  <c r="U42" i="16"/>
  <c r="D42" i="16" s="1"/>
  <c r="U21" i="16"/>
  <c r="D21" i="16" s="1"/>
  <c r="X47" i="16"/>
  <c r="X23" i="16"/>
  <c r="X37" i="16"/>
  <c r="X40" i="16"/>
  <c r="X32" i="16"/>
  <c r="U10" i="16"/>
  <c r="D10" i="16" s="1"/>
  <c r="X39" i="16"/>
  <c r="X29" i="16"/>
  <c r="X59" i="16"/>
  <c r="U19" i="16"/>
  <c r="D19" i="16" s="1"/>
  <c r="U45" i="16"/>
  <c r="D45" i="16" s="1"/>
  <c r="X18" i="16"/>
  <c r="U18" i="16"/>
  <c r="D18" i="16" s="1"/>
  <c r="X26" i="16"/>
  <c r="U13" i="16"/>
  <c r="D13" i="16" s="1"/>
  <c r="X8" i="16"/>
  <c r="U23" i="16"/>
  <c r="D23" i="16" s="1"/>
  <c r="X48" i="16"/>
  <c r="U37" i="16"/>
  <c r="D37" i="16" s="1"/>
  <c r="X57" i="16"/>
  <c r="U57" i="16"/>
  <c r="D57" i="16" s="1"/>
  <c r="X12" i="16"/>
  <c r="U40" i="16"/>
  <c r="D40" i="16" s="1"/>
  <c r="U69" i="16"/>
  <c r="D69" i="16" s="1"/>
  <c r="X69" i="16"/>
  <c r="X55" i="16"/>
  <c r="X34" i="16"/>
  <c r="U34" i="16"/>
  <c r="D34" i="16" s="1"/>
  <c r="X53" i="16"/>
  <c r="J52" i="16" l="1"/>
  <c r="F52" i="16"/>
  <c r="H52" i="16"/>
  <c r="D52" i="16"/>
  <c r="K52" i="16"/>
  <c r="AQ52" i="16" s="1"/>
  <c r="Y52" i="16"/>
  <c r="J66" i="16"/>
  <c r="B66" i="16"/>
  <c r="H60" i="16"/>
  <c r="J60" i="16"/>
  <c r="F60" i="16"/>
  <c r="F66" i="16"/>
  <c r="H66" i="16"/>
  <c r="K61" i="16"/>
  <c r="AQ61" i="16" s="1"/>
  <c r="K56" i="16"/>
  <c r="AQ56" i="16" s="1"/>
  <c r="Y66" i="16"/>
  <c r="B56" i="16"/>
  <c r="F56" i="16"/>
  <c r="J56" i="16"/>
  <c r="D56" i="16"/>
  <c r="H56" i="16"/>
  <c r="B61" i="16"/>
  <c r="F61" i="16"/>
  <c r="J61" i="16"/>
  <c r="D61" i="16"/>
  <c r="H61" i="16"/>
  <c r="Y61" i="16"/>
  <c r="Y56" i="16"/>
  <c r="K68" i="16"/>
  <c r="AQ68" i="16" s="1"/>
  <c r="K70" i="16"/>
  <c r="AQ70" i="16" s="1"/>
  <c r="K60" i="16"/>
  <c r="AQ60" i="16" s="1"/>
  <c r="K73" i="16"/>
  <c r="AQ73" i="16" s="1"/>
  <c r="Y60" i="16"/>
  <c r="D70" i="16"/>
  <c r="H70" i="16"/>
  <c r="B70" i="16"/>
  <c r="F70" i="16"/>
  <c r="J70" i="16"/>
  <c r="B73" i="16"/>
  <c r="F73" i="16"/>
  <c r="J73" i="16"/>
  <c r="D73" i="16"/>
  <c r="H73" i="16"/>
  <c r="Y73" i="16"/>
  <c r="Y70" i="16"/>
  <c r="H68" i="16"/>
  <c r="B68" i="16"/>
  <c r="D68" i="16"/>
  <c r="J68" i="16"/>
  <c r="F68" i="16"/>
  <c r="Y68" i="16"/>
  <c r="H36" i="16"/>
  <c r="D36" i="16"/>
  <c r="J14" i="16"/>
  <c r="D14" i="16"/>
  <c r="H46" i="16"/>
  <c r="D46" i="16"/>
  <c r="F50" i="16"/>
  <c r="D50" i="16"/>
  <c r="B50" i="16"/>
  <c r="K49" i="16"/>
  <c r="B49" i="16"/>
  <c r="F49" i="16"/>
  <c r="J49" i="16"/>
  <c r="H49" i="16"/>
  <c r="Y49" i="16"/>
  <c r="K45" i="16"/>
  <c r="K54" i="16"/>
  <c r="AQ54" i="16" s="1"/>
  <c r="J46" i="16"/>
  <c r="B46" i="16"/>
  <c r="H50" i="16"/>
  <c r="J50" i="16"/>
  <c r="K53" i="16"/>
  <c r="AQ53" i="16" s="1"/>
  <c r="K50" i="16"/>
  <c r="Y50" i="16"/>
  <c r="F46" i="16"/>
  <c r="K63" i="16"/>
  <c r="AQ63" i="16" s="1"/>
  <c r="K46" i="16"/>
  <c r="H63" i="16"/>
  <c r="B63" i="16"/>
  <c r="F63" i="16"/>
  <c r="J63" i="16"/>
  <c r="Y63" i="16"/>
  <c r="Y46" i="16"/>
  <c r="K19" i="16"/>
  <c r="K67" i="16"/>
  <c r="AQ67" i="16" s="1"/>
  <c r="K71" i="16"/>
  <c r="AQ71" i="16" s="1"/>
  <c r="K62" i="16"/>
  <c r="AQ62" i="16" s="1"/>
  <c r="K72" i="16"/>
  <c r="AQ72" i="16" s="1"/>
  <c r="K58" i="16"/>
  <c r="AQ58" i="16" s="1"/>
  <c r="J36" i="16"/>
  <c r="B36" i="16"/>
  <c r="B72" i="16"/>
  <c r="F72" i="16"/>
  <c r="J72" i="16"/>
  <c r="H72" i="16"/>
  <c r="B58" i="16"/>
  <c r="F58" i="16"/>
  <c r="J58" i="16"/>
  <c r="H58" i="16"/>
  <c r="H67" i="16"/>
  <c r="B67" i="16"/>
  <c r="F67" i="16"/>
  <c r="J67" i="16"/>
  <c r="B71" i="16"/>
  <c r="F71" i="16"/>
  <c r="H71" i="16"/>
  <c r="J71" i="16"/>
  <c r="B62" i="16"/>
  <c r="F62" i="16"/>
  <c r="J62" i="16"/>
  <c r="H62" i="16"/>
  <c r="Y62" i="16"/>
  <c r="Y58" i="16"/>
  <c r="Y71" i="16"/>
  <c r="Y67" i="16"/>
  <c r="Y72" i="16"/>
  <c r="F14" i="16"/>
  <c r="F36" i="16"/>
  <c r="B14" i="16"/>
  <c r="K65" i="16"/>
  <c r="AQ65" i="16" s="1"/>
  <c r="K34" i="16"/>
  <c r="K36" i="16"/>
  <c r="Y36" i="16"/>
  <c r="H65" i="16"/>
  <c r="B65" i="16"/>
  <c r="F65" i="16"/>
  <c r="J65" i="16"/>
  <c r="Y65" i="16"/>
  <c r="H14" i="16"/>
  <c r="Y53" i="16"/>
  <c r="Y35" i="16"/>
  <c r="Y34" i="16"/>
  <c r="Y55" i="16"/>
  <c r="B69" i="16"/>
  <c r="H69" i="16"/>
  <c r="J69" i="16"/>
  <c r="F69" i="16"/>
  <c r="K69" i="16"/>
  <c r="AQ69" i="16" s="1"/>
  <c r="J40" i="16"/>
  <c r="F40" i="16"/>
  <c r="B40" i="16"/>
  <c r="H40" i="16"/>
  <c r="K40" i="16"/>
  <c r="J57" i="16"/>
  <c r="F57" i="16"/>
  <c r="B57" i="16"/>
  <c r="H57" i="16"/>
  <c r="K57" i="16"/>
  <c r="AQ57" i="16" s="1"/>
  <c r="H37" i="16"/>
  <c r="J37" i="16"/>
  <c r="F37" i="16"/>
  <c r="B37" i="16"/>
  <c r="K37" i="16"/>
  <c r="H23" i="16"/>
  <c r="J23" i="16"/>
  <c r="F23" i="16"/>
  <c r="B23" i="16"/>
  <c r="K23" i="16"/>
  <c r="AO23" i="16" s="1"/>
  <c r="B13" i="16"/>
  <c r="J13" i="16"/>
  <c r="H13" i="16"/>
  <c r="F13" i="16"/>
  <c r="K13" i="16"/>
  <c r="Y26" i="16"/>
  <c r="Y18" i="16"/>
  <c r="Y29" i="16"/>
  <c r="J10" i="16"/>
  <c r="F10" i="16"/>
  <c r="B10" i="16"/>
  <c r="H10" i="16"/>
  <c r="K10" i="16"/>
  <c r="Y37" i="16"/>
  <c r="J21" i="16"/>
  <c r="F21" i="16"/>
  <c r="B21" i="16"/>
  <c r="H21" i="16"/>
  <c r="K21" i="16"/>
  <c r="J54" i="16"/>
  <c r="F54" i="16"/>
  <c r="B54" i="16"/>
  <c r="H54" i="16"/>
  <c r="Y64" i="16"/>
  <c r="J41" i="16"/>
  <c r="B41" i="16"/>
  <c r="F41" i="16"/>
  <c r="H41" i="16"/>
  <c r="K41" i="16"/>
  <c r="J43" i="16"/>
  <c r="F43" i="16"/>
  <c r="B43" i="16"/>
  <c r="H43" i="16"/>
  <c r="K43" i="16"/>
  <c r="H30" i="16"/>
  <c r="J30" i="16"/>
  <c r="B30" i="16"/>
  <c r="F30" i="16"/>
  <c r="K30" i="16"/>
  <c r="Y33" i="16"/>
  <c r="B22" i="16"/>
  <c r="J22" i="16"/>
  <c r="H22" i="16"/>
  <c r="F22" i="16"/>
  <c r="K22" i="16"/>
  <c r="H25" i="16"/>
  <c r="J25" i="16"/>
  <c r="F25" i="16"/>
  <c r="B25" i="16"/>
  <c r="K25" i="16"/>
  <c r="J12" i="16"/>
  <c r="F12" i="16"/>
  <c r="B12" i="16"/>
  <c r="H12" i="16"/>
  <c r="K12" i="16"/>
  <c r="J28" i="16"/>
  <c r="F28" i="16"/>
  <c r="B28" i="16"/>
  <c r="H28" i="16"/>
  <c r="K28" i="16"/>
  <c r="AO28" i="16" s="1"/>
  <c r="Y13" i="16"/>
  <c r="F7" i="16"/>
  <c r="H7" i="16"/>
  <c r="J7" i="16"/>
  <c r="B7" i="16"/>
  <c r="K7" i="16"/>
  <c r="Y9" i="16"/>
  <c r="J9" i="16"/>
  <c r="B9" i="16"/>
  <c r="F9" i="16"/>
  <c r="H9" i="16"/>
  <c r="K9" i="16"/>
  <c r="AO9" i="16" s="1"/>
  <c r="K14" i="16"/>
  <c r="Y19" i="16"/>
  <c r="Y24" i="16"/>
  <c r="Y27" i="16"/>
  <c r="Y14" i="16"/>
  <c r="H38" i="16"/>
  <c r="J38" i="16"/>
  <c r="F38" i="16"/>
  <c r="B38" i="16"/>
  <c r="K38" i="16"/>
  <c r="Y28" i="16"/>
  <c r="H31" i="16"/>
  <c r="J31" i="16"/>
  <c r="F31" i="16"/>
  <c r="B31" i="16"/>
  <c r="K31" i="16"/>
  <c r="Y21" i="16"/>
  <c r="Y54" i="16"/>
  <c r="H17" i="16"/>
  <c r="J17" i="16"/>
  <c r="F17" i="16"/>
  <c r="B17" i="16"/>
  <c r="K17" i="16"/>
  <c r="H64" i="16"/>
  <c r="J64" i="16"/>
  <c r="F64" i="16"/>
  <c r="B64" i="16"/>
  <c r="K64" i="16"/>
  <c r="AQ64" i="16" s="1"/>
  <c r="Y16" i="16"/>
  <c r="H39" i="16"/>
  <c r="J39" i="16"/>
  <c r="F39" i="16"/>
  <c r="B39" i="16"/>
  <c r="K39" i="16"/>
  <c r="AO39" i="16" s="1"/>
  <c r="H20" i="16"/>
  <c r="J20" i="16"/>
  <c r="F20" i="16"/>
  <c r="B20" i="16"/>
  <c r="K20" i="16"/>
  <c r="J35" i="16"/>
  <c r="F35" i="16"/>
  <c r="B35" i="16"/>
  <c r="H35" i="16"/>
  <c r="K35" i="16"/>
  <c r="H34" i="16"/>
  <c r="J34" i="16"/>
  <c r="F34" i="16"/>
  <c r="B34" i="16"/>
  <c r="Y69" i="16"/>
  <c r="Y12" i="16"/>
  <c r="Y57" i="16"/>
  <c r="Y48" i="16"/>
  <c r="Y8" i="16"/>
  <c r="H18" i="16"/>
  <c r="J18" i="16"/>
  <c r="F18" i="16"/>
  <c r="B18" i="16"/>
  <c r="K18" i="16"/>
  <c r="AO18" i="16" s="1"/>
  <c r="J45" i="16"/>
  <c r="F45" i="16"/>
  <c r="B45" i="16"/>
  <c r="H45" i="16"/>
  <c r="J19" i="16"/>
  <c r="B19" i="16"/>
  <c r="F19" i="16"/>
  <c r="H19" i="16"/>
  <c r="Y59" i="16"/>
  <c r="Y39" i="16"/>
  <c r="Y32" i="16"/>
  <c r="Y40" i="16"/>
  <c r="Y23" i="16"/>
  <c r="Y47" i="16"/>
  <c r="B42" i="16"/>
  <c r="J42" i="16"/>
  <c r="H42" i="16"/>
  <c r="F42" i="16"/>
  <c r="K42" i="16"/>
  <c r="Y45" i="16"/>
  <c r="Y15" i="16"/>
  <c r="J51" i="16"/>
  <c r="B51" i="16"/>
  <c r="F51" i="16"/>
  <c r="H51" i="16"/>
  <c r="K51" i="16"/>
  <c r="H59" i="16"/>
  <c r="J59" i="16"/>
  <c r="F59" i="16"/>
  <c r="B59" i="16"/>
  <c r="K59" i="16"/>
  <c r="AQ59" i="16" s="1"/>
  <c r="J29" i="16"/>
  <c r="F29" i="16"/>
  <c r="B29" i="16"/>
  <c r="H29" i="16"/>
  <c r="K29" i="16"/>
  <c r="J24" i="16"/>
  <c r="F24" i="16"/>
  <c r="B24" i="16"/>
  <c r="H24" i="16"/>
  <c r="K24" i="16"/>
  <c r="AO24" i="16" s="1"/>
  <c r="Y30" i="16"/>
  <c r="Y10" i="16"/>
  <c r="Y22" i="16"/>
  <c r="Y25" i="16"/>
  <c r="H11" i="16"/>
  <c r="J11" i="16"/>
  <c r="F11" i="16"/>
  <c r="B11" i="16"/>
  <c r="K11" i="16"/>
  <c r="AO11" i="16" s="1"/>
  <c r="H53" i="16"/>
  <c r="J53" i="16"/>
  <c r="F53" i="16"/>
  <c r="B53" i="16"/>
  <c r="J55" i="16"/>
  <c r="F55" i="16"/>
  <c r="B55" i="16"/>
  <c r="H55" i="16"/>
  <c r="K55" i="16"/>
  <c r="AQ55" i="16" s="1"/>
  <c r="J48" i="16"/>
  <c r="F48" i="16"/>
  <c r="B48" i="16"/>
  <c r="H48" i="16"/>
  <c r="K48" i="16"/>
  <c r="F8" i="16"/>
  <c r="H8" i="16"/>
  <c r="J8" i="16"/>
  <c r="B8" i="16"/>
  <c r="K8" i="16"/>
  <c r="F44" i="16"/>
  <c r="H44" i="16"/>
  <c r="J44" i="16"/>
  <c r="B44" i="16"/>
  <c r="K44" i="16"/>
  <c r="Y7" i="16"/>
  <c r="Y41" i="16"/>
  <c r="J27" i="16"/>
  <c r="F27" i="16"/>
  <c r="B27" i="16"/>
  <c r="H27" i="16"/>
  <c r="K27" i="16"/>
  <c r="Y38" i="16"/>
  <c r="Y44" i="16"/>
  <c r="J26" i="16"/>
  <c r="F26" i="16"/>
  <c r="B26" i="16"/>
  <c r="H26" i="16"/>
  <c r="K26" i="16"/>
  <c r="H47" i="16"/>
  <c r="J47" i="16"/>
  <c r="F47" i="16"/>
  <c r="B47" i="16"/>
  <c r="K47" i="16"/>
  <c r="AQ47" i="16" s="1"/>
  <c r="Y42" i="16"/>
  <c r="H15" i="16"/>
  <c r="J15" i="16"/>
  <c r="F15" i="16"/>
  <c r="B15" i="16"/>
  <c r="K15" i="16"/>
  <c r="Y17" i="16"/>
  <c r="Y51" i="16"/>
  <c r="H16" i="16"/>
  <c r="J16" i="16"/>
  <c r="B16" i="16"/>
  <c r="F16" i="16"/>
  <c r="K16" i="16"/>
  <c r="Y43" i="16"/>
  <c r="J33" i="16"/>
  <c r="F33" i="16"/>
  <c r="B33" i="16"/>
  <c r="H33" i="16"/>
  <c r="K33" i="16"/>
  <c r="J32" i="16"/>
  <c r="F32" i="16"/>
  <c r="B32" i="16"/>
  <c r="H32" i="16"/>
  <c r="K32" i="16"/>
  <c r="Y20" i="16"/>
  <c r="Y11" i="16"/>
  <c r="Y31" i="16"/>
  <c r="I52" i="16" l="1"/>
  <c r="E52" i="16"/>
  <c r="C52" i="16"/>
  <c r="AO40" i="16"/>
  <c r="AO50" i="16"/>
  <c r="AO41" i="16"/>
  <c r="AO45" i="16"/>
  <c r="AO49" i="16"/>
  <c r="I66" i="16"/>
  <c r="E66" i="16"/>
  <c r="G56" i="16"/>
  <c r="I56" i="16"/>
  <c r="G61" i="16"/>
  <c r="AO37" i="16"/>
  <c r="E60" i="16"/>
  <c r="AO46" i="16"/>
  <c r="I73" i="16"/>
  <c r="E70" i="16"/>
  <c r="AO48" i="16"/>
  <c r="E68" i="16"/>
  <c r="E73" i="16"/>
  <c r="I70" i="16"/>
  <c r="AO32" i="16"/>
  <c r="AO44" i="16"/>
  <c r="C48" i="16"/>
  <c r="C33" i="16"/>
  <c r="C7" i="16"/>
  <c r="C12" i="16"/>
  <c r="C59" i="16"/>
  <c r="C23" i="16"/>
  <c r="C40" i="16"/>
  <c r="C39" i="16"/>
  <c r="C17" i="16"/>
  <c r="C8" i="16"/>
  <c r="C32" i="16"/>
  <c r="C16" i="16"/>
  <c r="C28" i="16"/>
  <c r="C24" i="16"/>
  <c r="C19" i="16"/>
  <c r="C37" i="16"/>
  <c r="C35" i="16"/>
  <c r="C64" i="16"/>
  <c r="A19" i="16"/>
  <c r="AO43" i="16"/>
  <c r="A49" i="16"/>
  <c r="AO38" i="16"/>
  <c r="E49" i="16"/>
  <c r="G45" i="16"/>
  <c r="AO20" i="16"/>
  <c r="E54" i="16"/>
  <c r="AO31" i="16"/>
  <c r="AO34" i="16"/>
  <c r="AO35" i="16"/>
  <c r="AO51" i="16"/>
  <c r="AO29" i="16"/>
  <c r="AO21" i="16"/>
  <c r="AO16" i="16"/>
  <c r="AO19" i="16"/>
  <c r="E50" i="16"/>
  <c r="AO26" i="16"/>
  <c r="AO8" i="16"/>
  <c r="E53" i="16"/>
  <c r="AO42" i="16"/>
  <c r="AO25" i="16"/>
  <c r="I46" i="16"/>
  <c r="G46" i="16"/>
  <c r="AO33" i="16"/>
  <c r="E63" i="16"/>
  <c r="AO36" i="16"/>
  <c r="AO27" i="16"/>
  <c r="AO17" i="16"/>
  <c r="AO12" i="16"/>
  <c r="AO22" i="16"/>
  <c r="AO10" i="16"/>
  <c r="AO15" i="16"/>
  <c r="AO14" i="16"/>
  <c r="AO30" i="16"/>
  <c r="AO13" i="16"/>
  <c r="AO7" i="16"/>
  <c r="G58" i="16"/>
  <c r="E19" i="16"/>
  <c r="I62" i="16"/>
  <c r="G72" i="16"/>
  <c r="I72" i="16"/>
  <c r="G36" i="16"/>
  <c r="E34" i="16"/>
  <c r="I65" i="16"/>
  <c r="E65" i="16"/>
  <c r="E32" i="16"/>
  <c r="A16" i="16"/>
  <c r="A14" i="16"/>
  <c r="E33" i="16"/>
  <c r="G16" i="16"/>
  <c r="E15" i="16"/>
  <c r="E26" i="16"/>
  <c r="E27" i="16"/>
  <c r="E44" i="16"/>
  <c r="E8" i="16"/>
  <c r="E48" i="16"/>
  <c r="E11" i="16"/>
  <c r="E24" i="16"/>
  <c r="E29" i="16"/>
  <c r="E51" i="16"/>
  <c r="A51" i="16"/>
  <c r="G42" i="16"/>
  <c r="A18" i="16"/>
  <c r="E35" i="16"/>
  <c r="E20" i="16"/>
  <c r="E39" i="16"/>
  <c r="A64" i="16"/>
  <c r="G64" i="16"/>
  <c r="E17" i="16"/>
  <c r="E31" i="16"/>
  <c r="A38" i="16"/>
  <c r="G38" i="16"/>
  <c r="K74" i="16"/>
  <c r="A7" i="16"/>
  <c r="E28" i="16"/>
  <c r="E12" i="16"/>
  <c r="E30" i="16"/>
  <c r="A30" i="16"/>
  <c r="E10" i="16"/>
  <c r="E13" i="16"/>
  <c r="A23" i="16"/>
  <c r="A37" i="16"/>
  <c r="A57" i="16"/>
  <c r="A40" i="16"/>
  <c r="I69" i="16"/>
  <c r="G69" i="16"/>
  <c r="E14" i="16"/>
  <c r="A32" i="16"/>
  <c r="I32" i="16"/>
  <c r="A15" i="16"/>
  <c r="G47" i="16"/>
  <c r="A26" i="16"/>
  <c r="A27" i="16"/>
  <c r="A48" i="16"/>
  <c r="E55" i="16"/>
  <c r="A24" i="16"/>
  <c r="A29" i="16"/>
  <c r="A59" i="16"/>
  <c r="I59" i="16"/>
  <c r="G59" i="16"/>
  <c r="E18" i="16"/>
  <c r="A35" i="16"/>
  <c r="A20" i="16"/>
  <c r="A39" i="16"/>
  <c r="A17" i="16"/>
  <c r="E9" i="16"/>
  <c r="E7" i="16"/>
  <c r="A28" i="16"/>
  <c r="A12" i="16"/>
  <c r="I12" i="16"/>
  <c r="A25" i="16"/>
  <c r="G25" i="16"/>
  <c r="E22" i="16"/>
  <c r="A22" i="16"/>
  <c r="E43" i="16"/>
  <c r="E41" i="16"/>
  <c r="E21" i="16"/>
  <c r="E23" i="16"/>
  <c r="E37" i="16"/>
  <c r="E57" i="16"/>
  <c r="E40" i="16"/>
  <c r="A69" i="16"/>
  <c r="AQ49" i="16" l="1"/>
  <c r="AQ41" i="16"/>
  <c r="AQ40" i="16"/>
  <c r="AQ45" i="16"/>
  <c r="AQ50" i="16"/>
  <c r="AQ37" i="16"/>
  <c r="AQ46" i="16"/>
  <c r="AQ48" i="16"/>
  <c r="AQ44" i="16"/>
  <c r="AQ32" i="16"/>
  <c r="AQ43" i="16"/>
  <c r="AQ38" i="16"/>
  <c r="AQ20" i="16"/>
  <c r="AQ31" i="16"/>
  <c r="AQ34" i="16"/>
  <c r="AQ35" i="16"/>
  <c r="AQ51" i="16"/>
  <c r="AQ29" i="16"/>
  <c r="AQ21" i="16"/>
  <c r="AQ19" i="16"/>
  <c r="AQ16" i="16"/>
  <c r="AQ26" i="16"/>
  <c r="AQ42" i="16"/>
  <c r="AQ8" i="16"/>
  <c r="AQ11" i="16"/>
  <c r="AQ25" i="16"/>
  <c r="AQ13" i="16"/>
  <c r="AQ24" i="16"/>
  <c r="AQ14" i="16"/>
  <c r="AQ10" i="16"/>
  <c r="AQ12" i="16"/>
  <c r="AQ27" i="16"/>
  <c r="AQ23" i="16"/>
  <c r="AQ28" i="16"/>
  <c r="AQ39" i="16"/>
  <c r="AQ30" i="16"/>
  <c r="AQ15" i="16"/>
  <c r="AQ22" i="16"/>
  <c r="AQ17" i="16"/>
  <c r="AQ36" i="16"/>
  <c r="AQ33" i="16"/>
  <c r="AQ18" i="16"/>
  <c r="AQ9" i="16"/>
  <c r="AQ7" i="16"/>
  <c r="I74" i="16"/>
  <c r="A74" i="16"/>
  <c r="G74" i="16"/>
  <c r="E74" i="16"/>
  <c r="C74" i="16"/>
</calcChain>
</file>

<file path=xl/comments1.xml><?xml version="1.0" encoding="utf-8"?>
<comments xmlns="http://schemas.openxmlformats.org/spreadsheetml/2006/main">
  <authors>
    <author>Author</author>
  </authors>
  <commentList>
    <comment ref="I3" authorId="0">
      <text>
        <r>
          <rPr>
            <b/>
            <sz val="8"/>
            <color indexed="81"/>
            <rFont val="Tahoma"/>
            <family val="2"/>
            <charset val="186"/>
          </rPr>
          <t>Osalejaid</t>
        </r>
      </text>
    </comment>
    <comment ref="F5" authorId="0">
      <text>
        <r>
          <rPr>
            <b/>
            <sz val="8"/>
            <color indexed="81"/>
            <rFont val="Tahoma"/>
            <family val="2"/>
            <charset val="186"/>
          </rPr>
          <t>Voka, Narva mnt 2
Voka petangihall</t>
        </r>
      </text>
    </comment>
    <comment ref="F6" authorId="0">
      <text>
        <r>
          <rPr>
            <b/>
            <sz val="8"/>
            <color indexed="81"/>
            <rFont val="Tahoma"/>
            <family val="2"/>
            <charset val="186"/>
          </rPr>
          <t>Voka, Narva mnt 2
Voka petangihall</t>
        </r>
      </text>
    </comment>
    <comment ref="F7" authorId="0">
      <text>
        <r>
          <rPr>
            <b/>
            <sz val="8"/>
            <color indexed="81"/>
            <rFont val="Tahoma"/>
            <family val="2"/>
            <charset val="186"/>
          </rPr>
          <t>Voka, Narva mnt 2
Voka petangihall</t>
        </r>
      </text>
    </comment>
    <comment ref="F9" authorId="0">
      <text>
        <r>
          <rPr>
            <b/>
            <sz val="8"/>
            <color indexed="81"/>
            <rFont val="Tahoma"/>
            <family val="2"/>
            <charset val="186"/>
          </rPr>
          <t>Voka, Narva mnt 2
Voka petangihall</t>
        </r>
      </text>
    </comment>
    <comment ref="F10" authorId="0">
      <text>
        <r>
          <rPr>
            <b/>
            <sz val="8"/>
            <color indexed="81"/>
            <rFont val="Tahoma"/>
            <family val="2"/>
            <charset val="186"/>
          </rPr>
          <t>Voka, Narva mnt 2
Voka petangihall</t>
        </r>
      </text>
    </comment>
    <comment ref="F12" authorId="0">
      <text>
        <r>
          <rPr>
            <b/>
            <sz val="8"/>
            <color indexed="81"/>
            <rFont val="Tahoma"/>
            <family val="2"/>
            <charset val="186"/>
          </rPr>
          <t>Voka, Narva mnt 2
Voka petangihall</t>
        </r>
      </text>
    </comment>
    <comment ref="F13" authorId="0">
      <text>
        <r>
          <rPr>
            <b/>
            <sz val="8"/>
            <color indexed="81"/>
            <rFont val="Tahoma"/>
            <family val="2"/>
            <charset val="186"/>
          </rPr>
          <t>Voka, Narva mnt 2
Voka petangihall</t>
        </r>
      </text>
    </comment>
    <comment ref="F14" authorId="0">
      <text>
        <r>
          <rPr>
            <b/>
            <sz val="8"/>
            <color indexed="81"/>
            <rFont val="Tahoma"/>
            <family val="2"/>
            <charset val="186"/>
          </rPr>
          <t>Voka, Narva mnt 2
Voka petangihall</t>
        </r>
      </text>
    </comment>
    <comment ref="F15" authorId="0">
      <text>
        <r>
          <rPr>
            <b/>
            <sz val="8"/>
            <color indexed="81"/>
            <rFont val="Tahoma"/>
            <family val="2"/>
            <charset val="186"/>
          </rPr>
          <t>Voka, Narva mnt 2
Voka petangihall</t>
        </r>
      </text>
    </comment>
    <comment ref="F17" authorId="0">
      <text>
        <r>
          <rPr>
            <b/>
            <sz val="8"/>
            <color indexed="81"/>
            <rFont val="Tahoma"/>
            <family val="2"/>
            <charset val="186"/>
          </rPr>
          <t>Voka, Narva mnt 2
Voka petangihall</t>
        </r>
      </text>
    </comment>
    <comment ref="F18" authorId="0">
      <text>
        <r>
          <rPr>
            <b/>
            <sz val="8"/>
            <color indexed="81"/>
            <rFont val="Tahoma"/>
            <family val="2"/>
            <charset val="186"/>
          </rPr>
          <t>Voka, Narva mnt 2
Voka petangihall</t>
        </r>
      </text>
    </comment>
    <comment ref="F19" authorId="0">
      <text>
        <r>
          <rPr>
            <b/>
            <sz val="8"/>
            <color indexed="81"/>
            <rFont val="Tahoma"/>
            <family val="2"/>
            <charset val="186"/>
          </rPr>
          <t>Voka, Narva mnt 2
Voka petangihall</t>
        </r>
      </text>
    </comment>
    <comment ref="C20" authorId="0">
      <text>
        <r>
          <rPr>
            <b/>
            <sz val="8"/>
            <color indexed="81"/>
            <rFont val="Tahoma"/>
            <family val="2"/>
            <charset val="186"/>
          </rPr>
          <t>Osaleda saavad vaid Viru spordiklubi liikmed</t>
        </r>
      </text>
    </comment>
    <comment ref="F20" authorId="0">
      <text>
        <r>
          <rPr>
            <b/>
            <sz val="8"/>
            <color indexed="81"/>
            <rFont val="Tahoma"/>
            <family val="2"/>
            <charset val="186"/>
          </rPr>
          <t>Voka, Narva mnt 2
Voka petangihall</t>
        </r>
      </text>
    </comment>
    <comment ref="F21" authorId="0">
      <text>
        <r>
          <rPr>
            <b/>
            <sz val="8"/>
            <color indexed="81"/>
            <rFont val="Tahoma"/>
            <family val="2"/>
            <charset val="186"/>
          </rPr>
          <t>Voka, Narva mnt 2
Voka petangihall</t>
        </r>
      </text>
    </comment>
    <comment ref="F22" authorId="0">
      <text>
        <r>
          <rPr>
            <b/>
            <sz val="8"/>
            <color indexed="81"/>
            <rFont val="Tahoma"/>
            <family val="2"/>
            <charset val="186"/>
          </rPr>
          <t>Voka, Narva mnt 2
Voka petangihall</t>
        </r>
      </text>
    </comment>
    <comment ref="F23" authorId="0">
      <text>
        <r>
          <rPr>
            <b/>
            <sz val="8"/>
            <color indexed="81"/>
            <rFont val="Tahoma"/>
            <family val="2"/>
            <charset val="186"/>
          </rPr>
          <t>Voka, Narva mnt 2
Voka petangihall</t>
        </r>
      </text>
    </comment>
    <comment ref="F25" authorId="0">
      <text>
        <r>
          <rPr>
            <b/>
            <sz val="8"/>
            <color indexed="81"/>
            <rFont val="Tahoma"/>
            <family val="2"/>
            <charset val="186"/>
          </rPr>
          <t>Voka, Narva mnt 2
Voka petangihall</t>
        </r>
      </text>
    </comment>
    <comment ref="F26" authorId="0">
      <text>
        <r>
          <rPr>
            <b/>
            <sz val="8"/>
            <color indexed="81"/>
            <rFont val="Tahoma"/>
            <family val="2"/>
            <charset val="186"/>
          </rPr>
          <t>Voka, Narva mnt 2
Voka petangihall</t>
        </r>
      </text>
    </comment>
    <comment ref="C27" authorId="0">
      <text>
        <r>
          <rPr>
            <b/>
            <sz val="8"/>
            <color indexed="81"/>
            <rFont val="Tahoma"/>
            <family val="2"/>
            <charset val="186"/>
          </rPr>
          <t>Osaleda saavad vaid Viru spordiklubi liikmed</t>
        </r>
      </text>
    </comment>
    <comment ref="F27" authorId="0">
      <text>
        <r>
          <rPr>
            <b/>
            <sz val="8"/>
            <color indexed="81"/>
            <rFont val="Tahoma"/>
            <family val="2"/>
            <charset val="186"/>
          </rPr>
          <t>Voka, Narva mnt 2
Voka petangihall</t>
        </r>
      </text>
    </comment>
    <comment ref="F28" authorId="0">
      <text>
        <r>
          <rPr>
            <b/>
            <sz val="8"/>
            <color indexed="81"/>
            <rFont val="Tahoma"/>
            <family val="2"/>
            <charset val="186"/>
          </rPr>
          <t>Voka, Narva mnt 2
Voka petangihall</t>
        </r>
      </text>
    </comment>
    <comment ref="F29" authorId="0">
      <text>
        <r>
          <rPr>
            <b/>
            <sz val="8"/>
            <color indexed="81"/>
            <rFont val="Tahoma"/>
            <family val="2"/>
            <charset val="186"/>
          </rPr>
          <t>Voka, Narva mnt 2
Voka petangihall</t>
        </r>
      </text>
    </comment>
    <comment ref="F30" authorId="0">
      <text>
        <r>
          <rPr>
            <b/>
            <sz val="8"/>
            <color indexed="81"/>
            <rFont val="Tahoma"/>
            <family val="2"/>
            <charset val="186"/>
          </rPr>
          <t>Voka, Narva mnt 2
Voka petangihall</t>
        </r>
      </text>
    </comment>
    <comment ref="F33" authorId="0">
      <text>
        <r>
          <rPr>
            <b/>
            <sz val="8"/>
            <color indexed="81"/>
            <rFont val="Tahoma"/>
            <family val="2"/>
            <charset val="186"/>
          </rPr>
          <t>Voka, Narva mnt 2
Voka petangihall</t>
        </r>
      </text>
    </comment>
    <comment ref="F34" authorId="0">
      <text>
        <r>
          <rPr>
            <b/>
            <sz val="8"/>
            <color indexed="81"/>
            <rFont val="Tahoma"/>
            <family val="2"/>
            <charset val="186"/>
          </rPr>
          <t>Voka, Narva mnt 2
Voka petangihall</t>
        </r>
      </text>
    </comment>
    <comment ref="F35" authorId="0">
      <text>
        <r>
          <rPr>
            <b/>
            <sz val="8"/>
            <color indexed="81"/>
            <rFont val="Tahoma"/>
            <family val="2"/>
            <charset val="186"/>
          </rPr>
          <t>Kohtla-Järve, Spordi 2, 
Vanalinna petangihall</t>
        </r>
      </text>
    </comment>
    <comment ref="F36" authorId="0">
      <text>
        <r>
          <rPr>
            <b/>
            <sz val="8"/>
            <color indexed="81"/>
            <rFont val="Tahoma"/>
            <family val="2"/>
            <charset val="186"/>
          </rPr>
          <t>Voka, Narva mnt 2
Voka petangihall</t>
        </r>
      </text>
    </comment>
    <comment ref="F37" authorId="0">
      <text>
        <r>
          <rPr>
            <b/>
            <sz val="8"/>
            <color indexed="81"/>
            <rFont val="Tahoma"/>
            <family val="2"/>
            <charset val="186"/>
          </rPr>
          <t>Voka, Narva mnt 2
Voka petangihall</t>
        </r>
      </text>
    </comment>
    <comment ref="F38" authorId="0">
      <text>
        <r>
          <rPr>
            <b/>
            <sz val="8"/>
            <color indexed="81"/>
            <rFont val="Tahoma"/>
            <family val="2"/>
            <charset val="186"/>
          </rPr>
          <t>Voka, Narva mnt 2
Voka petangihall</t>
        </r>
      </text>
    </comment>
    <comment ref="F39" authorId="0">
      <text>
        <r>
          <rPr>
            <b/>
            <sz val="8"/>
            <color indexed="81"/>
            <rFont val="Tahoma"/>
            <family val="2"/>
            <charset val="186"/>
          </rPr>
          <t>Voka, Narva mnt 2
Voka petangihall</t>
        </r>
      </text>
    </comment>
    <comment ref="F40" authorId="0">
      <text>
        <r>
          <rPr>
            <b/>
            <sz val="8"/>
            <color indexed="81"/>
            <rFont val="Tahoma"/>
            <family val="2"/>
            <charset val="186"/>
          </rPr>
          <t>Voka, Narva mnt 2
Voka petangihall</t>
        </r>
      </text>
    </comment>
    <comment ref="F41" authorId="0">
      <text>
        <r>
          <rPr>
            <b/>
            <sz val="8"/>
            <color indexed="81"/>
            <rFont val="Tahoma"/>
            <family val="2"/>
            <charset val="186"/>
          </rPr>
          <t>Voka, Narva mnt 2
Voka petangihall</t>
        </r>
      </text>
    </comment>
    <comment ref="C45" authorId="0">
      <text>
        <r>
          <rPr>
            <b/>
            <sz val="8"/>
            <color indexed="81"/>
            <rFont val="Tahoma"/>
            <family val="2"/>
            <charset val="186"/>
          </rPr>
          <t>Osaleda saavad vaid Viru spordiklubi liikmed</t>
        </r>
      </text>
    </comment>
    <comment ref="F45" authorId="0">
      <text>
        <r>
          <rPr>
            <b/>
            <sz val="8"/>
            <color indexed="81"/>
            <rFont val="Tahoma"/>
            <family val="2"/>
            <charset val="186"/>
          </rPr>
          <t>Voka, Narva mnt 2
Voka petangihall</t>
        </r>
      </text>
    </comment>
    <comment ref="F46" authorId="0">
      <text>
        <r>
          <rPr>
            <b/>
            <sz val="8"/>
            <color indexed="81"/>
            <rFont val="Tahoma"/>
            <family val="2"/>
            <charset val="186"/>
          </rPr>
          <t>Voka, Narva mnt 2
Voka petangihall</t>
        </r>
      </text>
    </comment>
    <comment ref="F48" authorId="0">
      <text>
        <r>
          <rPr>
            <b/>
            <sz val="8"/>
            <color indexed="81"/>
            <rFont val="Tahoma"/>
            <family val="2"/>
            <charset val="186"/>
          </rPr>
          <t>Voka, Narva mnt 2
Voka petangihall</t>
        </r>
      </text>
    </comment>
    <comment ref="F50" authorId="0">
      <text>
        <r>
          <rPr>
            <b/>
            <sz val="8"/>
            <color indexed="81"/>
            <rFont val="Tahoma"/>
            <family val="2"/>
            <charset val="186"/>
          </rPr>
          <t>Voka, Narva mnt 2
Voka petangihall</t>
        </r>
      </text>
    </comment>
    <comment ref="F51" authorId="0">
      <text>
        <r>
          <rPr>
            <b/>
            <sz val="8"/>
            <color indexed="81"/>
            <rFont val="Tahoma"/>
            <family val="2"/>
            <charset val="186"/>
          </rPr>
          <t>Voka, Narva mnt 2
Voka petangihall</t>
        </r>
      </text>
    </comment>
    <comment ref="F52" authorId="0">
      <text>
        <r>
          <rPr>
            <b/>
            <sz val="8"/>
            <color indexed="81"/>
            <rFont val="Tahoma"/>
            <family val="2"/>
            <charset val="186"/>
          </rPr>
          <t>Voka, Narva mnt 2
Voka petangihall</t>
        </r>
      </text>
    </comment>
    <comment ref="F53" authorId="0">
      <text>
        <r>
          <rPr>
            <b/>
            <sz val="8"/>
            <color indexed="81"/>
            <rFont val="Tahoma"/>
            <family val="2"/>
            <charset val="186"/>
          </rPr>
          <t>Voka, Narva mnt 2
Voka petangihall</t>
        </r>
      </text>
    </comment>
  </commentList>
</comments>
</file>

<file path=xl/comments2.xml><?xml version="1.0" encoding="utf-8"?>
<comments xmlns="http://schemas.openxmlformats.org/spreadsheetml/2006/main">
  <authors>
    <author>Author</author>
  </authors>
  <commentList>
    <comment ref="M7" authorId="0">
      <text>
        <r>
          <rPr>
            <b/>
            <sz val="8"/>
            <color indexed="81"/>
            <rFont val="Tahoma"/>
            <family val="2"/>
            <charset val="186"/>
          </rPr>
          <t>Voka, Narva mnt 2
Voka petangihall</t>
        </r>
      </text>
    </comment>
    <comment ref="M10" authorId="0">
      <text>
        <r>
          <rPr>
            <b/>
            <sz val="8"/>
            <color indexed="81"/>
            <rFont val="Tahoma"/>
            <family val="2"/>
            <charset val="186"/>
          </rPr>
          <t>Valga, Tiigi 8</t>
        </r>
      </text>
    </comment>
    <comment ref="M13" authorId="0">
      <text>
        <r>
          <rPr>
            <b/>
            <sz val="8"/>
            <color indexed="81"/>
            <rFont val="Tahoma"/>
            <family val="2"/>
            <charset val="186"/>
          </rPr>
          <t>Tallinn, Algi 38
Tallinna petangihall</t>
        </r>
      </text>
    </comment>
    <comment ref="G14" authorId="0">
      <text>
        <r>
          <rPr>
            <b/>
            <sz val="8"/>
            <color indexed="81"/>
            <rFont val="Tahoma"/>
            <family val="2"/>
            <charset val="186"/>
          </rPr>
          <t>Voka, Narva mnt 2
Voka petangihall</t>
        </r>
      </text>
    </comment>
    <comment ref="M16" authorId="0">
      <text>
        <r>
          <rPr>
            <b/>
            <sz val="8"/>
            <color indexed="81"/>
            <rFont val="Tahoma"/>
            <family val="2"/>
            <charset val="186"/>
          </rPr>
          <t>Voka, Narva mnt 2
Voka petangihall</t>
        </r>
      </text>
    </comment>
    <comment ref="K23" authorId="0">
      <text>
        <r>
          <rPr>
            <b/>
            <sz val="8"/>
            <color indexed="81"/>
            <rFont val="Tahoma"/>
            <family val="2"/>
            <charset val="186"/>
          </rPr>
          <t>Tallinn, Algi 38
Tallinna petangihall</t>
        </r>
      </text>
    </comment>
    <comment ref="M23" authorId="0">
      <text>
        <r>
          <rPr>
            <b/>
            <sz val="8"/>
            <color indexed="81"/>
            <rFont val="Tahoma"/>
            <family val="2"/>
            <charset val="186"/>
          </rPr>
          <t>Tallinn, Algi 38
Tallinna petangihall</t>
        </r>
      </text>
    </comment>
    <comment ref="M26" authorId="0">
      <text>
        <r>
          <rPr>
            <b/>
            <sz val="8"/>
            <color indexed="81"/>
            <rFont val="Tahoma"/>
            <family val="2"/>
            <charset val="186"/>
          </rPr>
          <t>Voka, Narva mnt 2
Voka petangihall</t>
        </r>
      </text>
    </comment>
    <comment ref="K33" authorId="0">
      <text>
        <r>
          <rPr>
            <b/>
            <sz val="8"/>
            <color indexed="81"/>
            <rFont val="Tahoma"/>
            <family val="2"/>
            <charset val="186"/>
          </rPr>
          <t>Voka, Narva mnt 2
Voka petangihall</t>
        </r>
      </text>
    </comment>
    <comment ref="I34" authorId="0">
      <text>
        <r>
          <rPr>
            <b/>
            <sz val="8"/>
            <color indexed="81"/>
            <rFont val="Tahoma"/>
            <family val="2"/>
            <charset val="186"/>
          </rPr>
          <t>Eestit esindavad: 
Kertu Palm, 
Maive Sein, 
Triin Gretel Tauk, 
Varje Reede</t>
        </r>
      </text>
    </comment>
    <comment ref="K42" authorId="0">
      <text>
        <r>
          <rPr>
            <b/>
            <sz val="8"/>
            <color indexed="81"/>
            <rFont val="Tahoma"/>
            <family val="2"/>
            <charset val="186"/>
          </rPr>
          <t>Voka, Narva mnt 2
Voka petangihall</t>
        </r>
      </text>
    </comment>
    <comment ref="M42" authorId="0">
      <text>
        <r>
          <rPr>
            <b/>
            <sz val="8"/>
            <color indexed="81"/>
            <rFont val="Tahoma"/>
            <family val="2"/>
            <charset val="186"/>
          </rPr>
          <t>Tallinn, Algi 38
Tallinna petangihall</t>
        </r>
      </text>
    </comment>
    <comment ref="M48" authorId="0">
      <text>
        <r>
          <rPr>
            <b/>
            <sz val="8"/>
            <color indexed="81"/>
            <rFont val="Tahoma"/>
            <family val="2"/>
            <charset val="186"/>
          </rPr>
          <t>Voka, Narva mnt 2
Voka petangihall</t>
        </r>
      </text>
    </comment>
    <comment ref="D49" authorId="0">
      <text>
        <r>
          <rPr>
            <b/>
            <sz val="8"/>
            <color indexed="81"/>
            <rFont val="Tahoma"/>
            <family val="2"/>
            <charset val="186"/>
          </rPr>
          <t>jõululaupäev</t>
        </r>
      </text>
    </comment>
    <comment ref="F49" authorId="0">
      <text>
        <r>
          <rPr>
            <b/>
            <sz val="8"/>
            <color indexed="81"/>
            <rFont val="Tahoma"/>
            <family val="2"/>
            <charset val="186"/>
          </rPr>
          <t>esimene jõulupüha</t>
        </r>
      </text>
    </comment>
    <comment ref="H49" authorId="0">
      <text>
        <r>
          <rPr>
            <b/>
            <sz val="8"/>
            <color indexed="81"/>
            <rFont val="Tahoma"/>
            <family val="2"/>
            <charset val="186"/>
          </rPr>
          <t>teine jõulupüha</t>
        </r>
      </text>
    </comment>
    <comment ref="M51" authorId="0">
      <text>
        <r>
          <rPr>
            <b/>
            <sz val="8"/>
            <color indexed="81"/>
            <rFont val="Tahoma"/>
            <family val="2"/>
            <charset val="186"/>
          </rPr>
          <t>Voka, Narva mnt 2
Voka petangihall</t>
        </r>
      </text>
    </comment>
    <comment ref="F53" authorId="0">
      <text>
        <r>
          <rPr>
            <b/>
            <sz val="8"/>
            <color indexed="81"/>
            <rFont val="Tahoma"/>
            <family val="2"/>
            <charset val="186"/>
          </rPr>
          <t>uusaasta</t>
        </r>
      </text>
    </comment>
    <comment ref="M55" authorId="0">
      <text>
        <r>
          <rPr>
            <b/>
            <sz val="8"/>
            <color indexed="81"/>
            <rFont val="Tahoma"/>
            <family val="2"/>
            <charset val="186"/>
          </rPr>
          <t>Voka, Narva mnt 2
Voka petangihall</t>
        </r>
      </text>
    </comment>
    <comment ref="M56" authorId="0">
      <text>
        <r>
          <rPr>
            <b/>
            <sz val="8"/>
            <color indexed="81"/>
            <rFont val="Tahoma"/>
            <family val="2"/>
            <charset val="186"/>
          </rPr>
          <t>Osaleda saavad vaid Viru spordiklubi liikmed</t>
        </r>
      </text>
    </comment>
    <comment ref="K58" authorId="0">
      <text>
        <r>
          <rPr>
            <b/>
            <sz val="8"/>
            <color indexed="81"/>
            <rFont val="Tahoma"/>
            <family val="2"/>
            <charset val="186"/>
          </rPr>
          <t>Voka, Narva mnt 2
Voka petangihall</t>
        </r>
      </text>
    </comment>
    <comment ref="M58" authorId="0">
      <text>
        <r>
          <rPr>
            <b/>
            <sz val="8"/>
            <color indexed="81"/>
            <rFont val="Tahoma"/>
            <family val="2"/>
            <charset val="186"/>
          </rPr>
          <t>Voka, Narva mnt 2
Voka petangihall</t>
        </r>
      </text>
    </comment>
    <comment ref="K60" authorId="0">
      <text>
        <r>
          <rPr>
            <b/>
            <sz val="8"/>
            <color indexed="81"/>
            <rFont val="Tahoma"/>
            <family val="2"/>
            <charset val="186"/>
          </rPr>
          <t>Tallinn, Algi 38
Tallinna petangihall</t>
        </r>
      </text>
    </comment>
    <comment ref="M63" authorId="0">
      <text>
        <r>
          <rPr>
            <b/>
            <sz val="8"/>
            <color indexed="81"/>
            <rFont val="Tahoma"/>
            <family val="2"/>
            <charset val="186"/>
          </rPr>
          <t>Voka, Narva mnt 2
Voka petangihall</t>
        </r>
      </text>
    </comment>
    <comment ref="K66" authorId="0">
      <text>
        <r>
          <rPr>
            <b/>
            <sz val="8"/>
            <color indexed="81"/>
            <rFont val="Tahoma"/>
            <family val="2"/>
            <charset val="186"/>
          </rPr>
          <t>Ida-Virumaalt osaleb Svetlana Veski</t>
        </r>
      </text>
    </comment>
    <comment ref="N66" authorId="0">
      <text>
        <r>
          <rPr>
            <b/>
            <sz val="8"/>
            <color indexed="81"/>
            <rFont val="Tahoma"/>
            <family val="2"/>
            <charset val="186"/>
          </rPr>
          <t>Tallinn, Algi 38
Tallinna petangihall</t>
        </r>
      </text>
    </comment>
    <comment ref="M69" authorId="0">
      <text>
        <r>
          <rPr>
            <b/>
            <sz val="8"/>
            <color indexed="81"/>
            <rFont val="Tahoma"/>
            <family val="2"/>
            <charset val="186"/>
          </rPr>
          <t>Voka, Narva mnt 2
Voka petangihall</t>
        </r>
      </text>
    </comment>
    <comment ref="K71" authorId="0">
      <text>
        <r>
          <rPr>
            <b/>
            <sz val="8"/>
            <color indexed="81"/>
            <rFont val="Tahoma"/>
            <family val="2"/>
            <charset val="186"/>
          </rPr>
          <t>Alates 2020 aastast peavad Eesti sisemeistrivõistlustel osalemiseks olema: 
 - petankeri litsents, 
 - võistluskuulid.</t>
        </r>
      </text>
    </comment>
    <comment ref="M71" authorId="0">
      <text>
        <r>
          <rPr>
            <b/>
            <sz val="8"/>
            <color indexed="81"/>
            <rFont val="Tahoma"/>
            <family val="2"/>
            <charset val="186"/>
          </rPr>
          <t>Alates 2020 aastast peavad Eesti sisemeistrivõistlustel osalemiseks olema: 
 - petankeri litsents, 
 - võistluskuulid.</t>
        </r>
      </text>
    </comment>
    <comment ref="K72" authorId="0">
      <text>
        <r>
          <rPr>
            <b/>
            <sz val="8"/>
            <color indexed="81"/>
            <rFont val="Tahoma"/>
            <family val="2"/>
            <charset val="186"/>
          </rPr>
          <t>5 paremat meest ja 5 paremat naist pääsevad Baltic Singel Mastersile (Lätis) 
27-28.06.2020</t>
        </r>
      </text>
    </comment>
    <comment ref="K73" authorId="0">
      <text>
        <r>
          <rPr>
            <b/>
            <sz val="8"/>
            <color indexed="81"/>
            <rFont val="Tahoma"/>
            <family val="2"/>
            <charset val="186"/>
          </rPr>
          <t>Tallinn, Algi 38
Tallinna petangihall</t>
        </r>
      </text>
    </comment>
    <comment ref="M73" authorId="0">
      <text>
        <r>
          <rPr>
            <b/>
            <sz val="8"/>
            <color indexed="81"/>
            <rFont val="Tahoma"/>
            <family val="2"/>
            <charset val="186"/>
          </rPr>
          <t>Tallinn, Algi 38
Tallinna petangihall</t>
        </r>
      </text>
    </comment>
    <comment ref="M76" authorId="0">
      <text>
        <r>
          <rPr>
            <b/>
            <sz val="8"/>
            <color indexed="81"/>
            <rFont val="Tahoma"/>
            <family val="2"/>
            <charset val="186"/>
          </rPr>
          <t>Voka, Narva mnt 2
Voka petangihall</t>
        </r>
      </text>
    </comment>
    <comment ref="M79" authorId="0">
      <text>
        <r>
          <rPr>
            <b/>
            <sz val="8"/>
            <color indexed="81"/>
            <rFont val="Tahoma"/>
            <family val="2"/>
            <charset val="186"/>
          </rPr>
          <t>Voka, Narva mnt 2
Voka petangihall</t>
        </r>
      </text>
    </comment>
    <comment ref="M80" authorId="0">
      <text>
        <r>
          <rPr>
            <b/>
            <sz val="8"/>
            <color indexed="81"/>
            <rFont val="Tahoma"/>
            <family val="2"/>
            <charset val="186"/>
          </rPr>
          <t>Osaleda saavad vaid Viru spordiklubi liikmed</t>
        </r>
      </text>
    </comment>
    <comment ref="M82" authorId="0">
      <text>
        <r>
          <rPr>
            <b/>
            <sz val="8"/>
            <color indexed="81"/>
            <rFont val="Tahoma"/>
            <family val="2"/>
            <charset val="186"/>
          </rPr>
          <t>Voka, Narva mnt 2
Voka petangihall</t>
        </r>
      </text>
    </comment>
    <comment ref="K85" authorId="0">
      <text>
        <r>
          <rPr>
            <b/>
            <sz val="8"/>
            <color indexed="81"/>
            <rFont val="Tahoma"/>
            <family val="2"/>
            <charset val="186"/>
          </rPr>
          <t>Tallinn, Algi 38
Tallinna petangihall</t>
        </r>
      </text>
    </comment>
    <comment ref="M85" authorId="0">
      <text>
        <r>
          <rPr>
            <b/>
            <sz val="8"/>
            <color indexed="81"/>
            <rFont val="Tahoma"/>
            <family val="2"/>
            <charset val="186"/>
          </rPr>
          <t>Tallinn, Algi 38
Tallinna petangihall</t>
        </r>
      </text>
    </comment>
    <comment ref="I88" authorId="0">
      <text>
        <r>
          <rPr>
            <b/>
            <sz val="8"/>
            <color indexed="81"/>
            <rFont val="Tahoma"/>
            <family val="2"/>
            <charset val="186"/>
          </rPr>
          <t>Voka, Narva mnt 2
Voka petangihall</t>
        </r>
      </text>
    </comment>
    <comment ref="K88" authorId="0">
      <text>
        <r>
          <rPr>
            <b/>
            <sz val="8"/>
            <color indexed="81"/>
            <rFont val="Tahoma"/>
            <family val="2"/>
            <charset val="186"/>
          </rPr>
          <t>Voka, Narva mnt 2
Voka petangihall</t>
        </r>
      </text>
    </comment>
    <comment ref="M88" authorId="0">
      <text>
        <r>
          <rPr>
            <b/>
            <sz val="8"/>
            <color indexed="81"/>
            <rFont val="Tahoma"/>
            <family val="2"/>
            <charset val="186"/>
          </rPr>
          <t>Valga, Tiigi 8</t>
        </r>
      </text>
    </comment>
    <comment ref="B89" authorId="0">
      <text>
        <r>
          <rPr>
            <b/>
            <sz val="8"/>
            <color indexed="81"/>
            <rFont val="Tahoma"/>
            <family val="2"/>
            <charset val="186"/>
          </rPr>
          <t>iseseisvuspäe, 
Eesti Vabariigi aastapäev</t>
        </r>
      </text>
    </comment>
    <comment ref="K90" authorId="0">
      <text>
        <r>
          <rPr>
            <b/>
            <sz val="8"/>
            <color indexed="81"/>
            <rFont val="Tahoma"/>
            <family val="2"/>
            <charset val="186"/>
          </rPr>
          <t xml:space="preserve">EM-ile sõidavad: 
Katri Aavekukk, 
Marju Velga, 
Külli Kariste 
 </t>
        </r>
      </text>
    </comment>
    <comment ref="G91" authorId="0">
      <text>
        <r>
          <rPr>
            <b/>
            <sz val="8"/>
            <color indexed="81"/>
            <rFont val="Tahoma"/>
            <family val="2"/>
            <charset val="186"/>
          </rPr>
          <t>Voka, Narva mnt 2
Voka petangihall</t>
        </r>
      </text>
    </comment>
    <comment ref="K91" authorId="0">
      <text>
        <r>
          <rPr>
            <b/>
            <sz val="8"/>
            <color indexed="81"/>
            <rFont val="Tahoma"/>
            <family val="2"/>
            <charset val="186"/>
          </rPr>
          <t>Tallinn, Algi 38
Tallinna petangihall</t>
        </r>
      </text>
    </comment>
    <comment ref="M92" authorId="0">
      <text>
        <r>
          <rPr>
            <b/>
            <sz val="8"/>
            <color indexed="81"/>
            <rFont val="Tahoma"/>
            <family val="2"/>
            <charset val="186"/>
          </rPr>
          <t>Voka, Narva mnt 2
Voka petangihall</t>
        </r>
      </text>
    </comment>
    <comment ref="K95" authorId="0">
      <text>
        <r>
          <rPr>
            <b/>
            <sz val="8"/>
            <color indexed="81"/>
            <rFont val="Tahoma"/>
            <family val="2"/>
            <charset val="186"/>
          </rPr>
          <t>Voka, Narva mnt 2
Voka petangihall</t>
        </r>
      </text>
    </comment>
    <comment ref="M95" authorId="0">
      <text>
        <r>
          <rPr>
            <b/>
            <sz val="8"/>
            <color indexed="81"/>
            <rFont val="Tahoma"/>
            <family val="2"/>
            <charset val="186"/>
          </rPr>
          <t>Voka, Narva mnt 2
Voka petangihall</t>
        </r>
      </text>
    </comment>
    <comment ref="K97" authorId="0">
      <text>
        <r>
          <rPr>
            <b/>
            <sz val="8"/>
            <color indexed="81"/>
            <rFont val="Tahoma"/>
            <family val="2"/>
            <charset val="186"/>
          </rPr>
          <t>Tartu, Munga 12
Hugo Treffneri Gümnaasiumi keldrikorrusel</t>
        </r>
      </text>
    </comment>
    <comment ref="K99" authorId="0">
      <text>
        <r>
          <rPr>
            <b/>
            <sz val="8"/>
            <color indexed="81"/>
            <rFont val="Tahoma"/>
            <family val="2"/>
            <charset val="186"/>
          </rPr>
          <t>Alates 2020 aastast peavad Eesti sisemeistrivõistlustel osalemiseks olema: 
 - petankeri litsents, 
 - võistluskuulid.</t>
        </r>
      </text>
    </comment>
    <comment ref="M99" authorId="0">
      <text>
        <r>
          <rPr>
            <b/>
            <sz val="8"/>
            <color indexed="81"/>
            <rFont val="Tahoma"/>
            <family val="2"/>
            <charset val="186"/>
          </rPr>
          <t>Alates 2020 aastast peavad Eesti sisemeistrivõistlustel osalemiseks olema: 
 - petankeri litsents, 
 - võistluskuulid.</t>
        </r>
      </text>
    </comment>
    <comment ref="K101" authorId="0">
      <text>
        <r>
          <rPr>
            <b/>
            <sz val="8"/>
            <color indexed="81"/>
            <rFont val="Tahoma"/>
            <family val="2"/>
            <charset val="186"/>
          </rPr>
          <t>Tallinn, Algi 38
Tallinna petangihall</t>
        </r>
      </text>
    </comment>
    <comment ref="M101" authorId="0">
      <text>
        <r>
          <rPr>
            <b/>
            <sz val="8"/>
            <color indexed="81"/>
            <rFont val="Tahoma"/>
            <family val="2"/>
            <charset val="186"/>
          </rPr>
          <t>Tallinn, Algi 38
Tallinna petangihall</t>
        </r>
      </text>
    </comment>
    <comment ref="M104" authorId="0">
      <text>
        <r>
          <rPr>
            <b/>
            <sz val="8"/>
            <color indexed="81"/>
            <rFont val="Tahoma"/>
            <family val="2"/>
            <charset val="186"/>
          </rPr>
          <t>Voka, Narva mnt 2
Voka petangihall</t>
        </r>
      </text>
    </comment>
    <comment ref="K107" authorId="0">
      <text>
        <r>
          <rPr>
            <b/>
            <sz val="8"/>
            <color indexed="81"/>
            <rFont val="Tahoma"/>
            <family val="2"/>
            <charset val="186"/>
          </rPr>
          <t>Voka, Narva mnt 2
Voka petangihall</t>
        </r>
      </text>
    </comment>
    <comment ref="M107" authorId="0">
      <text>
        <r>
          <rPr>
            <b/>
            <sz val="8"/>
            <color indexed="81"/>
            <rFont val="Tahoma"/>
            <family val="2"/>
            <charset val="186"/>
          </rPr>
          <t>Voka, Narva mnt 2
Voka petangihall</t>
        </r>
      </text>
    </comment>
    <comment ref="L108" authorId="0">
      <text>
        <r>
          <rPr>
            <b/>
            <sz val="8"/>
            <color indexed="81"/>
            <rFont val="Tahoma"/>
            <family val="2"/>
            <charset val="186"/>
          </rPr>
          <t>Tallinn, Algi 38
Tallinna petangihall</t>
        </r>
      </text>
    </comment>
    <comment ref="M110" authorId="0">
      <text>
        <r>
          <rPr>
            <b/>
            <sz val="8"/>
            <color indexed="81"/>
            <rFont val="Tahoma"/>
            <family val="2"/>
            <charset val="186"/>
          </rPr>
          <t>Osaleda saavad vaid Viru spordiklubi liikmed</t>
        </r>
      </text>
    </comment>
    <comment ref="M112" authorId="0">
      <text>
        <r>
          <rPr>
            <b/>
            <sz val="8"/>
            <color indexed="81"/>
            <rFont val="Tahoma"/>
            <family val="2"/>
            <charset val="186"/>
          </rPr>
          <t>Voka, Narva mnt 2
Voka petangihall</t>
        </r>
      </text>
    </comment>
    <comment ref="N113" authorId="0">
      <text>
        <r>
          <rPr>
            <b/>
            <sz val="8"/>
            <color indexed="81"/>
            <rFont val="Tahoma"/>
            <family val="2"/>
            <charset val="186"/>
          </rPr>
          <t>Tallinn, Algi 38
Tallinna petangihall</t>
        </r>
      </text>
    </comment>
    <comment ref="M115" authorId="0">
      <text>
        <r>
          <rPr>
            <b/>
            <sz val="8"/>
            <color indexed="81"/>
            <rFont val="Tahoma"/>
            <family val="2"/>
            <charset val="186"/>
          </rPr>
          <t>Tallinn, Algi 38
Tallinna petangihall</t>
        </r>
      </text>
    </comment>
    <comment ref="J116" authorId="0">
      <text>
        <r>
          <rPr>
            <b/>
            <sz val="8"/>
            <color indexed="81"/>
            <rFont val="Tahoma"/>
            <family val="2"/>
            <charset val="186"/>
          </rPr>
          <t>suur reede</t>
        </r>
      </text>
    </comment>
    <comment ref="N116" authorId="0">
      <text>
        <r>
          <rPr>
            <b/>
            <sz val="8"/>
            <color indexed="81"/>
            <rFont val="Tahoma"/>
            <family val="2"/>
            <charset val="186"/>
          </rPr>
          <t>ülestõusmispühade 1. püha</t>
        </r>
      </text>
    </comment>
    <comment ref="K118" authorId="0">
      <text>
        <r>
          <rPr>
            <b/>
            <sz val="8"/>
            <color indexed="81"/>
            <rFont val="Tahoma"/>
            <family val="2"/>
            <charset val="186"/>
          </rPr>
          <t>Voka, Narva mnt 2
Voka petangihall</t>
        </r>
      </text>
    </comment>
    <comment ref="M118" authorId="0">
      <text>
        <r>
          <rPr>
            <b/>
            <sz val="8"/>
            <color indexed="81"/>
            <rFont val="Tahoma"/>
            <family val="2"/>
            <charset val="186"/>
          </rPr>
          <t>Voka, Narva mnt 2
Voka petangihall</t>
        </r>
      </text>
    </comment>
    <comment ref="M121" authorId="0">
      <text>
        <r>
          <rPr>
            <b/>
            <sz val="8"/>
            <color indexed="81"/>
            <rFont val="Tahoma"/>
            <family val="2"/>
            <charset val="186"/>
          </rPr>
          <t>Voka, Narva mnt 2
Voka petangihall</t>
        </r>
      </text>
    </comment>
    <comment ref="M124" authorId="0">
      <text>
        <r>
          <rPr>
            <b/>
            <sz val="8"/>
            <color indexed="81"/>
            <rFont val="Tahoma"/>
            <family val="2"/>
            <charset val="186"/>
          </rPr>
          <t>Voka, Narva mnt 2
Voka petangihall</t>
        </r>
      </text>
    </comment>
    <comment ref="L125" authorId="0">
      <text>
        <r>
          <rPr>
            <b/>
            <sz val="8"/>
            <color indexed="81"/>
            <rFont val="Tahoma"/>
            <family val="2"/>
            <charset val="186"/>
          </rPr>
          <t>Tallinn, Algi 38
Tallinna petangihall</t>
        </r>
      </text>
    </comment>
    <comment ref="M129" authorId="0">
      <text>
        <r>
          <rPr>
            <b/>
            <sz val="8"/>
            <color indexed="81"/>
            <rFont val="Tahoma"/>
            <family val="2"/>
            <charset val="186"/>
          </rPr>
          <t>Voka, Narva mnt 2
Voka petangihall</t>
        </r>
      </text>
    </comment>
    <comment ref="K130" authorId="0">
      <text>
        <r>
          <rPr>
            <b/>
            <sz val="8"/>
            <color indexed="81"/>
            <rFont val="Tahoma"/>
            <family val="2"/>
            <charset val="186"/>
          </rPr>
          <t>Eesti meistrivõistlustel osalemiseks peavad olema: 
 - petankeri litsents, 
 - võistluskuulid.</t>
        </r>
      </text>
    </comment>
    <comment ref="M130" authorId="0">
      <text>
        <r>
          <rPr>
            <b/>
            <sz val="8"/>
            <color indexed="81"/>
            <rFont val="Tahoma"/>
            <family val="2"/>
            <charset val="186"/>
          </rPr>
          <t>Eesti meistrivõistlustel osalemiseks peavad olema: 
 - petankeri litsents, 
 - võistluskuulid.</t>
        </r>
      </text>
    </comment>
    <comment ref="M135" authorId="0">
      <text>
        <r>
          <rPr>
            <b/>
            <sz val="8"/>
            <color indexed="81"/>
            <rFont val="Tahoma"/>
            <family val="2"/>
            <charset val="186"/>
          </rPr>
          <t>Voka, Narva mnt 2
Voka petangihall</t>
        </r>
      </text>
    </comment>
    <comment ref="M138" authorId="0">
      <text>
        <r>
          <rPr>
            <b/>
            <sz val="8"/>
            <color indexed="81"/>
            <rFont val="Tahoma"/>
            <family val="2"/>
            <charset val="186"/>
          </rPr>
          <t>Voka, Narva mnt 2
Voka petangihall</t>
        </r>
      </text>
    </comment>
  </commentList>
</comments>
</file>

<file path=xl/comments3.xml><?xml version="1.0" encoding="utf-8"?>
<comments xmlns="http://schemas.openxmlformats.org/spreadsheetml/2006/main">
  <authors>
    <author>Author</author>
  </authors>
  <commentList>
    <comment ref="AR1" authorId="0">
      <text>
        <r>
          <rPr>
            <b/>
            <sz val="8"/>
            <color indexed="81"/>
            <rFont val="Tahoma"/>
            <family val="2"/>
            <charset val="186"/>
          </rPr>
          <t>Koht - Punkte
  1. - 20 p
  2. - 19 p
  3. - 18 p
  4. - 17 p
  5. - 16 p
  6. - 15 p
  7. - 14 p
  8. - 13 p
  9. - 12 p
10. - 11 p
11. - 10 p
12. -   9 p
13. -   8 p
14. -   7 p
15. -   6 p
16. -   5 p
17. -   4 p
18. -   3 p
19. -   2 p
20… - 1 p
DSQ - 0 p</t>
        </r>
      </text>
    </comment>
    <comment ref="A6" authorId="0">
      <text>
        <r>
          <rPr>
            <b/>
            <sz val="8"/>
            <color indexed="81"/>
            <rFont val="Tahoma"/>
            <family val="2"/>
            <charset val="186"/>
          </rPr>
          <t>Viru spordiklubi mängijad</t>
        </r>
        <r>
          <rPr>
            <sz val="8"/>
            <color indexed="81"/>
            <rFont val="Tahoma"/>
            <family val="2"/>
            <charset val="186"/>
          </rPr>
          <t xml:space="preserve">
</t>
        </r>
      </text>
    </comment>
    <comment ref="C6" authorId="0">
      <text>
        <r>
          <rPr>
            <b/>
            <sz val="8"/>
            <color indexed="81"/>
            <rFont val="Tahoma"/>
            <family val="2"/>
            <charset val="186"/>
          </rPr>
          <t>Toila valla mängijad</t>
        </r>
      </text>
    </comment>
    <comment ref="G6" authorId="0">
      <text>
        <r>
          <rPr>
            <b/>
            <sz val="8"/>
            <color indexed="81"/>
            <rFont val="Tahoma"/>
            <family val="2"/>
            <charset val="186"/>
          </rPr>
          <t>Naised</t>
        </r>
      </text>
    </comment>
    <comment ref="I6" authorId="0">
      <text>
        <r>
          <rPr>
            <b/>
            <sz val="8"/>
            <color indexed="81"/>
            <rFont val="Tahoma"/>
            <family val="2"/>
            <charset val="186"/>
          </rPr>
          <t>Juuniorid</t>
        </r>
        <r>
          <rPr>
            <sz val="8"/>
            <color indexed="81"/>
            <rFont val="Tahoma"/>
            <family val="2"/>
            <charset val="186"/>
          </rPr>
          <t xml:space="preserve">
</t>
        </r>
      </text>
    </comment>
    <comment ref="P6" authorId="0">
      <text>
        <r>
          <rPr>
            <b/>
            <sz val="8"/>
            <color indexed="81"/>
            <rFont val="Tahoma"/>
            <family val="2"/>
            <charset val="186"/>
          </rPr>
          <t>Toila valla mängijad</t>
        </r>
        <r>
          <rPr>
            <sz val="8"/>
            <color indexed="81"/>
            <rFont val="Tahoma"/>
            <family val="2"/>
            <charset val="186"/>
          </rPr>
          <t xml:space="preserve">
</t>
        </r>
      </text>
    </comment>
    <comment ref="Q6" authorId="0">
      <text>
        <r>
          <rPr>
            <b/>
            <sz val="8"/>
            <color indexed="81"/>
            <rFont val="Tahoma"/>
            <family val="2"/>
            <charset val="186"/>
          </rPr>
          <t>Viru SK mängijad seisuga 15.01.2020</t>
        </r>
      </text>
    </comment>
    <comment ref="R6" authorId="0">
      <text>
        <r>
          <rPr>
            <b/>
            <sz val="8"/>
            <color indexed="81"/>
            <rFont val="Tahoma"/>
            <family val="2"/>
            <charset val="186"/>
          </rPr>
          <t>3 kehvemat tulemust võetakse maha</t>
        </r>
        <r>
          <rPr>
            <sz val="8"/>
            <color indexed="81"/>
            <rFont val="Tahoma"/>
            <family val="2"/>
            <charset val="186"/>
          </rPr>
          <t xml:space="preserve">
</t>
        </r>
      </text>
    </comment>
    <comment ref="Q46" authorId="0">
      <text>
        <r>
          <rPr>
            <b/>
            <sz val="8"/>
            <color indexed="81"/>
            <rFont val="Tahoma"/>
            <family val="2"/>
            <charset val="186"/>
          </rPr>
          <t>Tartu</t>
        </r>
      </text>
    </comment>
    <comment ref="O65" authorId="0">
      <text>
        <r>
          <rPr>
            <b/>
            <sz val="8"/>
            <color indexed="81"/>
            <rFont val="Tahoma"/>
            <family val="2"/>
            <charset val="186"/>
          </rPr>
          <t>Author:</t>
        </r>
        <r>
          <rPr>
            <sz val="8"/>
            <color indexed="81"/>
            <rFont val="Tahoma"/>
            <family val="2"/>
            <charset val="186"/>
          </rPr>
          <t xml:space="preserve">
2005?</t>
        </r>
      </text>
    </comment>
    <comment ref="Q70" authorId="0">
      <text>
        <r>
          <rPr>
            <b/>
            <sz val="8"/>
            <color indexed="81"/>
            <rFont val="Tahoma"/>
            <family val="2"/>
            <charset val="186"/>
          </rPr>
          <t>Tartu</t>
        </r>
      </text>
    </comment>
    <comment ref="Q73" authorId="0">
      <text>
        <r>
          <rPr>
            <b/>
            <sz val="8"/>
            <color indexed="81"/>
            <rFont val="Tahoma"/>
            <family val="2"/>
            <charset val="186"/>
          </rPr>
          <t>Tartu</t>
        </r>
      </text>
    </comment>
    <comment ref="AA75" authorId="0">
      <text>
        <r>
          <rPr>
            <b/>
            <sz val="8"/>
            <color indexed="81"/>
            <rFont val="Tahoma"/>
            <family val="2"/>
            <charset val="186"/>
          </rPr>
          <t>ilma valemita</t>
        </r>
      </text>
    </comment>
  </commentList>
</comments>
</file>

<file path=xl/comments4.xml><?xml version="1.0" encoding="utf-8"?>
<comments xmlns="http://schemas.openxmlformats.org/spreadsheetml/2006/main">
  <authors>
    <author>Author</author>
  </authors>
  <commentList>
    <comment ref="H6" authorId="0">
      <text>
        <r>
          <rPr>
            <b/>
            <sz val="8"/>
            <color indexed="81"/>
            <rFont val="Tahoma"/>
            <family val="2"/>
            <charset val="186"/>
          </rPr>
          <t>Võite - Kaotusi</t>
        </r>
      </text>
    </comment>
    <comment ref="J6" authorId="0">
      <text>
        <r>
          <rPr>
            <b/>
            <sz val="8"/>
            <color indexed="81"/>
            <rFont val="Tahoma"/>
            <family val="2"/>
            <charset val="186"/>
          </rPr>
          <t>Võite omavahelistes mängudes</t>
        </r>
      </text>
    </comment>
    <comment ref="L6" authorId="0">
      <text>
        <r>
          <rPr>
            <b/>
            <sz val="8"/>
            <color indexed="81"/>
            <rFont val="Tahoma"/>
            <family val="2"/>
            <charset val="186"/>
          </rPr>
          <t>Punktide vahe omavahelistes mängudes</t>
        </r>
      </text>
    </comment>
    <comment ref="M6" authorId="0">
      <text>
        <r>
          <rPr>
            <b/>
            <sz val="8"/>
            <color indexed="81"/>
            <rFont val="Tahoma"/>
            <family val="2"/>
            <charset val="186"/>
          </rPr>
          <t>Kui omavahelistes mängudes on kõigil võrdselt võite ja ka punktide vahe on võrdne, siis vaatab, kumb võitis</t>
        </r>
      </text>
    </comment>
    <comment ref="N6" authorId="0">
      <text>
        <r>
          <rPr>
            <b/>
            <sz val="8"/>
            <color indexed="81"/>
            <rFont val="Tahoma"/>
            <family val="2"/>
            <charset val="186"/>
          </rPr>
          <t>Kogu turniiri jooksul mängitud mängude punktide VAHE</t>
        </r>
      </text>
    </comment>
    <comment ref="O6" authorId="0">
      <text>
        <r>
          <rPr>
            <b/>
            <sz val="8"/>
            <color indexed="81"/>
            <rFont val="Tahoma"/>
            <family val="2"/>
            <charset val="186"/>
          </rPr>
          <t>Kogu turniiri jooksul mängitud mängude punktide VAHE</t>
        </r>
      </text>
    </comment>
    <comment ref="P6" authorId="0">
      <text>
        <r>
          <rPr>
            <b/>
            <sz val="8"/>
            <color indexed="81"/>
            <rFont val="Tahoma"/>
            <family val="2"/>
            <charset val="186"/>
          </rPr>
          <t>Kogu turniiri jooksul mängitud mängude keskmine punktide SUHE</t>
        </r>
      </text>
    </comment>
    <comment ref="R6" authorId="0">
      <text>
        <r>
          <rPr>
            <b/>
            <sz val="8"/>
            <color indexed="81"/>
            <rFont val="Tahoma"/>
            <family val="2"/>
            <charset val="186"/>
          </rPr>
          <t>TRUE kui: 
3-ses alagrupis 3 nime ja   6 tulemust või
4-ses alagrupis 4 nime ja 12 tulemust või
5-ses alagrupis 5 nime ja 20 tulemust või
6-ses alagrupis 5 nime ja 30 tulemust</t>
        </r>
      </text>
    </comment>
  </commentList>
</comments>
</file>

<file path=xl/comments5.xml><?xml version="1.0" encoding="utf-8"?>
<comments xmlns="http://schemas.openxmlformats.org/spreadsheetml/2006/main">
  <authors>
    <author>Author</author>
  </authors>
  <commentList>
    <comment ref="K6" authorId="0">
      <text>
        <r>
          <rPr>
            <b/>
            <sz val="8"/>
            <color indexed="81"/>
            <rFont val="Tahoma"/>
            <family val="2"/>
            <charset val="186"/>
          </rPr>
          <t>Võite - Kaotusi</t>
        </r>
      </text>
    </comment>
    <comment ref="M6" authorId="0">
      <text>
        <r>
          <rPr>
            <b/>
            <sz val="8"/>
            <color indexed="81"/>
            <rFont val="Tahoma"/>
            <family val="2"/>
            <charset val="186"/>
          </rPr>
          <t>Võite omavahelistes mängudes</t>
        </r>
      </text>
    </comment>
    <comment ref="O6" authorId="0">
      <text>
        <r>
          <rPr>
            <b/>
            <sz val="8"/>
            <color indexed="81"/>
            <rFont val="Tahoma"/>
            <family val="2"/>
            <charset val="186"/>
          </rPr>
          <t>Punktide vahe omavahelistes mängudes</t>
        </r>
      </text>
    </comment>
    <comment ref="P6" authorId="0">
      <text>
        <r>
          <rPr>
            <b/>
            <sz val="8"/>
            <color indexed="81"/>
            <rFont val="Tahoma"/>
            <family val="2"/>
            <charset val="186"/>
          </rPr>
          <t>Kui omavahelistes mängudes on kõigil võrdselt võite ja ka punktide vahe on võrdne, siis vaatab, kumb võitis</t>
        </r>
      </text>
    </comment>
    <comment ref="Q6" authorId="0">
      <text>
        <r>
          <rPr>
            <b/>
            <sz val="8"/>
            <color indexed="81"/>
            <rFont val="Tahoma"/>
            <family val="2"/>
            <charset val="186"/>
          </rPr>
          <t>Kogu turniiri jooksul mängitud mängude punktide VAHE</t>
        </r>
      </text>
    </comment>
    <comment ref="R6" authorId="0">
      <text>
        <r>
          <rPr>
            <b/>
            <sz val="8"/>
            <color indexed="81"/>
            <rFont val="Tahoma"/>
            <family val="2"/>
            <charset val="186"/>
          </rPr>
          <t>Kogu turniiri jooksul mängitud mängude punktide VAHE</t>
        </r>
      </text>
    </comment>
    <comment ref="S6" authorId="0">
      <text>
        <r>
          <rPr>
            <b/>
            <sz val="8"/>
            <color indexed="81"/>
            <rFont val="Tahoma"/>
            <family val="2"/>
            <charset val="186"/>
          </rPr>
          <t>Kogu turniiri jooksul mängitud mängude keskmine punktide SUHE</t>
        </r>
      </text>
    </comment>
    <comment ref="U6" authorId="0">
      <text>
        <r>
          <rPr>
            <b/>
            <sz val="8"/>
            <color indexed="81"/>
            <rFont val="Tahoma"/>
            <family val="2"/>
            <charset val="186"/>
          </rPr>
          <t>TRUE kui: 
3-ses alagrupis 3 nime ja   6 tulemust või
4-ses alagrupis 4 nime ja 12 tulemust või
5-ses alagrupis 5 nime ja 20 tulemust või
6-ses alagrupis 5 nime ja 30 tulemust</t>
        </r>
      </text>
    </comment>
  </commentList>
</comments>
</file>

<file path=xl/comments6.xml><?xml version="1.0" encoding="utf-8"?>
<comments xmlns="http://schemas.openxmlformats.org/spreadsheetml/2006/main">
  <authors>
    <author>Author</author>
  </authors>
  <commentList>
    <comment ref="H6" authorId="0">
      <text>
        <r>
          <rPr>
            <b/>
            <sz val="8"/>
            <color indexed="81"/>
            <rFont val="Tahoma"/>
            <family val="2"/>
            <charset val="186"/>
          </rPr>
          <t>Võite - Kaotusi</t>
        </r>
      </text>
    </comment>
    <comment ref="J6" authorId="0">
      <text>
        <r>
          <rPr>
            <b/>
            <sz val="8"/>
            <color indexed="81"/>
            <rFont val="Tahoma"/>
            <family val="2"/>
            <charset val="186"/>
          </rPr>
          <t>Võite omavahelistes mängudes</t>
        </r>
      </text>
    </comment>
    <comment ref="L6" authorId="0">
      <text>
        <r>
          <rPr>
            <b/>
            <sz val="8"/>
            <color indexed="81"/>
            <rFont val="Tahoma"/>
            <family val="2"/>
            <charset val="186"/>
          </rPr>
          <t>Punktide vahe omavahelistes mängudes</t>
        </r>
      </text>
    </comment>
    <comment ref="M6" authorId="0">
      <text>
        <r>
          <rPr>
            <b/>
            <sz val="8"/>
            <color indexed="81"/>
            <rFont val="Tahoma"/>
            <family val="2"/>
            <charset val="186"/>
          </rPr>
          <t>Kui omavahelistes mängudes on kõigil võrdselt võite ja ka punktide vahe on võrdne, siis vaatab, kumb võitis</t>
        </r>
      </text>
    </comment>
    <comment ref="N6" authorId="0">
      <text>
        <r>
          <rPr>
            <b/>
            <sz val="8"/>
            <color indexed="81"/>
            <rFont val="Tahoma"/>
            <family val="2"/>
            <charset val="186"/>
          </rPr>
          <t>Kogu turniiri jooksul mängitud mängude punktide VAHE</t>
        </r>
      </text>
    </comment>
    <comment ref="O6" authorId="0">
      <text>
        <r>
          <rPr>
            <b/>
            <sz val="8"/>
            <color indexed="81"/>
            <rFont val="Tahoma"/>
            <family val="2"/>
            <charset val="186"/>
          </rPr>
          <t>Kogu turniiri jooksul mängitud mängude punktide VAHE</t>
        </r>
      </text>
    </comment>
    <comment ref="P6" authorId="0">
      <text>
        <r>
          <rPr>
            <b/>
            <sz val="8"/>
            <color indexed="81"/>
            <rFont val="Tahoma"/>
            <family val="2"/>
            <charset val="186"/>
          </rPr>
          <t>Kogu turniiri jooksul mängitud mängude keskmine punktide SUHE</t>
        </r>
      </text>
    </comment>
    <comment ref="R6" authorId="0">
      <text>
        <r>
          <rPr>
            <b/>
            <sz val="8"/>
            <color indexed="81"/>
            <rFont val="Tahoma"/>
            <family val="2"/>
            <charset val="186"/>
          </rPr>
          <t>TRUE kui: 
3-ses alagrupis 3 nime ja   6 tulemust või
4-ses alagrupis 4 nime ja 12 tulemust või
5-ses alagrupis 5 nime ja 20 tulemust või
6-ses alagrupis 5 nime ja 30 tulemust</t>
        </r>
      </text>
    </comment>
  </commentList>
</comments>
</file>

<file path=xl/comments7.xml><?xml version="1.0" encoding="utf-8"?>
<comments xmlns="http://schemas.openxmlformats.org/spreadsheetml/2006/main">
  <authors>
    <author>Author</author>
  </authors>
  <commentList>
    <comment ref="H6" authorId="0">
      <text>
        <r>
          <rPr>
            <b/>
            <sz val="8"/>
            <color indexed="81"/>
            <rFont val="Tahoma"/>
            <family val="2"/>
            <charset val="186"/>
          </rPr>
          <t>Võite - Kaotusi</t>
        </r>
      </text>
    </comment>
    <comment ref="J6" authorId="0">
      <text>
        <r>
          <rPr>
            <b/>
            <sz val="8"/>
            <color indexed="81"/>
            <rFont val="Tahoma"/>
            <family val="2"/>
            <charset val="186"/>
          </rPr>
          <t>Võite omavahelistes mängudes</t>
        </r>
      </text>
    </comment>
    <comment ref="L6" authorId="0">
      <text>
        <r>
          <rPr>
            <b/>
            <sz val="8"/>
            <color indexed="81"/>
            <rFont val="Tahoma"/>
            <family val="2"/>
            <charset val="186"/>
          </rPr>
          <t>Punktide vahe omavahelistes mängudes</t>
        </r>
      </text>
    </comment>
    <comment ref="M6" authorId="0">
      <text>
        <r>
          <rPr>
            <b/>
            <sz val="8"/>
            <color indexed="81"/>
            <rFont val="Tahoma"/>
            <family val="2"/>
            <charset val="186"/>
          </rPr>
          <t>Kui omavahelistes mängudes on kõigil võrdselt võite ja ka punktide vahe on võrdne, siis vaatab, kumb võitis</t>
        </r>
      </text>
    </comment>
    <comment ref="N6" authorId="0">
      <text>
        <r>
          <rPr>
            <b/>
            <sz val="8"/>
            <color indexed="81"/>
            <rFont val="Tahoma"/>
            <family val="2"/>
            <charset val="186"/>
          </rPr>
          <t>Kogu turniiri jooksul mängitud mängude punktide VAHE</t>
        </r>
      </text>
    </comment>
    <comment ref="O6" authorId="0">
      <text>
        <r>
          <rPr>
            <b/>
            <sz val="8"/>
            <color indexed="81"/>
            <rFont val="Tahoma"/>
            <family val="2"/>
            <charset val="186"/>
          </rPr>
          <t>Kogu turniiri jooksul mängitud mängude punktide VAHE</t>
        </r>
      </text>
    </comment>
    <comment ref="P6" authorId="0">
      <text>
        <r>
          <rPr>
            <b/>
            <sz val="8"/>
            <color indexed="81"/>
            <rFont val="Tahoma"/>
            <family val="2"/>
            <charset val="186"/>
          </rPr>
          <t>Kogu turniiri jooksul mängitud mängude keskmine punktide SUHE</t>
        </r>
      </text>
    </comment>
    <comment ref="R6" authorId="0">
      <text>
        <r>
          <rPr>
            <b/>
            <sz val="8"/>
            <color indexed="81"/>
            <rFont val="Tahoma"/>
            <family val="2"/>
            <charset val="186"/>
          </rPr>
          <t>TRUE kui: 
3-ses alagrupis 3 nime ja   6 tulemust või
4-ses alagrupis 4 nime ja 12 tulemust või
5-ses alagrupis 5 nime ja 20 tulemust või
6-ses alagrupis 5 nime ja 30 tulemust</t>
        </r>
      </text>
    </comment>
  </commentList>
</comments>
</file>

<file path=xl/comments8.xml><?xml version="1.0" encoding="utf-8"?>
<comments xmlns="http://schemas.openxmlformats.org/spreadsheetml/2006/main">
  <authors>
    <author>Author</author>
  </authors>
  <commentList>
    <comment ref="H6" authorId="0">
      <text>
        <r>
          <rPr>
            <b/>
            <sz val="8"/>
            <color indexed="81"/>
            <rFont val="Tahoma"/>
            <family val="2"/>
            <charset val="186"/>
          </rPr>
          <t>Võite - Kaotusi</t>
        </r>
      </text>
    </comment>
    <comment ref="J6" authorId="0">
      <text>
        <r>
          <rPr>
            <b/>
            <sz val="8"/>
            <color indexed="81"/>
            <rFont val="Tahoma"/>
            <family val="2"/>
            <charset val="186"/>
          </rPr>
          <t>Võite omavahelistes mängudes</t>
        </r>
      </text>
    </comment>
    <comment ref="L6" authorId="0">
      <text>
        <r>
          <rPr>
            <b/>
            <sz val="8"/>
            <color indexed="81"/>
            <rFont val="Tahoma"/>
            <family val="2"/>
            <charset val="186"/>
          </rPr>
          <t>Punktide vahe omavahelistes mängudes</t>
        </r>
      </text>
    </comment>
    <comment ref="M6" authorId="0">
      <text>
        <r>
          <rPr>
            <b/>
            <sz val="8"/>
            <color indexed="81"/>
            <rFont val="Tahoma"/>
            <family val="2"/>
            <charset val="186"/>
          </rPr>
          <t>Kui omavahelistes mängudes on kõigil võrdselt võite ja ka punktide vahe on võrdne, siis vaatab, kumb võitis</t>
        </r>
      </text>
    </comment>
    <comment ref="N6" authorId="0">
      <text>
        <r>
          <rPr>
            <b/>
            <sz val="8"/>
            <color indexed="81"/>
            <rFont val="Tahoma"/>
            <family val="2"/>
            <charset val="186"/>
          </rPr>
          <t>Kogu turniiri jooksul mängitud mängude punktide VAHE</t>
        </r>
      </text>
    </comment>
    <comment ref="O6" authorId="0">
      <text>
        <r>
          <rPr>
            <b/>
            <sz val="8"/>
            <color indexed="81"/>
            <rFont val="Tahoma"/>
            <family val="2"/>
            <charset val="186"/>
          </rPr>
          <t>Kogu turniiri jooksul mängitud mängude punktide VAHE</t>
        </r>
      </text>
    </comment>
    <comment ref="P6" authorId="0">
      <text>
        <r>
          <rPr>
            <b/>
            <sz val="8"/>
            <color indexed="81"/>
            <rFont val="Tahoma"/>
            <family val="2"/>
            <charset val="186"/>
          </rPr>
          <t>Kogu turniiri jooksul mängitud mängude keskmine punktide SUHE</t>
        </r>
      </text>
    </comment>
    <comment ref="R6" authorId="0">
      <text>
        <r>
          <rPr>
            <b/>
            <sz val="8"/>
            <color indexed="81"/>
            <rFont val="Tahoma"/>
            <family val="2"/>
            <charset val="186"/>
          </rPr>
          <t>TRUE kui: 
3-ses alagrupis 3 nime ja   6 tulemust või
4-ses alagrupis 4 nime ja 12 tulemust või
5-ses alagrupis 5 nime ja 20 tulemust või
6-ses alagrupis 5 nime ja 30 tulemust</t>
        </r>
      </text>
    </comment>
  </commentList>
</comments>
</file>

<file path=xl/comments9.xml><?xml version="1.0" encoding="utf-8"?>
<comments xmlns="http://schemas.openxmlformats.org/spreadsheetml/2006/main">
  <authors>
    <author>Author</author>
  </authors>
  <commentList>
    <comment ref="H6" authorId="0">
      <text>
        <r>
          <rPr>
            <b/>
            <sz val="8"/>
            <color indexed="81"/>
            <rFont val="Tahoma"/>
            <family val="2"/>
            <charset val="186"/>
          </rPr>
          <t>Võite - Kaotusi</t>
        </r>
      </text>
    </comment>
    <comment ref="J6" authorId="0">
      <text>
        <r>
          <rPr>
            <b/>
            <sz val="8"/>
            <color indexed="81"/>
            <rFont val="Tahoma"/>
            <family val="2"/>
            <charset val="186"/>
          </rPr>
          <t>Võite omavahelistes mängudes</t>
        </r>
      </text>
    </comment>
    <comment ref="L6" authorId="0">
      <text>
        <r>
          <rPr>
            <b/>
            <sz val="8"/>
            <color indexed="81"/>
            <rFont val="Tahoma"/>
            <family val="2"/>
            <charset val="186"/>
          </rPr>
          <t>Punktide vahe omavahelistes mängudes</t>
        </r>
      </text>
    </comment>
    <comment ref="M6" authorId="0">
      <text>
        <r>
          <rPr>
            <b/>
            <sz val="8"/>
            <color indexed="81"/>
            <rFont val="Tahoma"/>
            <family val="2"/>
            <charset val="186"/>
          </rPr>
          <t>Kui omavahelistes mängudes on kõigil võrdselt võite ja ka punktide vahe on võrdne, siis vaatab, kumb võitis</t>
        </r>
      </text>
    </comment>
    <comment ref="N6" authorId="0">
      <text>
        <r>
          <rPr>
            <b/>
            <sz val="8"/>
            <color indexed="81"/>
            <rFont val="Tahoma"/>
            <family val="2"/>
            <charset val="186"/>
          </rPr>
          <t>Kogu turniiri jooksul mängitud mängude punktide VAHE</t>
        </r>
      </text>
    </comment>
    <comment ref="O6" authorId="0">
      <text>
        <r>
          <rPr>
            <b/>
            <sz val="8"/>
            <color indexed="81"/>
            <rFont val="Tahoma"/>
            <family val="2"/>
            <charset val="186"/>
          </rPr>
          <t>Kogu turniiri jooksul mängitud mängude punktide VAHE</t>
        </r>
      </text>
    </comment>
    <comment ref="P6" authorId="0">
      <text>
        <r>
          <rPr>
            <b/>
            <sz val="8"/>
            <color indexed="81"/>
            <rFont val="Tahoma"/>
            <family val="2"/>
            <charset val="186"/>
          </rPr>
          <t>Kogu turniiri jooksul mängitud mängude keskmine punktide SUHE</t>
        </r>
      </text>
    </comment>
    <comment ref="R6" authorId="0">
      <text>
        <r>
          <rPr>
            <b/>
            <sz val="8"/>
            <color indexed="81"/>
            <rFont val="Tahoma"/>
            <family val="2"/>
            <charset val="186"/>
          </rPr>
          <t>TRUE kui: 
3-ses alagrupis 3 nime ja   6 tulemust või
4-ses alagrupis 4 nime ja 12 tulemust või
5-ses alagrupis 5 nime ja 20 tulemust või
6-ses alagrupis 5 nime ja 30 tulemust</t>
        </r>
      </text>
    </comment>
  </commentList>
</comments>
</file>

<file path=xl/comments10.xml><?xml version="1.0" encoding="utf-8"?>
<comments xmlns="http://schemas.openxmlformats.org/spreadsheetml/2006/main">
  <authors>
    <author>Author</author>
  </authors>
  <commentList>
    <comment ref="H6" authorId="0">
      <text>
        <r>
          <rPr>
            <b/>
            <sz val="8"/>
            <color indexed="81"/>
            <rFont val="Tahoma"/>
            <family val="2"/>
            <charset val="186"/>
          </rPr>
          <t>Võite - Kaotusi</t>
        </r>
      </text>
    </comment>
    <comment ref="J6" authorId="0">
      <text>
        <r>
          <rPr>
            <b/>
            <sz val="8"/>
            <color indexed="81"/>
            <rFont val="Tahoma"/>
            <family val="2"/>
            <charset val="186"/>
          </rPr>
          <t>Võite omavahelistes mängudes</t>
        </r>
      </text>
    </comment>
    <comment ref="L6" authorId="0">
      <text>
        <r>
          <rPr>
            <b/>
            <sz val="8"/>
            <color indexed="81"/>
            <rFont val="Tahoma"/>
            <family val="2"/>
            <charset val="186"/>
          </rPr>
          <t>Punktide vahe omavahelistes mängudes</t>
        </r>
      </text>
    </comment>
    <comment ref="M6" authorId="0">
      <text>
        <r>
          <rPr>
            <b/>
            <sz val="8"/>
            <color indexed="81"/>
            <rFont val="Tahoma"/>
            <family val="2"/>
            <charset val="186"/>
          </rPr>
          <t>Kui omavahelistes mängudes on kõigil võrdselt võite ja ka punktide vahe on võrdne, siis vaatab, kumb võitis</t>
        </r>
      </text>
    </comment>
    <comment ref="N6" authorId="0">
      <text>
        <r>
          <rPr>
            <b/>
            <sz val="8"/>
            <color indexed="81"/>
            <rFont val="Tahoma"/>
            <family val="2"/>
            <charset val="186"/>
          </rPr>
          <t>Kogu turniiri jooksul mängitud mängude punktide VAHE</t>
        </r>
      </text>
    </comment>
    <comment ref="O6" authorId="0">
      <text>
        <r>
          <rPr>
            <b/>
            <sz val="8"/>
            <color indexed="81"/>
            <rFont val="Tahoma"/>
            <family val="2"/>
            <charset val="186"/>
          </rPr>
          <t>Kogu turniiri jooksul mängitud mängude punktide VAHE</t>
        </r>
      </text>
    </comment>
    <comment ref="P6" authorId="0">
      <text>
        <r>
          <rPr>
            <b/>
            <sz val="8"/>
            <color indexed="81"/>
            <rFont val="Tahoma"/>
            <family val="2"/>
            <charset val="186"/>
          </rPr>
          <t>Kogu turniiri jooksul mängitud mängude keskmine punktide SUHE</t>
        </r>
      </text>
    </comment>
    <comment ref="R6" authorId="0">
      <text>
        <r>
          <rPr>
            <b/>
            <sz val="8"/>
            <color indexed="81"/>
            <rFont val="Tahoma"/>
            <family val="2"/>
            <charset val="186"/>
          </rPr>
          <t>TRUE kui: 
3-ses alagrupis 3 nime ja   6 tulemust või
4-ses alagrupis 4 nime ja 12 tulemust või
5-ses alagrupis 5 nime ja 20 tulemust või
6-ses alagrupis 5 nime ja 30 tulemust</t>
        </r>
      </text>
    </comment>
  </commentList>
</comments>
</file>

<file path=xl/comments11.xml><?xml version="1.0" encoding="utf-8"?>
<comments xmlns="http://schemas.openxmlformats.org/spreadsheetml/2006/main">
  <authors>
    <author>Author</author>
  </authors>
  <commentList>
    <comment ref="H6" authorId="0">
      <text>
        <r>
          <rPr>
            <b/>
            <sz val="8"/>
            <color indexed="81"/>
            <rFont val="Tahoma"/>
            <family val="2"/>
            <charset val="186"/>
          </rPr>
          <t>Võite - Kaotusi</t>
        </r>
      </text>
    </comment>
    <comment ref="J6" authorId="0">
      <text>
        <r>
          <rPr>
            <b/>
            <sz val="8"/>
            <color indexed="81"/>
            <rFont val="Tahoma"/>
            <family val="2"/>
            <charset val="186"/>
          </rPr>
          <t>Võite omavahelistes mängudes</t>
        </r>
      </text>
    </comment>
    <comment ref="L6" authorId="0">
      <text>
        <r>
          <rPr>
            <b/>
            <sz val="8"/>
            <color indexed="81"/>
            <rFont val="Tahoma"/>
            <family val="2"/>
            <charset val="186"/>
          </rPr>
          <t>Punktide vahe omavahelistes mängudes</t>
        </r>
      </text>
    </comment>
    <comment ref="M6" authorId="0">
      <text>
        <r>
          <rPr>
            <b/>
            <sz val="8"/>
            <color indexed="81"/>
            <rFont val="Tahoma"/>
            <family val="2"/>
            <charset val="186"/>
          </rPr>
          <t>Kui omavahelistes mängudes on kõigil võrdselt võite ja ka punktide vahe on võrdne, siis vaatab, kumb võitis</t>
        </r>
      </text>
    </comment>
    <comment ref="N6" authorId="0">
      <text>
        <r>
          <rPr>
            <b/>
            <sz val="8"/>
            <color indexed="81"/>
            <rFont val="Tahoma"/>
            <family val="2"/>
            <charset val="186"/>
          </rPr>
          <t>Kogu turniiri jooksul mängitud mängude punktide VAHE</t>
        </r>
      </text>
    </comment>
    <comment ref="O6" authorId="0">
      <text>
        <r>
          <rPr>
            <b/>
            <sz val="8"/>
            <color indexed="81"/>
            <rFont val="Tahoma"/>
            <family val="2"/>
            <charset val="186"/>
          </rPr>
          <t>Kogu turniiri jooksul mängitud mängude punktide VAHE</t>
        </r>
      </text>
    </comment>
    <comment ref="P6" authorId="0">
      <text>
        <r>
          <rPr>
            <b/>
            <sz val="8"/>
            <color indexed="81"/>
            <rFont val="Tahoma"/>
            <family val="2"/>
            <charset val="186"/>
          </rPr>
          <t>Kogu turniiri jooksul mängitud mängude keskmine punktide SUHE</t>
        </r>
      </text>
    </comment>
    <comment ref="R6" authorId="0">
      <text>
        <r>
          <rPr>
            <b/>
            <sz val="8"/>
            <color indexed="81"/>
            <rFont val="Tahoma"/>
            <family val="2"/>
            <charset val="186"/>
          </rPr>
          <t>TRUE kui: 
3-ses alagrupis 3 nime ja   6 tulemust või
4-ses alagrupis 4 nime ja 12 tulemust või
5-ses alagrupis 5 nime ja 20 tulemust või
6-ses alagrupis 5 nime ja 30 tulemust</t>
        </r>
      </text>
    </comment>
    <comment ref="I320" authorId="0">
      <text>
        <r>
          <rPr>
            <b/>
            <sz val="8"/>
            <color indexed="81"/>
            <rFont val="Tahoma"/>
            <family val="2"/>
            <charset val="186"/>
          </rPr>
          <t>Võite - Kaotusi</t>
        </r>
      </text>
    </comment>
    <comment ref="K320" authorId="0">
      <text>
        <r>
          <rPr>
            <b/>
            <sz val="8"/>
            <color indexed="81"/>
            <rFont val="Tahoma"/>
            <family val="2"/>
            <charset val="186"/>
          </rPr>
          <t>Võite omavahelistes mängudes</t>
        </r>
      </text>
    </comment>
    <comment ref="M320" authorId="0">
      <text>
        <r>
          <rPr>
            <b/>
            <sz val="8"/>
            <color indexed="81"/>
            <rFont val="Tahoma"/>
            <family val="2"/>
            <charset val="186"/>
          </rPr>
          <t>Punktide vahe omavahelistes mängudes</t>
        </r>
      </text>
    </comment>
    <comment ref="N320" authorId="0">
      <text>
        <r>
          <rPr>
            <b/>
            <sz val="8"/>
            <color indexed="81"/>
            <rFont val="Tahoma"/>
            <family val="2"/>
            <charset val="186"/>
          </rPr>
          <t>Kui omavahelistes mängudes on kõigil võrdselt võite ja ka punktide vahe on võrdne, siis vaatab, kumb võitis</t>
        </r>
      </text>
    </comment>
    <comment ref="O320" authorId="0">
      <text>
        <r>
          <rPr>
            <b/>
            <sz val="8"/>
            <color indexed="81"/>
            <rFont val="Tahoma"/>
            <family val="2"/>
            <charset val="186"/>
          </rPr>
          <t>Kogu turniiri jooksul mängitud mängude punktide VAHE</t>
        </r>
      </text>
    </comment>
    <comment ref="P320" authorId="0">
      <text>
        <r>
          <rPr>
            <b/>
            <sz val="8"/>
            <color indexed="81"/>
            <rFont val="Tahoma"/>
            <family val="2"/>
            <charset val="186"/>
          </rPr>
          <t>Kogu turniiri jooksul mängitud mängude punktide VAHE</t>
        </r>
      </text>
    </comment>
    <comment ref="Q320" authorId="0">
      <text>
        <r>
          <rPr>
            <b/>
            <sz val="8"/>
            <color indexed="81"/>
            <rFont val="Tahoma"/>
            <family val="2"/>
            <charset val="186"/>
          </rPr>
          <t>Kogu turniiri jooksul mängitud mängude keskmine punktide SUHE</t>
        </r>
      </text>
    </comment>
    <comment ref="S320" authorId="0">
      <text>
        <r>
          <rPr>
            <b/>
            <sz val="8"/>
            <color indexed="81"/>
            <rFont val="Tahoma"/>
            <family val="2"/>
            <charset val="186"/>
          </rPr>
          <t>TRUE kui: 
3-ses alagrupis 3 nime ja   6 tulemust või
4-ses alagrupis 4 nime ja 12 tulemust või
5-ses alagrupis 5 nime ja 20 tulemust või
6-ses alagrupis 5 nime ja 30 tulemust</t>
        </r>
      </text>
    </comment>
  </commentList>
</comments>
</file>

<file path=xl/comments12.xml><?xml version="1.0" encoding="utf-8"?>
<comments xmlns="http://schemas.openxmlformats.org/spreadsheetml/2006/main">
  <authors>
    <author>Author</author>
  </authors>
  <commentList>
    <comment ref="H6" authorId="0">
      <text>
        <r>
          <rPr>
            <b/>
            <sz val="8"/>
            <color indexed="81"/>
            <rFont val="Tahoma"/>
            <family val="2"/>
            <charset val="186"/>
          </rPr>
          <t>Võite - Kaotusi</t>
        </r>
      </text>
    </comment>
    <comment ref="J6" authorId="0">
      <text>
        <r>
          <rPr>
            <b/>
            <sz val="8"/>
            <color indexed="81"/>
            <rFont val="Tahoma"/>
            <family val="2"/>
            <charset val="186"/>
          </rPr>
          <t>Võite omavahelistes mängudes</t>
        </r>
      </text>
    </comment>
    <comment ref="L6" authorId="0">
      <text>
        <r>
          <rPr>
            <b/>
            <sz val="8"/>
            <color indexed="81"/>
            <rFont val="Tahoma"/>
            <family val="2"/>
            <charset val="186"/>
          </rPr>
          <t>Punktide vahe omavahelistes mängudes</t>
        </r>
      </text>
    </comment>
    <comment ref="M6" authorId="0">
      <text>
        <r>
          <rPr>
            <b/>
            <sz val="8"/>
            <color indexed="81"/>
            <rFont val="Tahoma"/>
            <family val="2"/>
            <charset val="186"/>
          </rPr>
          <t>Kui omavahelistes mängudes on kõigil võrdselt võite ja ka punktide vahe on võrdne, siis vaatab, kumb võitis</t>
        </r>
      </text>
    </comment>
    <comment ref="N6" authorId="0">
      <text>
        <r>
          <rPr>
            <b/>
            <sz val="8"/>
            <color indexed="81"/>
            <rFont val="Tahoma"/>
            <family val="2"/>
            <charset val="186"/>
          </rPr>
          <t>Kogu turniiri jooksul mängitud mängude punktide VAHE</t>
        </r>
      </text>
    </comment>
    <comment ref="O6" authorId="0">
      <text>
        <r>
          <rPr>
            <b/>
            <sz val="8"/>
            <color indexed="81"/>
            <rFont val="Tahoma"/>
            <family val="2"/>
            <charset val="186"/>
          </rPr>
          <t>Kogu turniiri jooksul mängitud mängude punktide VAHE</t>
        </r>
      </text>
    </comment>
    <comment ref="P6" authorId="0">
      <text>
        <r>
          <rPr>
            <b/>
            <sz val="8"/>
            <color indexed="81"/>
            <rFont val="Tahoma"/>
            <family val="2"/>
            <charset val="186"/>
          </rPr>
          <t>Kogu turniiri jooksul mängitud mängude keskmine punktide SUHE</t>
        </r>
      </text>
    </comment>
    <comment ref="R6" authorId="0">
      <text>
        <r>
          <rPr>
            <b/>
            <sz val="8"/>
            <color indexed="81"/>
            <rFont val="Tahoma"/>
            <family val="2"/>
            <charset val="186"/>
          </rPr>
          <t>TRUE kui: 
3-ses alagrupis 3 nime ja   6 tulemust või
4-ses alagrupis 4 nime ja 12 tulemust või
5-ses alagrupis 5 nime ja 20 tulemust või
6-ses alagrupis 5 nime ja 30 tulemust</t>
        </r>
      </text>
    </comment>
  </commentList>
</comments>
</file>

<file path=xl/comments13.xml><?xml version="1.0" encoding="utf-8"?>
<comments xmlns="http://schemas.openxmlformats.org/spreadsheetml/2006/main">
  <authors>
    <author>Author</author>
  </authors>
  <commentList>
    <comment ref="H6" authorId="0">
      <text>
        <r>
          <rPr>
            <b/>
            <sz val="8"/>
            <color indexed="81"/>
            <rFont val="Tahoma"/>
            <family val="2"/>
            <charset val="186"/>
          </rPr>
          <t>Võite - Kaotusi</t>
        </r>
      </text>
    </comment>
    <comment ref="J6" authorId="0">
      <text>
        <r>
          <rPr>
            <b/>
            <sz val="8"/>
            <color indexed="81"/>
            <rFont val="Tahoma"/>
            <family val="2"/>
            <charset val="186"/>
          </rPr>
          <t>Võite omavahelistes mängudes</t>
        </r>
      </text>
    </comment>
    <comment ref="L6" authorId="0">
      <text>
        <r>
          <rPr>
            <b/>
            <sz val="8"/>
            <color indexed="81"/>
            <rFont val="Tahoma"/>
            <family val="2"/>
            <charset val="186"/>
          </rPr>
          <t>Punktide vahe omavahelistes mängudes</t>
        </r>
      </text>
    </comment>
    <comment ref="M6" authorId="0">
      <text>
        <r>
          <rPr>
            <b/>
            <sz val="8"/>
            <color indexed="81"/>
            <rFont val="Tahoma"/>
            <family val="2"/>
            <charset val="186"/>
          </rPr>
          <t>Kui omavahelistes mängudes on kõigil võrdselt võite ja ka punktide vahe on võrdne, siis vaatab, kumb võitis</t>
        </r>
      </text>
    </comment>
    <comment ref="N6" authorId="0">
      <text>
        <r>
          <rPr>
            <b/>
            <sz val="8"/>
            <color indexed="81"/>
            <rFont val="Tahoma"/>
            <family val="2"/>
            <charset val="186"/>
          </rPr>
          <t>Kogu turniiri jooksul mängitud mängude punktide VAHE</t>
        </r>
      </text>
    </comment>
    <comment ref="O6" authorId="0">
      <text>
        <r>
          <rPr>
            <b/>
            <sz val="8"/>
            <color indexed="81"/>
            <rFont val="Tahoma"/>
            <family val="2"/>
            <charset val="186"/>
          </rPr>
          <t>Kogu turniiri jooksul mängitud mängude punktide VAHE</t>
        </r>
      </text>
    </comment>
    <comment ref="P6" authorId="0">
      <text>
        <r>
          <rPr>
            <b/>
            <sz val="8"/>
            <color indexed="81"/>
            <rFont val="Tahoma"/>
            <family val="2"/>
            <charset val="186"/>
          </rPr>
          <t>Kogu turniiri jooksul mängitud mängude keskmine punktide SUHE</t>
        </r>
      </text>
    </comment>
    <comment ref="R6" authorId="0">
      <text>
        <r>
          <rPr>
            <b/>
            <sz val="8"/>
            <color indexed="81"/>
            <rFont val="Tahoma"/>
            <family val="2"/>
            <charset val="186"/>
          </rPr>
          <t>TRUE kui: 
3-ses alagrupis 3 nime ja   6 tulemust või
4-ses alagrupis 4 nime ja 12 tulemust või
5-ses alagrupis 5 nime ja 20 tulemust või
6-ses alagrupis 5 nime ja 30 tulemust</t>
        </r>
      </text>
    </comment>
  </commentList>
</comments>
</file>

<file path=xl/comments14.xml><?xml version="1.0" encoding="utf-8"?>
<comments xmlns="http://schemas.openxmlformats.org/spreadsheetml/2006/main">
  <authors>
    <author>Author</author>
  </authors>
  <commentList>
    <comment ref="H6" authorId="0">
      <text>
        <r>
          <rPr>
            <b/>
            <sz val="8"/>
            <color indexed="81"/>
            <rFont val="Tahoma"/>
            <family val="2"/>
            <charset val="186"/>
          </rPr>
          <t>Võite - Kaotusi</t>
        </r>
      </text>
    </comment>
    <comment ref="J6" authorId="0">
      <text>
        <r>
          <rPr>
            <b/>
            <sz val="8"/>
            <color indexed="81"/>
            <rFont val="Tahoma"/>
            <family val="2"/>
            <charset val="186"/>
          </rPr>
          <t>Võite omavahelistes mängudes</t>
        </r>
      </text>
    </comment>
    <comment ref="L6" authorId="0">
      <text>
        <r>
          <rPr>
            <b/>
            <sz val="8"/>
            <color indexed="81"/>
            <rFont val="Tahoma"/>
            <family val="2"/>
            <charset val="186"/>
          </rPr>
          <t>Punktide vahe omavahelistes mängudes</t>
        </r>
      </text>
    </comment>
    <comment ref="M6" authorId="0">
      <text>
        <r>
          <rPr>
            <b/>
            <sz val="8"/>
            <color indexed="81"/>
            <rFont val="Tahoma"/>
            <family val="2"/>
            <charset val="186"/>
          </rPr>
          <t>Kui omavahelistes mängudes on kõigil võrdselt võite ja ka punktide vahe on võrdne, siis vaatab, kumb võitis</t>
        </r>
      </text>
    </comment>
    <comment ref="N6" authorId="0">
      <text>
        <r>
          <rPr>
            <b/>
            <sz val="8"/>
            <color indexed="81"/>
            <rFont val="Tahoma"/>
            <family val="2"/>
            <charset val="186"/>
          </rPr>
          <t>Kogu turniiri jooksul mängitud mängude punktide VAHE</t>
        </r>
      </text>
    </comment>
    <comment ref="O6" authorId="0">
      <text>
        <r>
          <rPr>
            <b/>
            <sz val="8"/>
            <color indexed="81"/>
            <rFont val="Tahoma"/>
            <family val="2"/>
            <charset val="186"/>
          </rPr>
          <t>Kogu turniiri jooksul mängitud mängude punktide VAHE</t>
        </r>
      </text>
    </comment>
    <comment ref="P6" authorId="0">
      <text>
        <r>
          <rPr>
            <b/>
            <sz val="8"/>
            <color indexed="81"/>
            <rFont val="Tahoma"/>
            <family val="2"/>
            <charset val="186"/>
          </rPr>
          <t>Kogu turniiri jooksul mängitud mängude keskmine punktide SUHE</t>
        </r>
      </text>
    </comment>
    <comment ref="R6" authorId="0">
      <text>
        <r>
          <rPr>
            <b/>
            <sz val="8"/>
            <color indexed="81"/>
            <rFont val="Tahoma"/>
            <family val="2"/>
            <charset val="186"/>
          </rPr>
          <t>TRUE kui: 
3-ses alagrupis 3 nime ja   6 tulemust või
4-ses alagrupis 4 nime ja 12 tulemust või
5-ses alagrupis 5 nime ja 20 tulemust või
6-ses alagrupis 5 nime ja 30 tulemust</t>
        </r>
      </text>
    </comment>
  </commentList>
</comments>
</file>

<file path=xl/comments15.xml><?xml version="1.0" encoding="utf-8"?>
<comments xmlns="http://schemas.openxmlformats.org/spreadsheetml/2006/main">
  <authors>
    <author>Author</author>
  </authors>
  <commentList>
    <comment ref="H6" authorId="0">
      <text>
        <r>
          <rPr>
            <b/>
            <sz val="8"/>
            <color indexed="81"/>
            <rFont val="Tahoma"/>
            <family val="2"/>
            <charset val="186"/>
          </rPr>
          <t>Võite - Kaotusi</t>
        </r>
      </text>
    </comment>
    <comment ref="J6" authorId="0">
      <text>
        <r>
          <rPr>
            <b/>
            <sz val="8"/>
            <color indexed="81"/>
            <rFont val="Tahoma"/>
            <family val="2"/>
            <charset val="186"/>
          </rPr>
          <t>Võite omavahelistes mängudes</t>
        </r>
      </text>
    </comment>
    <comment ref="L6" authorId="0">
      <text>
        <r>
          <rPr>
            <b/>
            <sz val="8"/>
            <color indexed="81"/>
            <rFont val="Tahoma"/>
            <family val="2"/>
            <charset val="186"/>
          </rPr>
          <t>Punktide vahe omavahelistes mängudes</t>
        </r>
      </text>
    </comment>
    <comment ref="M6" authorId="0">
      <text>
        <r>
          <rPr>
            <b/>
            <sz val="8"/>
            <color indexed="81"/>
            <rFont val="Tahoma"/>
            <family val="2"/>
            <charset val="186"/>
          </rPr>
          <t>Kui omavahelistes mängudes on kõigil võrdselt võite ja ka punktide vahe on võrdne, siis vaatab, kumb võitis</t>
        </r>
      </text>
    </comment>
    <comment ref="N6" authorId="0">
      <text>
        <r>
          <rPr>
            <b/>
            <sz val="8"/>
            <color indexed="81"/>
            <rFont val="Tahoma"/>
            <family val="2"/>
            <charset val="186"/>
          </rPr>
          <t>Kogu turniiri jooksul mängitud mängude punktide VAHE</t>
        </r>
      </text>
    </comment>
    <comment ref="O6" authorId="0">
      <text>
        <r>
          <rPr>
            <b/>
            <sz val="8"/>
            <color indexed="81"/>
            <rFont val="Tahoma"/>
            <family val="2"/>
            <charset val="186"/>
          </rPr>
          <t>Kogu turniiri jooksul mängitud mängude punktide VAHE</t>
        </r>
      </text>
    </comment>
    <comment ref="P6" authorId="0">
      <text>
        <r>
          <rPr>
            <b/>
            <sz val="8"/>
            <color indexed="81"/>
            <rFont val="Tahoma"/>
            <family val="2"/>
            <charset val="186"/>
          </rPr>
          <t>Kogu turniiri jooksul mängitud mängude keskmine punktide SUHE</t>
        </r>
      </text>
    </comment>
    <comment ref="R6" authorId="0">
      <text>
        <r>
          <rPr>
            <b/>
            <sz val="8"/>
            <color indexed="81"/>
            <rFont val="Tahoma"/>
            <family val="2"/>
            <charset val="186"/>
          </rPr>
          <t>TRUE kui: 
3-ses alagrupis 3 nime ja   6 tulemust või
4-ses alagrupis 4 nime ja 12 tulemust või
5-ses alagrupis 5 nime ja 20 tulemust või
6-ses alagrupis 5 nime ja 30 tulemust</t>
        </r>
      </text>
    </comment>
  </commentList>
</comments>
</file>

<file path=xl/comments16.xml><?xml version="1.0" encoding="utf-8"?>
<comments xmlns="http://schemas.openxmlformats.org/spreadsheetml/2006/main">
  <authors>
    <author>Author</author>
  </authors>
  <commentList>
    <comment ref="AH21" authorId="0">
      <text/>
    </comment>
    <comment ref="AH25" authorId="0">
      <text/>
    </comment>
    <comment ref="B305" authorId="0">
      <text/>
    </comment>
    <comment ref="B309" authorId="0">
      <text/>
    </comment>
  </commentList>
</comments>
</file>

<file path=xl/comments17.xml><?xml version="1.0" encoding="utf-8"?>
<comments xmlns="http://schemas.openxmlformats.org/spreadsheetml/2006/main">
  <authors>
    <author>Author</author>
  </authors>
  <commentList>
    <comment ref="H6" authorId="0">
      <text>
        <r>
          <rPr>
            <b/>
            <sz val="8"/>
            <color indexed="81"/>
            <rFont val="Tahoma"/>
            <family val="2"/>
            <charset val="186"/>
          </rPr>
          <t>Võite - Kaotusi</t>
        </r>
      </text>
    </comment>
    <comment ref="J6" authorId="0">
      <text>
        <r>
          <rPr>
            <b/>
            <sz val="8"/>
            <color indexed="81"/>
            <rFont val="Tahoma"/>
            <family val="2"/>
            <charset val="186"/>
          </rPr>
          <t>Võite omavahelistes mängudes</t>
        </r>
      </text>
    </comment>
    <comment ref="L6" authorId="0">
      <text>
        <r>
          <rPr>
            <b/>
            <sz val="8"/>
            <color indexed="81"/>
            <rFont val="Tahoma"/>
            <family val="2"/>
            <charset val="186"/>
          </rPr>
          <t>Punktide vahe omavahelistes mängudes</t>
        </r>
      </text>
    </comment>
    <comment ref="M6" authorId="0">
      <text>
        <r>
          <rPr>
            <b/>
            <sz val="8"/>
            <color indexed="81"/>
            <rFont val="Tahoma"/>
            <family val="2"/>
            <charset val="186"/>
          </rPr>
          <t>Kui omavahelistes mängudes on kõigil võrdselt võite ja ka punktide vahe on võrdne, siis vaatab, kumb võitis</t>
        </r>
      </text>
    </comment>
    <comment ref="N6" authorId="0">
      <text>
        <r>
          <rPr>
            <b/>
            <sz val="8"/>
            <color indexed="81"/>
            <rFont val="Tahoma"/>
            <family val="2"/>
            <charset val="186"/>
          </rPr>
          <t>Kogu turniiri jooksul mängitud mängude punktide VAHE</t>
        </r>
      </text>
    </comment>
    <comment ref="O6" authorId="0">
      <text>
        <r>
          <rPr>
            <b/>
            <sz val="8"/>
            <color indexed="81"/>
            <rFont val="Tahoma"/>
            <family val="2"/>
            <charset val="186"/>
          </rPr>
          <t>Kogu turniiri jooksul mängitud mängude punktide VAHE</t>
        </r>
      </text>
    </comment>
    <comment ref="P6" authorId="0">
      <text>
        <r>
          <rPr>
            <b/>
            <sz val="8"/>
            <color indexed="81"/>
            <rFont val="Tahoma"/>
            <family val="2"/>
            <charset val="186"/>
          </rPr>
          <t>Kogu turniiri jooksul mängitud mängude keskmine punktide SUHE</t>
        </r>
      </text>
    </comment>
    <comment ref="R6" authorId="0">
      <text>
        <r>
          <rPr>
            <b/>
            <sz val="8"/>
            <color indexed="81"/>
            <rFont val="Tahoma"/>
            <family val="2"/>
            <charset val="186"/>
          </rPr>
          <t>TRUE kui: 
3-ses alagrupis 3 nime ja   6 tulemust või
4-ses alagrupis 4 nime ja 12 tulemust või
5-ses alagrupis 5 nime ja 20 tulemust või
6-ses alagrupis 5 nime ja 30 tulemust</t>
        </r>
      </text>
    </comment>
  </commentList>
</comments>
</file>

<file path=xl/comments18.xml><?xml version="1.0" encoding="utf-8"?>
<comments xmlns="http://schemas.openxmlformats.org/spreadsheetml/2006/main">
  <authors>
    <author>Author</author>
  </authors>
  <commentList>
    <comment ref="I6" authorId="0">
      <text>
        <r>
          <rPr>
            <b/>
            <sz val="8"/>
            <color indexed="81"/>
            <rFont val="Tahoma"/>
            <family val="2"/>
            <charset val="186"/>
          </rPr>
          <t>Võite - Kaotusi</t>
        </r>
      </text>
    </comment>
    <comment ref="K6" authorId="0">
      <text>
        <r>
          <rPr>
            <b/>
            <sz val="8"/>
            <color indexed="81"/>
            <rFont val="Tahoma"/>
            <family val="2"/>
            <charset val="186"/>
          </rPr>
          <t>Võite omavahelistes mängudes</t>
        </r>
      </text>
    </comment>
    <comment ref="M6" authorId="0">
      <text>
        <r>
          <rPr>
            <b/>
            <sz val="8"/>
            <color indexed="81"/>
            <rFont val="Tahoma"/>
            <family val="2"/>
            <charset val="186"/>
          </rPr>
          <t>Punktide vahe omavahelistes mängudes</t>
        </r>
      </text>
    </comment>
    <comment ref="N6" authorId="0">
      <text>
        <r>
          <rPr>
            <b/>
            <sz val="8"/>
            <color indexed="81"/>
            <rFont val="Tahoma"/>
            <family val="2"/>
            <charset val="186"/>
          </rPr>
          <t>Kui omavahelistes mängudes on kõigil võrdselt võite ja ka punktide vahe on võrdne, siis vaatab, kumb võitis</t>
        </r>
      </text>
    </comment>
    <comment ref="O6" authorId="0">
      <text>
        <r>
          <rPr>
            <b/>
            <sz val="8"/>
            <color indexed="81"/>
            <rFont val="Tahoma"/>
            <family val="2"/>
            <charset val="186"/>
          </rPr>
          <t>Kogu turniiri jooksul mängitud mängude punktide VAHE</t>
        </r>
      </text>
    </comment>
    <comment ref="P6" authorId="0">
      <text>
        <r>
          <rPr>
            <b/>
            <sz val="8"/>
            <color indexed="81"/>
            <rFont val="Tahoma"/>
            <family val="2"/>
            <charset val="186"/>
          </rPr>
          <t>Kogu turniiri jooksul mängitud mängude punktide VAHE</t>
        </r>
      </text>
    </comment>
    <comment ref="Q6" authorId="0">
      <text>
        <r>
          <rPr>
            <b/>
            <sz val="8"/>
            <color indexed="81"/>
            <rFont val="Tahoma"/>
            <family val="2"/>
            <charset val="186"/>
          </rPr>
          <t>Kogu turniiri jooksul mängitud mängude keskmine punktide SUHE</t>
        </r>
      </text>
    </comment>
    <comment ref="S6" authorId="0">
      <text>
        <r>
          <rPr>
            <b/>
            <sz val="8"/>
            <color indexed="81"/>
            <rFont val="Tahoma"/>
            <family val="2"/>
            <charset val="186"/>
          </rPr>
          <t>TRUE kui: 
3-ses alagrupis 3 nime ja   6 tulemust või
4-ses alagrupis 4 nime ja 12 tulemust või
5-ses alagrupis 5 nime ja 20 tulemust või
6-ses alagrupis 5 nime ja 30 tulemust</t>
        </r>
      </text>
    </comment>
  </commentList>
</comments>
</file>

<file path=xl/comments19.xml><?xml version="1.0" encoding="utf-8"?>
<comments xmlns="http://schemas.openxmlformats.org/spreadsheetml/2006/main">
  <authors>
    <author>Author</author>
  </authors>
  <commentList>
    <comment ref="H6" authorId="0">
      <text>
        <r>
          <rPr>
            <b/>
            <sz val="8"/>
            <color indexed="81"/>
            <rFont val="Tahoma"/>
            <family val="2"/>
            <charset val="186"/>
          </rPr>
          <t>Võite - Kaotusi</t>
        </r>
      </text>
    </comment>
    <comment ref="J6" authorId="0">
      <text>
        <r>
          <rPr>
            <b/>
            <sz val="8"/>
            <color indexed="81"/>
            <rFont val="Tahoma"/>
            <family val="2"/>
            <charset val="186"/>
          </rPr>
          <t>Võite omavahelistes mängudes</t>
        </r>
      </text>
    </comment>
    <comment ref="L6" authorId="0">
      <text>
        <r>
          <rPr>
            <b/>
            <sz val="8"/>
            <color indexed="81"/>
            <rFont val="Tahoma"/>
            <family val="2"/>
            <charset val="186"/>
          </rPr>
          <t>Punktide vahe omavahelistes mängudes</t>
        </r>
      </text>
    </comment>
    <comment ref="M6" authorId="0">
      <text>
        <r>
          <rPr>
            <b/>
            <sz val="8"/>
            <color indexed="81"/>
            <rFont val="Tahoma"/>
            <family val="2"/>
            <charset val="186"/>
          </rPr>
          <t>Kui omavahelistes mängudes on kõigil võrdselt võite ja ka punktide vahe on võrdne, siis vaatab, kumb võitis</t>
        </r>
      </text>
    </comment>
    <comment ref="N6" authorId="0">
      <text>
        <r>
          <rPr>
            <b/>
            <sz val="8"/>
            <color indexed="81"/>
            <rFont val="Tahoma"/>
            <family val="2"/>
            <charset val="186"/>
          </rPr>
          <t>Kogu turniiri jooksul mängitud mängude punktide VAHE</t>
        </r>
      </text>
    </comment>
    <comment ref="O6" authorId="0">
      <text>
        <r>
          <rPr>
            <b/>
            <sz val="8"/>
            <color indexed="81"/>
            <rFont val="Tahoma"/>
            <family val="2"/>
            <charset val="186"/>
          </rPr>
          <t>Kogu turniiri jooksul mängitud mängude punktide VAHE</t>
        </r>
      </text>
    </comment>
    <comment ref="P6" authorId="0">
      <text>
        <r>
          <rPr>
            <b/>
            <sz val="8"/>
            <color indexed="81"/>
            <rFont val="Tahoma"/>
            <family val="2"/>
            <charset val="186"/>
          </rPr>
          <t>Kogu turniiri jooksul mängitud mängude keskmine punktide SUHE</t>
        </r>
      </text>
    </comment>
    <comment ref="R6" authorId="0">
      <text>
        <r>
          <rPr>
            <b/>
            <sz val="8"/>
            <color indexed="81"/>
            <rFont val="Tahoma"/>
            <family val="2"/>
            <charset val="186"/>
          </rPr>
          <t>TRUE kui: 
3-ses alagrupis 3 nime ja   6 tulemust või
4-ses alagrupis 4 nime ja 12 tulemust või
5-ses alagrupis 5 nime ja 20 tulemust või
6-ses alagrupis 5 nime ja 30 tulemust</t>
        </r>
      </text>
    </comment>
  </commentList>
</comments>
</file>

<file path=xl/comments20.xml><?xml version="1.0" encoding="utf-8"?>
<comments xmlns="http://schemas.openxmlformats.org/spreadsheetml/2006/main">
  <authors>
    <author>Author</author>
  </authors>
  <commentList>
    <comment ref="H6" authorId="0">
      <text>
        <r>
          <rPr>
            <b/>
            <sz val="8"/>
            <color indexed="81"/>
            <rFont val="Tahoma"/>
            <family val="2"/>
            <charset val="186"/>
          </rPr>
          <t>Võite - Kaotusi</t>
        </r>
      </text>
    </comment>
    <comment ref="J6" authorId="0">
      <text>
        <r>
          <rPr>
            <b/>
            <sz val="8"/>
            <color indexed="81"/>
            <rFont val="Tahoma"/>
            <family val="2"/>
            <charset val="186"/>
          </rPr>
          <t>Võite omavahelistes mängudes</t>
        </r>
      </text>
    </comment>
    <comment ref="L6" authorId="0">
      <text>
        <r>
          <rPr>
            <b/>
            <sz val="8"/>
            <color indexed="81"/>
            <rFont val="Tahoma"/>
            <family val="2"/>
            <charset val="186"/>
          </rPr>
          <t>Punktide vahe omavahelistes mängudes</t>
        </r>
      </text>
    </comment>
    <comment ref="M6" authorId="0">
      <text>
        <r>
          <rPr>
            <b/>
            <sz val="8"/>
            <color indexed="81"/>
            <rFont val="Tahoma"/>
            <family val="2"/>
            <charset val="186"/>
          </rPr>
          <t>Kui omavahelistes mängudes on kõigil võrdselt võite ja ka punktide vahe on võrdne, siis vaatab, kumb võitis</t>
        </r>
      </text>
    </comment>
    <comment ref="N6" authorId="0">
      <text>
        <r>
          <rPr>
            <b/>
            <sz val="8"/>
            <color indexed="81"/>
            <rFont val="Tahoma"/>
            <family val="2"/>
            <charset val="186"/>
          </rPr>
          <t>Kogu turniiri jooksul mängitud mängude punktide VAHE</t>
        </r>
      </text>
    </comment>
    <comment ref="O6" authorId="0">
      <text>
        <r>
          <rPr>
            <b/>
            <sz val="8"/>
            <color indexed="81"/>
            <rFont val="Tahoma"/>
            <family val="2"/>
            <charset val="186"/>
          </rPr>
          <t>Kogu turniiri jooksul mängitud mängude punktide VAHE</t>
        </r>
      </text>
    </comment>
    <comment ref="P6" authorId="0">
      <text>
        <r>
          <rPr>
            <b/>
            <sz val="8"/>
            <color indexed="81"/>
            <rFont val="Tahoma"/>
            <family val="2"/>
            <charset val="186"/>
          </rPr>
          <t>Kogu turniiri jooksul mängitud mängude keskmine punktide SUHE</t>
        </r>
      </text>
    </comment>
    <comment ref="R6" authorId="0">
      <text>
        <r>
          <rPr>
            <b/>
            <sz val="8"/>
            <color indexed="81"/>
            <rFont val="Tahoma"/>
            <family val="2"/>
            <charset val="186"/>
          </rPr>
          <t>TRUE kui: 
3-ses alagrupis 3 nime ja   6 tulemust või
4-ses alagrupis 4 nime ja 12 tulemust või
5-ses alagrupis 5 nime ja 20 tulemust või
6-ses alagrupis 5 nime ja 30 tulemust</t>
        </r>
      </text>
    </comment>
  </commentList>
</comments>
</file>

<file path=xl/sharedStrings.xml><?xml version="1.0" encoding="utf-8"?>
<sst xmlns="http://schemas.openxmlformats.org/spreadsheetml/2006/main" count="4658" uniqueCount="648">
  <si>
    <t>A</t>
  </si>
  <si>
    <t>B</t>
  </si>
  <si>
    <t>C</t>
  </si>
  <si>
    <t>D</t>
  </si>
  <si>
    <t>E</t>
  </si>
  <si>
    <t>F</t>
  </si>
  <si>
    <t>G</t>
  </si>
  <si>
    <t>H</t>
  </si>
  <si>
    <t>I</t>
  </si>
  <si>
    <t>J</t>
  </si>
  <si>
    <t>K</t>
  </si>
  <si>
    <t>L</t>
  </si>
  <si>
    <t>M</t>
  </si>
  <si>
    <t>N</t>
  </si>
  <si>
    <t>O</t>
  </si>
  <si>
    <t>P</t>
  </si>
  <si>
    <t>Q</t>
  </si>
  <si>
    <t>R</t>
  </si>
  <si>
    <t>S</t>
  </si>
  <si>
    <t>T</t>
  </si>
  <si>
    <t>U</t>
  </si>
  <si>
    <t>V</t>
  </si>
  <si>
    <t>W</t>
  </si>
  <si>
    <t>X</t>
  </si>
  <si>
    <t>Y</t>
  </si>
  <si>
    <t>Z</t>
  </si>
  <si>
    <t>Etappide arvule vastav täht</t>
  </si>
  <si>
    <t>Etappide arv, millel on võistleja saanud näiteks 20 punkti</t>
  </si>
  <si>
    <t>Nagu näha, saab hooajal teha kuni 31 etappi (kuid tähtede ette võib lisada ka 9 numbrit - seega max 40 etappi)</t>
  </si>
  <si>
    <t>Ida-Viru punktid</t>
  </si>
  <si>
    <t>Kollase taustaga on põhitabelile lisatud punktid</t>
  </si>
  <si>
    <t>DSQ</t>
  </si>
  <si>
    <t xml:space="preserve">  </t>
  </si>
  <si>
    <t>kaks tühikut - ei osalenud</t>
  </si>
  <si>
    <t>Voka punktid</t>
  </si>
  <si>
    <t>Kuupäev</t>
  </si>
  <si>
    <t>Aeg</t>
  </si>
  <si>
    <t>Võistlus</t>
  </si>
  <si>
    <t>Mänguviis</t>
  </si>
  <si>
    <t>Toimumiskoht</t>
  </si>
  <si>
    <t>Korraldaja</t>
  </si>
  <si>
    <t>Tasu</t>
  </si>
  <si>
    <t>Osal</t>
  </si>
  <si>
    <t>11:30</t>
  </si>
  <si>
    <t>Duo</t>
  </si>
  <si>
    <t>Johannes Neiland</t>
  </si>
  <si>
    <t>10:00</t>
  </si>
  <si>
    <t>11:00</t>
  </si>
  <si>
    <t>Üksik</t>
  </si>
  <si>
    <t>Ivar Viljaste</t>
  </si>
  <si>
    <t>Tul</t>
  </si>
  <si>
    <t>Trio</t>
  </si>
  <si>
    <t>"Jõuluhane" turniir</t>
  </si>
  <si>
    <t>Noorte Uusaastaturniir</t>
  </si>
  <si>
    <t>16:00</t>
  </si>
  <si>
    <t>Ida-Virumaa sise-MV</t>
  </si>
  <si>
    <t>I-Virumaa sise-MV finaal</t>
  </si>
  <si>
    <t>K-Järve SHK - Viru SK</t>
  </si>
  <si>
    <t>5D, 1SD</t>
  </si>
  <si>
    <t>SHK, Viru SK</t>
  </si>
  <si>
    <t>Loositrio</t>
  </si>
  <si>
    <t>Erinevad</t>
  </si>
  <si>
    <t>Ida-Viru reitinguvõistlused on rasvases trükis ja valge taustaga</t>
  </si>
  <si>
    <t xml:space="preserve">Eesti reitingusarja võistlused on kollase taustaga, </t>
  </si>
  <si>
    <r>
      <t xml:space="preserve">arvesse läheb 8 võistlust 13st (4 reitinguvõistlust 7st </t>
    </r>
    <r>
      <rPr>
        <sz val="10"/>
        <color rgb="FF0070C0"/>
        <rFont val="Arial"/>
        <family val="2"/>
        <charset val="186"/>
      </rPr>
      <t>(sh klubide sari)</t>
    </r>
    <r>
      <rPr>
        <sz val="10"/>
        <color theme="1"/>
        <rFont val="Arial"/>
        <family val="2"/>
        <charset val="186"/>
      </rPr>
      <t xml:space="preserve"> + 4 Eesti sise-MV-d 6st)</t>
    </r>
  </si>
  <si>
    <t>Voka karikasarja võistlused on rohelise taustaga</t>
  </si>
  <si>
    <t>Viimased muudatused on punasega</t>
  </si>
  <si>
    <t>Esmaspäev</t>
  </si>
  <si>
    <t>Teisipäev</t>
  </si>
  <si>
    <t>Kolmapäev</t>
  </si>
  <si>
    <t>Neljapäev</t>
  </si>
  <si>
    <t>Reede</t>
  </si>
  <si>
    <t>Laupäev</t>
  </si>
  <si>
    <t>Pühapäev</t>
  </si>
  <si>
    <t>DUO</t>
  </si>
  <si>
    <t>TRIO</t>
  </si>
  <si>
    <t>SEGATRIO</t>
  </si>
  <si>
    <t>SEGADUO</t>
  </si>
  <si>
    <t>KOHT</t>
  </si>
  <si>
    <t>Nimi</t>
  </si>
  <si>
    <t>KOKKU</t>
  </si>
  <si>
    <t>Boriss Klubov</t>
  </si>
  <si>
    <t>Janek Tarto</t>
  </si>
  <si>
    <t>Kalle Orro</t>
  </si>
  <si>
    <t>Kristo Viljaste</t>
  </si>
  <si>
    <t>Kenneth Muusikus</t>
  </si>
  <si>
    <t>Matti Vinni</t>
  </si>
  <si>
    <t>Peep Peenema</t>
  </si>
  <si>
    <t>Sirje Viljaste</t>
  </si>
  <si>
    <t>Osalejaid</t>
  </si>
  <si>
    <t>Kuld</t>
  </si>
  <si>
    <t>Hõbe</t>
  </si>
  <si>
    <t>Pronks</t>
  </si>
  <si>
    <t>Punktid</t>
  </si>
  <si>
    <t>Peida halli taustaga veerud</t>
  </si>
  <si>
    <t>vasak täht on 17 punkti, järgmine 16 punkti jne</t>
  </si>
  <si>
    <t>paremus-järjestus</t>
  </si>
  <si>
    <t>nimi tähestik</t>
  </si>
  <si>
    <t>kolm paremat numbrit näitavad mitmes on nimi tähestiku järgi</t>
  </si>
  <si>
    <t>sordi selle</t>
  </si>
  <si>
    <t xml:space="preserve"> </t>
  </si>
  <si>
    <t>Osalusi</t>
  </si>
  <si>
    <t>Võite</t>
  </si>
  <si>
    <t>max 17 võistkonda</t>
  </si>
  <si>
    <t>kasutab</t>
  </si>
  <si>
    <t>järgi</t>
  </si>
  <si>
    <t>**</t>
  </si>
  <si>
    <t>edasi/</t>
  </si>
  <si>
    <t>L***</t>
  </si>
  <si>
    <t>Viru SK</t>
  </si>
  <si>
    <t>Mehed</t>
  </si>
  <si>
    <t>Naised</t>
  </si>
  <si>
    <t>Juuniorid</t>
  </si>
  <si>
    <t>Üld</t>
  </si>
  <si>
    <t>val2</t>
  </si>
  <si>
    <t>val 1&amp;2</t>
  </si>
  <si>
    <t>jä val 1&amp;2</t>
  </si>
  <si>
    <t>val3</t>
  </si>
  <si>
    <t>val 1&amp;2&amp;3</t>
  </si>
  <si>
    <t>jä val 1&amp;2&amp;3</t>
  </si>
  <si>
    <t>rank</t>
  </si>
  <si>
    <t>/koht</t>
  </si>
  <si>
    <t>Jaan Sepp</t>
  </si>
  <si>
    <t>Oskar Sepp</t>
  </si>
  <si>
    <t>v</t>
  </si>
  <si>
    <t>Meelis Luud</t>
  </si>
  <si>
    <t>Karla Purgats</t>
  </si>
  <si>
    <t>Tõnu Piik</t>
  </si>
  <si>
    <t>m</t>
  </si>
  <si>
    <t>Elmo Lageda</t>
  </si>
  <si>
    <t>Vladimir Ogneštšikov</t>
  </si>
  <si>
    <t>Ülo Piik</t>
  </si>
  <si>
    <t>Mait Metsla</t>
  </si>
  <si>
    <t>Illar Tõnurist</t>
  </si>
  <si>
    <t>Klavdia Piik</t>
  </si>
  <si>
    <t>n</t>
  </si>
  <si>
    <t>Jaan Saar</t>
  </si>
  <si>
    <t>Enn Tokman</t>
  </si>
  <si>
    <t>Lemmit Toomra</t>
  </si>
  <si>
    <t>Tarmo Bombe</t>
  </si>
  <si>
    <t>Oleg Rõndenkov</t>
  </si>
  <si>
    <t>Henri Mitt</t>
  </si>
  <si>
    <t>j</t>
  </si>
  <si>
    <t>Tõnu Kapper</t>
  </si>
  <si>
    <t>Urmas Jõeäär</t>
  </si>
  <si>
    <t>Andres Veski</t>
  </si>
  <si>
    <t>Ljudmila Varendi</t>
  </si>
  <si>
    <t>Viktor Švarõgin</t>
  </si>
  <si>
    <t>Svetlana Veski</t>
  </si>
  <si>
    <t>Aigi Orro</t>
  </si>
  <si>
    <t>Tõnis Neiland</t>
  </si>
  <si>
    <t>Argo Sepp</t>
  </si>
  <si>
    <t>Kristiin-Marleen Neiland</t>
  </si>
  <si>
    <t>Kaspar Mänd</t>
  </si>
  <si>
    <t>Melika Lehtla</t>
  </si>
  <si>
    <t>Toomas Tedrekull</t>
  </si>
  <si>
    <t>Urmas Randlaine</t>
  </si>
  <si>
    <t>Oksana Rõndenkova</t>
  </si>
  <si>
    <t>Veroonika Mendes</t>
  </si>
  <si>
    <t>Andrei Grintšak</t>
  </si>
  <si>
    <t>Vello Vasser</t>
  </si>
  <si>
    <t>Kevin Sten Liik</t>
  </si>
  <si>
    <t>Silver Kingissepp</t>
  </si>
  <si>
    <t>Aarne Välja</t>
  </si>
  <si>
    <t>Aleksandr Tipakov</t>
  </si>
  <si>
    <t>Margus Vasser</t>
  </si>
  <si>
    <t>Marta Bernat</t>
  </si>
  <si>
    <t>Võistkondi</t>
  </si>
  <si>
    <t>V-K</t>
  </si>
  <si>
    <t>Koht</t>
  </si>
  <si>
    <t>+/-</t>
  </si>
  <si>
    <t>1. voor</t>
  </si>
  <si>
    <t>1-5</t>
  </si>
  <si>
    <t>2-4</t>
  </si>
  <si>
    <t>2. voor</t>
  </si>
  <si>
    <t>1-3</t>
  </si>
  <si>
    <t>4-5</t>
  </si>
  <si>
    <t>3. voor</t>
  </si>
  <si>
    <t>2-5</t>
  </si>
  <si>
    <t>3-4</t>
  </si>
  <si>
    <t>4. voor</t>
  </si>
  <si>
    <t>3-5</t>
  </si>
  <si>
    <t>5. voor</t>
  </si>
  <si>
    <t>2-3</t>
  </si>
  <si>
    <t>1-4</t>
  </si>
  <si>
    <t>1. koht</t>
  </si>
  <si>
    <t>2. koht</t>
  </si>
  <si>
    <t>3. koht</t>
  </si>
  <si>
    <t>4. koht</t>
  </si>
  <si>
    <t>5. koht</t>
  </si>
  <si>
    <t>6. koht</t>
  </si>
  <si>
    <t>1-2</t>
  </si>
  <si>
    <t>1 - 8 koht</t>
  </si>
  <si>
    <t>A1</t>
  </si>
  <si>
    <t>D2</t>
  </si>
  <si>
    <t>B1</t>
  </si>
  <si>
    <t>C2</t>
  </si>
  <si>
    <t>C1</t>
  </si>
  <si>
    <t>B2</t>
  </si>
  <si>
    <t>A2</t>
  </si>
  <si>
    <t>D1</t>
  </si>
  <si>
    <t>7. koht</t>
  </si>
  <si>
    <t>8. koht</t>
  </si>
  <si>
    <t>A3</t>
  </si>
  <si>
    <t>B3</t>
  </si>
  <si>
    <t>-</t>
  </si>
  <si>
    <t>C3</t>
  </si>
  <si>
    <t>9. koht</t>
  </si>
  <si>
    <t>D3</t>
  </si>
  <si>
    <t>10. koht</t>
  </si>
  <si>
    <t>11. koht</t>
  </si>
  <si>
    <t>12. koht</t>
  </si>
  <si>
    <t>13. koht</t>
  </si>
  <si>
    <t>14. koht</t>
  </si>
  <si>
    <t>Kui mängija nimi on vigane või puudub reitingutabelist, teeb punaseks</t>
  </si>
  <si>
    <t>9 - 16 koht</t>
  </si>
  <si>
    <t>15. koht</t>
  </si>
  <si>
    <t>16. koht</t>
  </si>
  <si>
    <t>17. koht</t>
  </si>
  <si>
    <t>18. koht</t>
  </si>
  <si>
    <t>19. koht</t>
  </si>
  <si>
    <t>20. koht</t>
  </si>
  <si>
    <t>Esikolmikus</t>
  </si>
  <si>
    <t>E1</t>
  </si>
  <si>
    <t>F2</t>
  </si>
  <si>
    <t>F1</t>
  </si>
  <si>
    <t>E2</t>
  </si>
  <si>
    <t>E3</t>
  </si>
  <si>
    <t>F3</t>
  </si>
  <si>
    <t>21. koht</t>
  </si>
  <si>
    <t>22. koht</t>
  </si>
  <si>
    <t>23. koht</t>
  </si>
  <si>
    <t>24. koht</t>
  </si>
  <si>
    <t>nimi</t>
  </si>
  <si>
    <t>Oktoober 2019</t>
  </si>
  <si>
    <t>November 2019</t>
  </si>
  <si>
    <t>Detsember 2019</t>
  </si>
  <si>
    <t>Jaanuar 2020</t>
  </si>
  <si>
    <t>Veebruar 2020</t>
  </si>
  <si>
    <t>Märts 2020</t>
  </si>
  <si>
    <t>Aprill 2020</t>
  </si>
  <si>
    <t>EESTI JA IDA-VIRUMAA PETANGIKALENDER 2019-2020 (SISE)</t>
  </si>
  <si>
    <t>Phnom Penh (Kambodža)</t>
  </si>
  <si>
    <t>VOKA 3. SISEKARIKAVÕISTLUSED 2019-2020</t>
  </si>
  <si>
    <t>19. Trophée des Villes - 07.-10.11.2019</t>
  </si>
  <si>
    <t>P, 13.10.2019</t>
  </si>
  <si>
    <t>P, 27.10.2019</t>
  </si>
  <si>
    <t>IDA-VIRUMAA PETANGIKALENDER 2019-2020 (SISE)</t>
  </si>
  <si>
    <t>Punkte</t>
  </si>
  <si>
    <t>enne 1 koma</t>
  </si>
  <si>
    <t>pärast 1 koma</t>
  </si>
  <si>
    <t>1 ja 2 koma vahel</t>
  </si>
  <si>
    <t>pärast 2 koma</t>
  </si>
  <si>
    <t>Võit</t>
  </si>
  <si>
    <t>punkti</t>
  </si>
  <si>
    <t>Viik</t>
  </si>
  <si>
    <t>Kaotus</t>
  </si>
  <si>
    <t>Vo</t>
  </si>
  <si>
    <t>V2</t>
  </si>
  <si>
    <t>+/- o</t>
  </si>
  <si>
    <t>V3</t>
  </si>
  <si>
    <t>suhe</t>
  </si>
  <si>
    <t>...,V3.+/-</t>
  </si>
  <si>
    <t>V,Vo</t>
  </si>
  <si>
    <t>V.Vo.V2.+/-</t>
  </si>
  <si>
    <t>Liidia Põllu</t>
  </si>
  <si>
    <t>D4</t>
  </si>
  <si>
    <t>C4</t>
  </si>
  <si>
    <t>B4</t>
  </si>
  <si>
    <t>A4</t>
  </si>
  <si>
    <t>Kaspar Mänd, Urmas Randlaine</t>
  </si>
  <si>
    <t>Illar Tõnurist, Johannes Neiland, Vladimir Mihhailov</t>
  </si>
  <si>
    <t>Andrei Grintšak, Boriss Klubov</t>
  </si>
  <si>
    <t>Elmo Lageda, Tõnu Piik</t>
  </si>
  <si>
    <t>Karla Purgats, Lemmit Toomra</t>
  </si>
  <si>
    <t>Aarne Välja, Janek Tarto</t>
  </si>
  <si>
    <t>Jaan Sepp, Oskar Sepp</t>
  </si>
  <si>
    <t>Klavdia Piik, Ülo Piik</t>
  </si>
  <si>
    <t>Kenneth Muusikus, Mait Metsla</t>
  </si>
  <si>
    <t>Jaan Saar, Liidia Põllu</t>
  </si>
  <si>
    <t>Enn Tokman, Tarmo Bombe</t>
  </si>
  <si>
    <t>Henri Mitt, Meelis Luud</t>
  </si>
  <si>
    <t>Matti Vinni, Vladimir Ogneštšikov</t>
  </si>
  <si>
    <t>Andres Veski, Svetlana Veski</t>
  </si>
  <si>
    <t>Oleg Rõndenkov, Peep Peenema</t>
  </si>
  <si>
    <t>Vladimir Mihhailov</t>
  </si>
  <si>
    <t>kehvemat tulemust võetakse maha - mahatõmbamise format kasutab seda</t>
  </si>
  <si>
    <t>etapist osavõtt on vajalik finaalturniirile pääsemiseks</t>
  </si>
  <si>
    <t>Marko Tarassov (Konju)</t>
  </si>
  <si>
    <t>Veroonika Mendes (Jõhvi)</t>
  </si>
  <si>
    <t>Kaspar Mänd (Toila)</t>
  </si>
  <si>
    <t>Kristiin-Marleen Neiland (Voka)</t>
  </si>
  <si>
    <t>Aurelia Meldre (Tartu)</t>
  </si>
  <si>
    <t>Daniel Lehtsaar (Tartu)</t>
  </si>
  <si>
    <t>Ksenija Matšneva (Voka)</t>
  </si>
  <si>
    <t>Merilyn-Žanette Järveots (Tartu)</t>
  </si>
  <si>
    <t>6. voor</t>
  </si>
  <si>
    <t>7. voor</t>
  </si>
  <si>
    <t>8. voor</t>
  </si>
  <si>
    <t>N, 24.10.2019</t>
  </si>
  <si>
    <t>ÜKSIK</t>
  </si>
  <si>
    <t xml:space="preserve">Arvesse läheb 10 paremat tulemust 13st. </t>
  </si>
  <si>
    <t>Arvesse 10 paremat tulemust 13st. Superfinaali pääsemiseks on vajalik osavõtt vähemalt 3st etapist</t>
  </si>
  <si>
    <t xml:space="preserve">Superfinaali pääsemiseks on vajalik osavõtt vähemalt 3st etapist. </t>
  </si>
  <si>
    <t>P, 10.11.2019</t>
  </si>
  <si>
    <t>L, 23.11.2019</t>
  </si>
  <si>
    <t>Toila vald</t>
  </si>
  <si>
    <t>Oleg Rõndenkov, Toomas Tedrekull</t>
  </si>
  <si>
    <t>Kenneth Muusikus, Ülo Piik</t>
  </si>
  <si>
    <t>Ljudmila Varendi, Viktor Švarõgin</t>
  </si>
  <si>
    <t>Alar Peek, Vello Vasser</t>
  </si>
  <si>
    <t>Tõnu Kapper, Vladimir Ogneštšikov</t>
  </si>
  <si>
    <t>Illar Tõnurist, Klavdia Piik</t>
  </si>
  <si>
    <t>Aigi Orro, Kalle Orro</t>
  </si>
  <si>
    <t>Sander Skrabutenas, Vladimir Mihhailov</t>
  </si>
  <si>
    <t>Denis Skrabutenas, Lydia Skrabutenas, Veronika Pirk</t>
  </si>
  <si>
    <t>Henri Mitt, Meelis Luud, Melika Lehtla</t>
  </si>
  <si>
    <t>Argo Sepp, Johannes Neiland, Karla Purgats</t>
  </si>
  <si>
    <t>9 - 12 koht</t>
  </si>
  <si>
    <t>13 - 18 koht</t>
  </si>
  <si>
    <t>Alar Peek</t>
  </si>
  <si>
    <t>Sander Skrabutenas</t>
  </si>
  <si>
    <t>Denis Skrabutenas</t>
  </si>
  <si>
    <t>Lydia Skrabutenas</t>
  </si>
  <si>
    <t>Veronika Pirk</t>
  </si>
  <si>
    <t>Võistlused toimuvad Voka petangihallis (Narva mnt 2) oktoober 2019 – aprill 2020.</t>
  </si>
  <si>
    <t>Osalema lubatakse kõik huvilised, kes on ennast võistlustele registreerinud ja eelnevalt tasunud osalustasu. Tervisliku seisundi eest vastutab sportlane ise. Üle 0,5 ‰ joobe puhul kõrvaldatakse võistleja antud etapilt.</t>
  </si>
  <si>
    <t>Toimub 13 etappi paarismängus ja loosisuperfinaal (olenevalt võistlejate arvust kas paarismängus või triodele). Etappidel on paaride valik vaba. Võistluste alguses võib registreerida 3 mängijat, vahetada võib iga vooru järel.</t>
  </si>
  <si>
    <t>Maksimaalne võistkondade arv ühel etapil on 18 (sama kehtib superfinaali kohta). Pärast esimest etappi paigutus reitingu alusel.</t>
  </si>
  <si>
    <t>Paremusjärjestus selgitatakse igal etapil eraldi ja ka üldarvestuses. Kui ühel etapil saavad kaks või rohkem võistkonda võrdselt võite, siis arvestatakse omavahelisi mänge. Nende võrdsuse korral omavahelistes mängudes kogutud punkte. Kui omavahel pole mängitud, siis arvestatakse üldist punktide vahet. Igal etapil saab esikoht 20 punkti, iga järgnev koht 1 punkti võrra vähem (kõik osalejad saavad vähemalt 1 punkti). Üldarvestuses liidetakse 10 parema etapi punktid. Punktide võrdsuse korral otsustab suurim parimate kohtade arv.</t>
  </si>
  <si>
    <t>Üldarvestuse 6 paremat mängijat autasustatakse karikaga. Karikaga autasustatakse ka parimat noort kuni 16 a (kaasaarvatud), naist ja Toila valla mängijat.</t>
  </si>
  <si>
    <t>Superfinaalis autasustatakse 3-e parema võistkonna liikmeid väikese karikaga.</t>
  </si>
  <si>
    <t>Osalustasu iga mängija kohta igal etapil on 2 €, mis tasutakse kohapeal. Osalustasust on vabastatud noored kuni 16 a (kaasaarvatud).</t>
  </si>
  <si>
    <t>Võistlustele saab eelregistreeruda tel 5622 8909 (Juhan Neiland) või kohapeal 15 min enne võistluste algust. Maksimaalselt saab etapil osaleda 18 võistkonda. Registreerimisega hilinejad võivad kokkuleppel osaleda mõnes võistkonnas varumängijana.</t>
  </si>
  <si>
    <t>Kõik üleskerkinud küsimused ja protestid lahendab peakohtunik.</t>
  </si>
  <si>
    <t>Tegemist on avaliku üritusega, kus võidakse pildistada ja neid pilte avalikustada.</t>
  </si>
  <si>
    <t>10.  Üleskerkinud küsimuste lahendamine</t>
  </si>
  <si>
    <t>VOKA 3. SISEKARIKAVÕISTLUSED PETANGIS 2019–2020</t>
  </si>
  <si>
    <r>
      <t xml:space="preserve">Superfinaali pääsevad kõik võistlejad, kes on osalenud vähemalt 3-l etapil. Superfinaali paigutamisel arvestatakse </t>
    </r>
    <r>
      <rPr>
        <i/>
        <sz val="10"/>
        <color theme="1"/>
        <rFont val="Arial"/>
        <family val="2"/>
        <charset val="186"/>
      </rPr>
      <t>kõiki</t>
    </r>
    <r>
      <rPr>
        <sz val="10"/>
        <color theme="1"/>
        <rFont val="Arial"/>
        <family val="2"/>
        <charset val="186"/>
      </rPr>
      <t xml:space="preserve"> kogutud punkte. Superfinaalis loositakse võistkonnad reitingu alusel koostatud 3st tugevusgrupist.</t>
    </r>
  </si>
  <si>
    <t>- Võistluste eesmärgiks on välja selgitada parimad mängijad.</t>
  </si>
  <si>
    <t>- Petangi arendamine ja propageerimine.</t>
  </si>
  <si>
    <t>- Meisterlikkuse tõstmine ja spordiharrastuse aktiviseerimine läbi petangi mängimise.</t>
  </si>
  <si>
    <t>- Peakohtunik on Juhan Neiland, tel 5622 8909</t>
  </si>
  <si>
    <t>- Kuni 6 võistkonna puhul toimub turniir kõik-kõigiga.</t>
  </si>
  <si>
    <t>- 14 ja rohkema võistkonna puhul toimub võistlus alagruppides ja karikas.</t>
  </si>
  <si>
    <t>1. Eesmärk</t>
  </si>
  <si>
    <t>2. Aeg ja koht</t>
  </si>
  <si>
    <t>3. Juhtimine</t>
  </si>
  <si>
    <t>4. Osavõtjad</t>
  </si>
  <si>
    <t>5. Võistluste süsteem</t>
  </si>
  <si>
    <t>6. Paremusjärjestuse selgitamine</t>
  </si>
  <si>
    <t>7. Autasustamine</t>
  </si>
  <si>
    <t>8. Majandamine</t>
  </si>
  <si>
    <t>9. Registreerimine</t>
  </si>
  <si>
    <t>- Peakorraldaja on Viru SK koos Toila Valla spordi- ja kultuurikeskusega.</t>
  </si>
  <si>
    <t>JUHEND</t>
  </si>
  <si>
    <t>TUL</t>
  </si>
  <si>
    <r>
      <t xml:space="preserve">Eesti reitingus </t>
    </r>
    <r>
      <rPr>
        <b/>
        <sz val="10"/>
        <color rgb="FFFF0000"/>
        <rFont val="Arial"/>
        <family val="2"/>
        <charset val="186"/>
      </rPr>
      <t>2019</t>
    </r>
    <r>
      <rPr>
        <b/>
        <sz val="10"/>
        <color theme="1"/>
        <rFont val="Arial"/>
        <family val="2"/>
        <charset val="186"/>
      </rPr>
      <t xml:space="preserve"> läheb arvesse 8 võistlust 13st (4 reitinguvõistlust 7st </t>
    </r>
    <r>
      <rPr>
        <b/>
        <sz val="10"/>
        <color rgb="FF0070C0"/>
        <rFont val="Arial"/>
        <family val="2"/>
        <charset val="186"/>
      </rPr>
      <t>(sh klubide sari)</t>
    </r>
    <r>
      <rPr>
        <b/>
        <sz val="10"/>
        <color theme="1"/>
        <rFont val="Arial"/>
        <family val="2"/>
        <charset val="186"/>
      </rPr>
      <t xml:space="preserve"> + 4 Eesti sise-MV-d 6st)</t>
    </r>
  </si>
  <si>
    <t>TRIO, DUO, ÜKSIK</t>
  </si>
  <si>
    <t>TRIO (poolfinaal)</t>
  </si>
  <si>
    <t>Rahvusvahelised ja katsevõistlused on sinisega ja kaldkirjas</t>
  </si>
  <si>
    <t>Buch</t>
  </si>
  <si>
    <t>Suhe</t>
  </si>
  <si>
    <t>:</t>
  </si>
  <si>
    <t>Johannes Neiland, Karla Purgats</t>
  </si>
  <si>
    <t>Alari Keedus, Ülo Piik</t>
  </si>
  <si>
    <t>Illar Tõnurist, Liidia Põllu</t>
  </si>
  <si>
    <t>Aurelia Meldre, Kristiin-Marleen Neiland, Meelis Luud</t>
  </si>
  <si>
    <t>Aurelia Meldre</t>
  </si>
  <si>
    <t>Alari Keedus</t>
  </si>
  <si>
    <t>Kokku</t>
  </si>
  <si>
    <t>kõik</t>
  </si>
  <si>
    <t>vaba voor</t>
  </si>
  <si>
    <t>17. Naiste MM, TRIO, TUL  ja  17. Juunioride MM, TRIO, TUL</t>
  </si>
  <si>
    <t>Pliks-plaks</t>
  </si>
  <si>
    <t>R, 21.02.2020</t>
  </si>
  <si>
    <t>L, 22.02.2020</t>
  </si>
  <si>
    <t>L. 07.12.2019</t>
  </si>
  <si>
    <t>P, 22.12.2019</t>
  </si>
  <si>
    <t>9 - 15 koht</t>
  </si>
  <si>
    <t>Johannes Neiland, Tõnis Neiland, Ülo Piik</t>
  </si>
  <si>
    <t>Andres Veski, Meelis Luud</t>
  </si>
  <si>
    <t>Ivar Viljaste, Sirje Viljaste</t>
  </si>
  <si>
    <t>Olav Türk, Urmas Jõeäär</t>
  </si>
  <si>
    <t>Olav Türk</t>
  </si>
  <si>
    <t>Margus Vasser, Vello Vasser</t>
  </si>
  <si>
    <t>Voka III sise-KV 1. etapp</t>
  </si>
  <si>
    <t>Voka III sise-KV 2. etapp</t>
  </si>
  <si>
    <t>Voka III sise-KV 3. etapp</t>
  </si>
  <si>
    <t>Voka III sise-KV 4. etapp</t>
  </si>
  <si>
    <t>Voka III sise-KV 5. etapp</t>
  </si>
  <si>
    <t>Voka III sise-KV 6. etapp</t>
  </si>
  <si>
    <t>Voka III sise-KV 7. etapp</t>
  </si>
  <si>
    <t>Voka III sise-KV 8. etapp</t>
  </si>
  <si>
    <t>Voka III sise-KV 9. etapp</t>
  </si>
  <si>
    <t>Voka III sise-KV 10. etapp</t>
  </si>
  <si>
    <t>Voka III sise-KV 11. etapp</t>
  </si>
  <si>
    <t>Voka III sise-KV 12. etapp</t>
  </si>
  <si>
    <t>Voka III sise-KV superfinaal</t>
  </si>
  <si>
    <t>turniir</t>
  </si>
  <si>
    <t>K, 25.12.2019</t>
  </si>
  <si>
    <t>17:00</t>
  </si>
  <si>
    <t>Voka 4. noorteturniir</t>
  </si>
  <si>
    <t>Voka 3. noorteturniir</t>
  </si>
  <si>
    <t>Peep Peenema, Tõnu Piik</t>
  </si>
  <si>
    <t>Aurelia Meldre, Veroonika Mendes</t>
  </si>
  <si>
    <t>Sander Skrabutenas, Veronika Pirk</t>
  </si>
  <si>
    <t>P, 29.12.2019</t>
  </si>
  <si>
    <t>Aastalõpu "Seeneturniir"</t>
  </si>
  <si>
    <t>Marta Bernat, Aleksandr Tipakov</t>
  </si>
  <si>
    <t>Kaspar Mänd, Oleg Rõndenkov</t>
  </si>
  <si>
    <t>Tõnu Kapper, Urmas Jõeäär</t>
  </si>
  <si>
    <t>Andres Veski, Meelis Luud, Svetlana Veski</t>
  </si>
  <si>
    <t>Johannes Neiland, Ülo Piik</t>
  </si>
  <si>
    <t>*</t>
  </si>
  <si>
    <t>?</t>
  </si>
  <si>
    <t>Ivar Viljaste, Kristo Viljaste</t>
  </si>
  <si>
    <t>Kaspar Mänd, Urmas Jõeäär</t>
  </si>
  <si>
    <t>Janek Tarto, Matti Vinni</t>
  </si>
  <si>
    <t>Lydia Skrabutenas, Sander Skrabutenas, Vladimir Mihhailov</t>
  </si>
  <si>
    <t>Liidia Põllu, Veronika Pirk</t>
  </si>
  <si>
    <t>+1</t>
  </si>
  <si>
    <t>-1</t>
  </si>
  <si>
    <t>P, 05.01.2020</t>
  </si>
  <si>
    <t>P, 12.01.2020</t>
  </si>
  <si>
    <t>L, 11.01.2020</t>
  </si>
  <si>
    <t>P, 19.01.2020</t>
  </si>
  <si>
    <t>P, 26.01.2020</t>
  </si>
  <si>
    <t>Enn Tokman, Jaan Saar</t>
  </si>
  <si>
    <t>Kaspar Mänd, Kenneth Muusikus, Kevin Muusikus</t>
  </si>
  <si>
    <t>Oksana Rõndenkova, Oleg Rõndenkov</t>
  </si>
  <si>
    <t>Tõnu Piik, Ülo Piik</t>
  </si>
  <si>
    <t>Aleksandr Tipakov, Anton Tipakov</t>
  </si>
  <si>
    <t>Jaan Saar, Klavdia Piik, Liidia Põllu</t>
  </si>
  <si>
    <t>Sander Rose</t>
  </si>
  <si>
    <t>3 võitu</t>
  </si>
  <si>
    <t>1v</t>
  </si>
  <si>
    <t>2 võitu</t>
  </si>
  <si>
    <t>1k</t>
  </si>
  <si>
    <t>+4</t>
  </si>
  <si>
    <t>+5</t>
  </si>
  <si>
    <t>+3</t>
  </si>
  <si>
    <t>Sander Rose, Tõnu Kapper</t>
  </si>
  <si>
    <t>Eesti Wabariik 102</t>
  </si>
  <si>
    <t>- 7–8 võistkonna puhul alagrupid ja karikas.</t>
  </si>
  <si>
    <t>- 9–13 võistkonna puhul toimub võistlus šveitsi süsteemis (5 vooru).</t>
  </si>
  <si>
    <t>21. EuroCup finaalid, ÜKSIK, DUO, SEGADUO, TRIO, SEGATRIO</t>
  </si>
  <si>
    <t>P, 09.02.2020</t>
  </si>
  <si>
    <t>P, 02.02.2020</t>
  </si>
  <si>
    <t>P, 16.02.2020</t>
  </si>
  <si>
    <t>Segaduo</t>
  </si>
  <si>
    <t>P, 01.03.2020</t>
  </si>
  <si>
    <t>L, 07.03.2020</t>
  </si>
  <si>
    <t>P, 29.03.2020</t>
  </si>
  <si>
    <t>L, 04.04.2020</t>
  </si>
  <si>
    <t>P, 05.04.2020</t>
  </si>
  <si>
    <t>P, 12.04.2020</t>
  </si>
  <si>
    <t>L, 18.04.2020</t>
  </si>
  <si>
    <t>P, 19.04.2020</t>
  </si>
  <si>
    <t>L, 25.04.2020</t>
  </si>
  <si>
    <t>P, 26.04.2020</t>
  </si>
  <si>
    <t>Voka III sise-KV 13. etapp</t>
  </si>
  <si>
    <t>Ida-Virumaa omavalitsuste 3.KV</t>
  </si>
  <si>
    <t>LOOSITRIO</t>
  </si>
  <si>
    <t>5 DUOT, 1 SEGADUO</t>
  </si>
  <si>
    <t>3. KV, ERINEVAD</t>
  </si>
  <si>
    <t>Toila valla lahtine sise-MV</t>
  </si>
  <si>
    <t>Toila valla arvestus</t>
  </si>
  <si>
    <t>Andres Veski, Kenneth Muusikus, Ljudmila Varendi</t>
  </si>
  <si>
    <t>Aurelia Meldre, Tõnu Piik, Ülo Piik</t>
  </si>
  <si>
    <t>Karla Purgats, Lemmit Toomra, Viktor Švarõgin</t>
  </si>
  <si>
    <t>Enn Tokman, Illar Tõnurist, Oleg Rõndenkov</t>
  </si>
  <si>
    <t>2 ja 3 koma vahel</t>
  </si>
  <si>
    <t>pärast 3 koma</t>
  </si>
  <si>
    <t>Jaan Saar, Kaspar Mänd, Svetlana Veski</t>
  </si>
  <si>
    <t>TRIO,DUO,ÜKSIK</t>
  </si>
  <si>
    <t>Kõik mängud algasid seisult 1:1</t>
  </si>
  <si>
    <t>5 - 12 koht</t>
  </si>
  <si>
    <t>t</t>
  </si>
  <si>
    <t>Seisuga 16.01.2020</t>
  </si>
  <si>
    <t>P, 08.03.2020</t>
  </si>
  <si>
    <t>4 võitu</t>
  </si>
  <si>
    <t>Enn Tokman, Liidia Põllu</t>
  </si>
  <si>
    <t>Karla Purgats, Oleg Rõndenkov</t>
  </si>
  <si>
    <t>Ivar Viljaste, Tõnis Neiland</t>
  </si>
  <si>
    <t>Aarne Välja, Tõnu Kapper</t>
  </si>
  <si>
    <t>9 - 14 koht</t>
  </si>
  <si>
    <t>Henri Mitt, Urmas Randlaine</t>
  </si>
  <si>
    <t>1. voor 1-5, 2-4    2. voor 1-4, 2-3    3. voor 1-3, 4-5    4. voor 1-2, 3-5   5. voor 2-5, 3-4</t>
  </si>
  <si>
    <t>1. voor 1-4, 2-3    2. voor 1-3, 2-4    3. voor 1-2, 3-4</t>
  </si>
  <si>
    <t>1. voor 1-3    2. voor 1-2    3. voor 2-3</t>
  </si>
  <si>
    <t>Viru SK liikmete sise-MV</t>
  </si>
  <si>
    <t>19:00</t>
  </si>
  <si>
    <t>Sirje Maala</t>
  </si>
  <si>
    <t>Tõnis Anton</t>
  </si>
  <si>
    <t>5 - 8 koht</t>
  </si>
  <si>
    <t>13 - 16 koht</t>
  </si>
  <si>
    <t>17 - 20 koht</t>
  </si>
  <si>
    <t>21 - 24 koht</t>
  </si>
  <si>
    <t>F4</t>
  </si>
  <si>
    <t>E4</t>
  </si>
  <si>
    <t>Andrei Grintšak, Oleg Rõndenkov</t>
  </si>
  <si>
    <t>Aurelia Meldre, Karla Purgats</t>
  </si>
  <si>
    <t>Boriss Klubov, Emil Murzajev</t>
  </si>
  <si>
    <t>Johannes Neiland, Kaspar Mänd, Urmas Randlaine</t>
  </si>
  <si>
    <t>Illar Tõnurist, Urmas Jõeäär</t>
  </si>
  <si>
    <t>Andres Veski, Tõnis Anton</t>
  </si>
  <si>
    <t>Daniel Lehtsaar, Roland Põld</t>
  </si>
  <si>
    <t>Daniel Lehtsaar</t>
  </si>
  <si>
    <t>Roland Põld</t>
  </si>
  <si>
    <t>Kenneth Muusikus, Peep Peenema</t>
  </si>
  <si>
    <t>Jaan Saar, Toomas Tedrekull</t>
  </si>
  <si>
    <t>Daniil Alekankin, Tõnis Anton</t>
  </si>
  <si>
    <t>Karla Purgats, Tõnu Piik</t>
  </si>
  <si>
    <t>Andrei Grintšak, Marko Tarassov</t>
  </si>
  <si>
    <t>Illar Tõnurist, Karla Purgats</t>
  </si>
  <si>
    <t>Henri Mitt, Kenneth Muusikus</t>
  </si>
  <si>
    <t>Heili Vasser, Vello Vasser</t>
  </si>
  <si>
    <t>Marko Tarassov</t>
  </si>
  <si>
    <t>-3</t>
  </si>
  <si>
    <t>-5</t>
  </si>
  <si>
    <t>2v</t>
  </si>
  <si>
    <t>2k</t>
  </si>
  <si>
    <t>+7</t>
  </si>
  <si>
    <t>+17</t>
  </si>
  <si>
    <t>Emil Murzajev</t>
  </si>
  <si>
    <t>0v</t>
  </si>
  <si>
    <t>Seisuga 19.02.2020</t>
  </si>
  <si>
    <t>-G</t>
  </si>
  <si>
    <t>-K</t>
  </si>
  <si>
    <t>-L</t>
  </si>
  <si>
    <t>-H</t>
  </si>
  <si>
    <t>-I</t>
  </si>
  <si>
    <t>-J</t>
  </si>
  <si>
    <t>-M</t>
  </si>
  <si>
    <t>-N</t>
  </si>
  <si>
    <t>-O</t>
  </si>
  <si>
    <t>-P</t>
  </si>
  <si>
    <t>-Q</t>
  </si>
  <si>
    <t>-R</t>
  </si>
  <si>
    <t>-S</t>
  </si>
  <si>
    <t>-T</t>
  </si>
  <si>
    <t>-U</t>
  </si>
  <si>
    <t>-V</t>
  </si>
  <si>
    <t>-W</t>
  </si>
  <si>
    <t>-X</t>
  </si>
  <si>
    <t>-Y</t>
  </si>
  <si>
    <t>-Z</t>
  </si>
  <si>
    <r>
      <rPr>
        <b/>
        <sz val="10"/>
        <color theme="1"/>
        <rFont val="Arial"/>
        <family val="2"/>
        <charset val="186"/>
      </rPr>
      <t>Tartu 1</t>
    </r>
    <r>
      <rPr>
        <sz val="10"/>
        <color theme="1"/>
        <rFont val="Arial"/>
        <family val="2"/>
        <charset val="186"/>
      </rPr>
      <t xml:space="preserve"> - Alari Keedus, Marek Kolk, Valmar Pantšenko</t>
    </r>
  </si>
  <si>
    <r>
      <rPr>
        <b/>
        <sz val="10"/>
        <color theme="1"/>
        <rFont val="Arial"/>
        <family val="2"/>
        <charset val="186"/>
      </rPr>
      <t>Tartu 2</t>
    </r>
    <r>
      <rPr>
        <sz val="10"/>
        <color theme="1"/>
        <rFont val="Arial"/>
        <family val="2"/>
        <charset val="186"/>
      </rPr>
      <t xml:space="preserve"> - Aimar Poom, Igor Kostin, Kertu Palm</t>
    </r>
  </si>
  <si>
    <r>
      <rPr>
        <b/>
        <sz val="10"/>
        <color theme="1"/>
        <rFont val="Arial"/>
        <family val="2"/>
        <charset val="186"/>
      </rPr>
      <t>Peterburg 1</t>
    </r>
    <r>
      <rPr>
        <sz val="10"/>
        <color theme="1"/>
        <rFont val="Arial"/>
        <family val="2"/>
        <charset val="186"/>
      </rPr>
      <t xml:space="preserve"> - Aleksei Tkachenko, Anna Tkachenko, Denis Volkov</t>
    </r>
  </si>
  <si>
    <r>
      <rPr>
        <b/>
        <sz val="10"/>
        <color theme="1"/>
        <rFont val="Arial"/>
        <family val="2"/>
        <charset val="186"/>
      </rPr>
      <t>Peterburg 2</t>
    </r>
    <r>
      <rPr>
        <sz val="10"/>
        <color theme="1"/>
        <rFont val="Arial"/>
        <family val="2"/>
        <charset val="186"/>
      </rPr>
      <t xml:space="preserve"> - Mikhail Severov, Tatiana Kazanceva, Viktor Anuhin</t>
    </r>
  </si>
  <si>
    <r>
      <rPr>
        <b/>
        <sz val="10"/>
        <color theme="1"/>
        <rFont val="Arial"/>
        <family val="2"/>
        <charset val="186"/>
      </rPr>
      <t>Oja</t>
    </r>
    <r>
      <rPr>
        <sz val="10"/>
        <color theme="1"/>
        <rFont val="Arial"/>
        <family val="2"/>
        <charset val="186"/>
      </rPr>
      <t xml:space="preserve"> - Aarne Välja, Janek Tarto, Oksana Rõndenkova, Oleg Rõndenkov</t>
    </r>
  </si>
  <si>
    <r>
      <rPr>
        <b/>
        <sz val="10"/>
        <color theme="1"/>
        <rFont val="Arial"/>
        <family val="2"/>
        <charset val="186"/>
      </rPr>
      <t>Urmased</t>
    </r>
    <r>
      <rPr>
        <sz val="10"/>
        <color theme="1"/>
        <rFont val="Arial"/>
        <family val="2"/>
        <charset val="186"/>
      </rPr>
      <t xml:space="preserve"> - Olav Türk, Urmas Jõeäär, Urmas Randlaine</t>
    </r>
  </si>
  <si>
    <r>
      <rPr>
        <b/>
        <sz val="10"/>
        <color theme="1"/>
        <rFont val="Arial"/>
        <family val="2"/>
        <charset val="186"/>
      </rPr>
      <t>Team Ruudi</t>
    </r>
    <r>
      <rPr>
        <sz val="10"/>
        <color theme="1"/>
        <rFont val="Arial"/>
        <family val="2"/>
        <charset val="186"/>
      </rPr>
      <t xml:space="preserve"> - Janek Kiisk, Johannes Neiland, Karla Purgats, Ruudi Väärtnõu</t>
    </r>
  </si>
  <si>
    <r>
      <rPr>
        <b/>
        <sz val="10"/>
        <color theme="1"/>
        <rFont val="Arial"/>
        <family val="2"/>
        <charset val="186"/>
      </rPr>
      <t>Vans</t>
    </r>
    <r>
      <rPr>
        <sz val="10"/>
        <color theme="1"/>
        <rFont val="Arial"/>
        <family val="2"/>
        <charset val="186"/>
      </rPr>
      <t xml:space="preserve"> - Kenneth Muusikus, Matti Vinni, Ülo Piik</t>
    </r>
  </si>
  <si>
    <r>
      <rPr>
        <b/>
        <sz val="10"/>
        <color theme="1"/>
        <rFont val="Arial"/>
        <family val="2"/>
        <charset val="186"/>
      </rPr>
      <t>Juuniorid</t>
    </r>
    <r>
      <rPr>
        <sz val="10"/>
        <color theme="1"/>
        <rFont val="Arial"/>
        <family val="2"/>
        <charset val="186"/>
      </rPr>
      <t xml:space="preserve"> - Henri Mitt, Kevin Sten Liik, Marko Tarassov</t>
    </r>
  </si>
  <si>
    <r>
      <rPr>
        <b/>
        <sz val="10"/>
        <color theme="1"/>
        <rFont val="Arial"/>
        <family val="2"/>
        <charset val="186"/>
      </rPr>
      <t>SMS</t>
    </r>
    <r>
      <rPr>
        <sz val="10"/>
        <color theme="1"/>
        <rFont val="Arial"/>
        <family val="2"/>
        <charset val="186"/>
      </rPr>
      <t xml:space="preserve"> - Jaan Sepp, Oskar Sepp, Mait Metsla</t>
    </r>
  </si>
  <si>
    <r>
      <rPr>
        <b/>
        <sz val="10"/>
        <color theme="1"/>
        <rFont val="Arial"/>
        <family val="2"/>
        <charset val="186"/>
      </rPr>
      <t>Nadi</t>
    </r>
    <r>
      <rPr>
        <sz val="10"/>
        <color theme="1"/>
        <rFont val="Arial"/>
        <family val="2"/>
        <charset val="186"/>
      </rPr>
      <t xml:space="preserve"> - Tõnu Kapper, Vello Vasser, Vladimir Ogneštšikov</t>
    </r>
  </si>
  <si>
    <r>
      <rPr>
        <b/>
        <sz val="10"/>
        <color theme="1"/>
        <rFont val="Arial"/>
        <family val="2"/>
        <charset val="186"/>
      </rPr>
      <t>Tartu juuniorid</t>
    </r>
    <r>
      <rPr>
        <sz val="10"/>
        <color theme="1"/>
        <rFont val="Arial"/>
        <family val="2"/>
        <charset val="186"/>
      </rPr>
      <t xml:space="preserve"> - Aurelia Meldre, Daniel Lehtsaar, Roland Põld</t>
    </r>
  </si>
  <si>
    <r>
      <rPr>
        <b/>
        <sz val="10"/>
        <color theme="1"/>
        <rFont val="Arial"/>
        <family val="2"/>
        <charset val="186"/>
      </rPr>
      <t>Narvakad</t>
    </r>
    <r>
      <rPr>
        <sz val="10"/>
        <color theme="1"/>
        <rFont val="Arial"/>
        <family val="2"/>
        <charset val="186"/>
      </rPr>
      <t xml:space="preserve"> - Argo Sepp, Ljudmila Varendi, Viktor Švarõgin</t>
    </r>
  </si>
  <si>
    <r>
      <rPr>
        <b/>
        <sz val="10"/>
        <color theme="1"/>
        <rFont val="Arial"/>
        <family val="2"/>
        <charset val="186"/>
      </rPr>
      <t>Ennud</t>
    </r>
    <r>
      <rPr>
        <sz val="10"/>
        <color theme="1"/>
        <rFont val="Arial"/>
        <family val="2"/>
        <charset val="186"/>
      </rPr>
      <t xml:space="preserve"> - Enn Tokman, Jaan Saar, Peep Peenema</t>
    </r>
  </si>
  <si>
    <r>
      <rPr>
        <b/>
        <sz val="10"/>
        <color theme="1"/>
        <rFont val="Arial"/>
        <family val="2"/>
        <charset val="186"/>
      </rPr>
      <t>Veskid</t>
    </r>
    <r>
      <rPr>
        <sz val="10"/>
        <color theme="1"/>
        <rFont val="Arial"/>
        <family val="2"/>
        <charset val="186"/>
      </rPr>
      <t xml:space="preserve"> - Andres Veski, Meelis Luud, Svetlana Veski</t>
    </r>
  </si>
  <si>
    <r>
      <rPr>
        <b/>
        <sz val="10"/>
        <color theme="1"/>
        <rFont val="Arial"/>
        <family val="2"/>
        <charset val="186"/>
      </rPr>
      <t>Team Silver</t>
    </r>
    <r>
      <rPr>
        <sz val="10"/>
        <color theme="1"/>
        <rFont val="Arial"/>
        <family val="2"/>
        <charset val="186"/>
      </rPr>
      <t xml:space="preserve"> - Marko Ode, Martha Aavisto, Silver Kingissepp</t>
    </r>
  </si>
  <si>
    <r>
      <rPr>
        <b/>
        <sz val="10"/>
        <color theme="1"/>
        <rFont val="Arial"/>
        <family val="2"/>
        <charset val="186"/>
      </rPr>
      <t>Orrod</t>
    </r>
    <r>
      <rPr>
        <sz val="10"/>
        <color theme="1"/>
        <rFont val="Arial"/>
        <family val="2"/>
        <charset val="186"/>
      </rPr>
      <t xml:space="preserve"> - Aigi Orro, Elmo Lageda, Kalle Orro</t>
    </r>
  </si>
  <si>
    <r>
      <rPr>
        <b/>
        <sz val="10"/>
        <color theme="1"/>
        <rFont val="Arial"/>
        <family val="2"/>
        <charset val="186"/>
      </rPr>
      <t>Pikad</t>
    </r>
    <r>
      <rPr>
        <sz val="10"/>
        <color theme="1"/>
        <rFont val="Arial"/>
        <family val="2"/>
        <charset val="186"/>
      </rPr>
      <t xml:space="preserve"> - Andrei Grintšak, Tarmo Bombe, Tatyana Chekmareva</t>
    </r>
  </si>
  <si>
    <t>jrk</t>
  </si>
  <si>
    <t>Viike</t>
  </si>
  <si>
    <t>Marek Kolk</t>
  </si>
  <si>
    <t>Mänge</t>
  </si>
  <si>
    <t>Ruudi Väärtnõu</t>
  </si>
  <si>
    <t>Aleksei Tkachenko</t>
  </si>
  <si>
    <t>Anna Tkachenko</t>
  </si>
  <si>
    <t>Viktor Anuhin</t>
  </si>
  <si>
    <t>3/2</t>
  </si>
  <si>
    <t>Marko Ode</t>
  </si>
  <si>
    <t>Martha Aavisto</t>
  </si>
  <si>
    <t>viik</t>
  </si>
  <si>
    <t>võit</t>
  </si>
  <si>
    <t>oli lisatud viigipunkt iseendaga</t>
  </si>
  <si>
    <t>Olegi lehel oli seis 0:3, Janekil polnudki</t>
  </si>
  <si>
    <t>Rainer Schmidt</t>
  </si>
  <si>
    <t>Tatyana Chekmareva</t>
  </si>
  <si>
    <t>Janek Kiisk</t>
  </si>
  <si>
    <t>B-turniiri võitjad</t>
  </si>
  <si>
    <t>C-turniiri võitjad</t>
  </si>
  <si>
    <t>D-turniiri võitjad</t>
  </si>
  <si>
    <t>Janek Tarto, Romek Tarto</t>
  </si>
  <si>
    <t>Henri Mitt, Peep Peenema</t>
  </si>
  <si>
    <t>-7</t>
  </si>
  <si>
    <t>+2</t>
  </si>
  <si>
    <t>Uue süsteemi järgi</t>
  </si>
  <si>
    <t>Neli vooru kasutati võrdse arvu võitudega võistkondade järjestamiseks punktide vahet, kuid pärast viiendat vastaste saavutatud kohtasid.</t>
  </si>
  <si>
    <t>Seekord kasutati mingit segasüsteemi.</t>
  </si>
  <si>
    <t>Henri Mitt, Martha Aavisto</t>
  </si>
  <si>
    <t>Enn Tokman, Svetlana Veski</t>
  </si>
  <si>
    <t>Peep Peenema, Irene Võrklaev</t>
  </si>
  <si>
    <t>Janek Tarto, Johannes Neiland</t>
  </si>
  <si>
    <t>Andrei Grintšak, Pavel Grintšak</t>
  </si>
  <si>
    <t>Aurelia Meldre, Kaspar Mänd</t>
  </si>
  <si>
    <t>Irene Võrklaev</t>
  </si>
  <si>
    <t>Pavel Grintšak</t>
  </si>
  <si>
    <t>-2</t>
  </si>
  <si>
    <t>Aigi Orro, Matti Vinni</t>
  </si>
  <si>
    <t>Kenneth Muusikus, Martha Aavisto</t>
  </si>
  <si>
    <t>Kaspar Mänd, Veroonika Mendes</t>
  </si>
  <si>
    <t>Aurelia Meldre, Janek Tarto</t>
  </si>
  <si>
    <t>Irene Võrklaev, Peep Peenema</t>
  </si>
  <si>
    <t>Aarne Välja, Sirje Viljaste</t>
  </si>
  <si>
    <r>
      <t xml:space="preserve">DUO </t>
    </r>
    <r>
      <rPr>
        <sz val="9"/>
        <color theme="1"/>
        <rFont val="Arial"/>
        <family val="2"/>
        <charset val="186"/>
      </rPr>
      <t>(10:00)</t>
    </r>
  </si>
  <si>
    <r>
      <t xml:space="preserve">ÜKSIK </t>
    </r>
    <r>
      <rPr>
        <sz val="8"/>
        <color theme="1"/>
        <rFont val="Arial"/>
        <family val="2"/>
        <charset val="186"/>
      </rPr>
      <t>(19:00)</t>
    </r>
  </si>
  <si>
    <t>November 2020</t>
  </si>
  <si>
    <t>võistlus jääb ära</t>
  </si>
  <si>
    <t>Kohtunike koolitus</t>
  </si>
  <si>
    <t>P, 01.11.2020</t>
  </si>
  <si>
    <t>P, 15.11.2020</t>
  </si>
  <si>
    <t>P, 22.11.2020</t>
  </si>
  <si>
    <t>Andrei Grintšak, Andres Veski</t>
  </si>
  <si>
    <t>Kaspar Mänd, Olav Türk</t>
  </si>
  <si>
    <t>Johannes Neiland, Sander Rose</t>
  </si>
  <si>
    <t>Janek Tarto, Peep Peenema</t>
  </si>
  <si>
    <t>Kenneth Muusikus, Marta Bernat</t>
  </si>
  <si>
    <t>Oliver Ojasalu, Tõnis Neiland</t>
  </si>
  <si>
    <t>Kristo Viljaste, Matti Vinni</t>
  </si>
  <si>
    <t>Kaspar Mänd, Marta Bernat</t>
  </si>
  <si>
    <t>Aigi Orro, Elmo Lageda</t>
  </si>
  <si>
    <t>Enn Tokman, Peep Peenema</t>
  </si>
  <si>
    <t>Jaan Saar, Olav Türk</t>
  </si>
  <si>
    <t>Oliver Ojasalu</t>
  </si>
  <si>
    <t>Kaspar Mänd, Matti Vinni</t>
  </si>
  <si>
    <t>Illar Tõnurist, Jaan Saar</t>
  </si>
  <si>
    <t>Andres Veski, Johannes Neiland, Svetlana Veski</t>
  </si>
  <si>
    <t>Kenneth Muusikus, Mait Metsla, Peep Peenema</t>
  </si>
  <si>
    <t>N, 27.02.2020</t>
  </si>
  <si>
    <t>18:00</t>
  </si>
  <si>
    <r>
      <t>EW 102</t>
    </r>
    <r>
      <rPr>
        <sz val="10"/>
        <color rgb="FF0070C0"/>
        <rFont val="Arial"/>
        <family val="2"/>
        <charset val="186"/>
      </rPr>
      <t xml:space="preserve"> </t>
    </r>
    <r>
      <rPr>
        <sz val="10"/>
        <color theme="1"/>
        <rFont val="Arial"/>
        <family val="2"/>
        <charset val="186"/>
      </rPr>
      <t>noored + vanad</t>
    </r>
  </si>
  <si>
    <t>30. voor</t>
  </si>
  <si>
    <t>Daniel Lehtsaar, Kenneth Muusikus</t>
  </si>
  <si>
    <t>Veroonika Mendes, Jaan Saar</t>
  </si>
  <si>
    <t>Reimo Lõhmus, Enn Tokman</t>
  </si>
  <si>
    <t>Ksenija Matšneva, Peep Peenema</t>
  </si>
  <si>
    <t>Marko Tarassov, Fredi Müür</t>
  </si>
  <si>
    <t>Aurelia Meldre, Tarmo Bombe</t>
  </si>
  <si>
    <t>1 - 6 koht</t>
  </si>
  <si>
    <t>4-1</t>
  </si>
  <si>
    <t>3-2</t>
  </si>
  <si>
    <t>5-0</t>
  </si>
  <si>
    <t>0-5</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</si>
</sst>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ddd&quot;, &quot;dd/mm/yyyy"/>
    <numFmt numFmtId="165" formatCode="#&quot; €&quot;"/>
    <numFmt numFmtId="166" formatCode="#,##0\ &quot;€&quot;"/>
    <numFmt numFmtId="167" formatCode="0;\-0;;@"/>
    <numFmt numFmtId="168" formatCode="##&quot;.&quot;"/>
    <numFmt numFmtId="169" formatCode="\+0;\-0;0"/>
    <numFmt numFmtId="170" formatCode="0.0000"/>
  </numFmts>
  <fonts count="87" x14ac:knownFonts="1">
    <font>
      <sz val="10"/>
      <color theme="1"/>
      <name val="Arial"/>
      <family val="2"/>
      <charset val="186"/>
    </font>
    <font>
      <sz val="10"/>
      <color theme="1"/>
      <name val="Arial"/>
      <family val="2"/>
      <charset val="186"/>
    </font>
    <font>
      <sz val="11"/>
      <color indexed="8"/>
      <name val="Calibri"/>
      <family val="2"/>
      <charset val="186"/>
    </font>
    <font>
      <sz val="10"/>
      <color indexed="8"/>
      <name val="Times New Roman"/>
      <family val="1"/>
      <charset val="186"/>
    </font>
    <font>
      <sz val="10"/>
      <name val="Arial"/>
      <family val="2"/>
      <charset val="186"/>
    </font>
    <font>
      <sz val="10"/>
      <name val="Arial"/>
      <family val="2"/>
      <charset val="204"/>
    </font>
    <font>
      <sz val="8"/>
      <color indexed="8"/>
      <name val="Arial Narrow"/>
      <family val="2"/>
      <charset val="186"/>
    </font>
    <font>
      <u/>
      <sz val="10"/>
      <color theme="10"/>
      <name val="Times New Roman"/>
      <family val="1"/>
      <charset val="186"/>
    </font>
    <font>
      <u/>
      <sz val="11"/>
      <color theme="10"/>
      <name val="Calibri"/>
      <family val="2"/>
      <charset val="186"/>
      <scheme val="minor"/>
    </font>
    <font>
      <sz val="10"/>
      <color rgb="FF000000"/>
      <name val="Times New Roman"/>
      <family val="1"/>
      <charset val="186"/>
    </font>
    <font>
      <sz val="10"/>
      <color rgb="FF000000"/>
      <name val="Arial"/>
      <family val="2"/>
      <charset val="186"/>
    </font>
    <font>
      <sz val="11"/>
      <color theme="1"/>
      <name val="Calibri"/>
      <family val="2"/>
      <charset val="186"/>
      <scheme val="minor"/>
    </font>
    <font>
      <sz val="11"/>
      <color theme="1"/>
      <name val="Calibri"/>
      <family val="2"/>
      <scheme val="minor"/>
    </font>
    <font>
      <sz val="11"/>
      <color rgb="FF000000"/>
      <name val="Calibri"/>
      <family val="2"/>
      <scheme val="minor"/>
    </font>
    <font>
      <b/>
      <sz val="10"/>
      <color theme="0"/>
      <name val="Arial"/>
      <family val="2"/>
      <charset val="186"/>
    </font>
    <font>
      <sz val="10"/>
      <color rgb="FFFF0000"/>
      <name val="Arial"/>
      <family val="2"/>
      <charset val="186"/>
    </font>
    <font>
      <b/>
      <sz val="10"/>
      <color theme="1"/>
      <name val="Arial"/>
      <family val="2"/>
      <charset val="186"/>
    </font>
    <font>
      <sz val="10"/>
      <color theme="0"/>
      <name val="Arial"/>
      <family val="2"/>
      <charset val="186"/>
    </font>
    <font>
      <b/>
      <sz val="10"/>
      <color rgb="FF0070C0"/>
      <name val="Arial"/>
      <family val="2"/>
      <charset val="186"/>
    </font>
    <font>
      <b/>
      <sz val="10"/>
      <name val="Arial"/>
      <family val="2"/>
      <charset val="186"/>
    </font>
    <font>
      <sz val="10"/>
      <color indexed="8"/>
      <name val="Arial"/>
      <family val="2"/>
      <charset val="186"/>
    </font>
    <font>
      <u/>
      <sz val="10"/>
      <color theme="10"/>
      <name val="Arial"/>
      <family val="2"/>
      <charset val="186"/>
    </font>
    <font>
      <b/>
      <sz val="10"/>
      <color indexed="8"/>
      <name val="Arial"/>
      <family val="2"/>
      <charset val="186"/>
    </font>
    <font>
      <u/>
      <sz val="10"/>
      <color theme="1"/>
      <name val="Arial"/>
      <family val="2"/>
      <charset val="186"/>
    </font>
    <font>
      <sz val="10"/>
      <color rgb="FF0000FF"/>
      <name val="Arial"/>
      <family val="2"/>
      <charset val="186"/>
    </font>
    <font>
      <b/>
      <sz val="10"/>
      <color rgb="FFFF0000"/>
      <name val="Arial"/>
      <family val="2"/>
      <charset val="186"/>
    </font>
    <font>
      <sz val="10"/>
      <color theme="10"/>
      <name val="Arial"/>
      <family val="2"/>
      <charset val="186"/>
    </font>
    <font>
      <sz val="10"/>
      <color rgb="FF0070C0"/>
      <name val="Arial"/>
      <family val="2"/>
      <charset val="186"/>
    </font>
    <font>
      <b/>
      <sz val="8"/>
      <color indexed="81"/>
      <name val="Tahoma"/>
      <family val="2"/>
      <charset val="186"/>
    </font>
    <font>
      <i/>
      <u/>
      <sz val="10"/>
      <color theme="8" tint="0.39997558519241921"/>
      <name val="Arial"/>
      <family val="2"/>
      <charset val="186"/>
    </font>
    <font>
      <i/>
      <sz val="10"/>
      <color theme="8" tint="0.39997558519241921"/>
      <name val="Arial"/>
      <family val="2"/>
      <charset val="186"/>
    </font>
    <font>
      <b/>
      <u/>
      <sz val="10"/>
      <color theme="1"/>
      <name val="Arial"/>
      <family val="2"/>
      <charset val="186"/>
    </font>
    <font>
      <sz val="10"/>
      <color theme="8" tint="0.39997558519241921"/>
      <name val="Arial"/>
      <family val="2"/>
      <charset val="186"/>
    </font>
    <font>
      <i/>
      <sz val="10"/>
      <color theme="1"/>
      <name val="Arial"/>
      <family val="2"/>
      <charset val="186"/>
    </font>
    <font>
      <b/>
      <sz val="10"/>
      <color indexed="9"/>
      <name val="Arial"/>
      <family val="2"/>
      <charset val="186"/>
    </font>
    <font>
      <sz val="10"/>
      <color theme="4" tint="0.39997558519241921"/>
      <name val="Arial"/>
      <family val="2"/>
      <charset val="186"/>
    </font>
    <font>
      <sz val="10"/>
      <color indexed="10"/>
      <name val="Arial"/>
      <family val="2"/>
      <charset val="186"/>
    </font>
    <font>
      <b/>
      <sz val="10"/>
      <color theme="1"/>
      <name val="Calibri"/>
      <family val="2"/>
      <charset val="186"/>
      <scheme val="minor"/>
    </font>
    <font>
      <sz val="10"/>
      <color rgb="FFCC0000"/>
      <name val="Arial"/>
      <family val="2"/>
      <charset val="186"/>
    </font>
    <font>
      <sz val="10"/>
      <color rgb="FF00B0F0"/>
      <name val="Arial"/>
      <family val="2"/>
      <charset val="186"/>
    </font>
    <font>
      <b/>
      <sz val="9"/>
      <color theme="1"/>
      <name val="Arial"/>
      <family val="2"/>
      <charset val="186"/>
    </font>
    <font>
      <b/>
      <sz val="10"/>
      <color theme="0" tint="-0.34998626667073579"/>
      <name val="Arial"/>
      <family val="2"/>
      <charset val="186"/>
    </font>
    <font>
      <b/>
      <sz val="8"/>
      <color rgb="FF0070C0"/>
      <name val="Arial"/>
      <family val="2"/>
      <charset val="186"/>
    </font>
    <font>
      <sz val="10"/>
      <color theme="0" tint="-0.34998626667073579"/>
      <name val="Arial"/>
      <family val="2"/>
      <charset val="186"/>
    </font>
    <font>
      <b/>
      <sz val="10"/>
      <color rgb="FF00B0F0"/>
      <name val="Arial"/>
      <family val="2"/>
      <charset val="186"/>
    </font>
    <font>
      <b/>
      <sz val="10"/>
      <color rgb="FFCC0066"/>
      <name val="Arial"/>
      <family val="2"/>
      <charset val="186"/>
    </font>
    <font>
      <b/>
      <sz val="10"/>
      <color rgb="FF00B050"/>
      <name val="Arial"/>
      <family val="2"/>
      <charset val="186"/>
    </font>
    <font>
      <b/>
      <sz val="10"/>
      <color rgb="FFCC0000"/>
      <name val="Arial"/>
      <family val="2"/>
      <charset val="186"/>
    </font>
    <font>
      <b/>
      <sz val="10"/>
      <color theme="2" tint="-0.499984740745262"/>
      <name val="Arial"/>
      <family val="2"/>
      <charset val="186"/>
    </font>
    <font>
      <b/>
      <sz val="10"/>
      <color theme="0" tint="-0.249977111117893"/>
      <name val="Arial"/>
      <family val="2"/>
      <charset val="186"/>
    </font>
    <font>
      <sz val="10"/>
      <color theme="0" tint="-0.14999847407452621"/>
      <name val="Arial"/>
      <family val="2"/>
      <charset val="186"/>
    </font>
    <font>
      <b/>
      <sz val="10"/>
      <color theme="0" tint="-0.14999847407452621"/>
      <name val="Arial"/>
      <family val="2"/>
      <charset val="186"/>
    </font>
    <font>
      <sz val="8"/>
      <color indexed="81"/>
      <name val="Tahoma"/>
      <family val="2"/>
      <charset val="186"/>
    </font>
    <font>
      <sz val="10"/>
      <color theme="0" tint="-0.249977111117893"/>
      <name val="Arial"/>
      <family val="2"/>
      <charset val="186"/>
    </font>
    <font>
      <b/>
      <sz val="10"/>
      <color rgb="FFCC0000"/>
      <name val="Calibri"/>
      <family val="2"/>
      <charset val="186"/>
      <scheme val="minor"/>
    </font>
    <font>
      <b/>
      <u/>
      <sz val="10"/>
      <color rgb="FF0070C0"/>
      <name val="Arial"/>
      <family val="2"/>
      <charset val="186"/>
    </font>
    <font>
      <b/>
      <sz val="8"/>
      <color theme="2" tint="-0.499984740745262"/>
      <name val="Arial"/>
      <family val="2"/>
      <charset val="186"/>
    </font>
    <font>
      <sz val="10"/>
      <color rgb="FF00B050"/>
      <name val="Arial"/>
      <family val="2"/>
      <charset val="186"/>
    </font>
    <font>
      <i/>
      <sz val="10"/>
      <color theme="0" tint="-0.499984740745262"/>
      <name val="Arial"/>
      <family val="2"/>
      <charset val="186"/>
    </font>
    <font>
      <sz val="10"/>
      <color theme="2" tint="-0.499984740745262"/>
      <name val="Arial"/>
      <family val="2"/>
      <charset val="186"/>
    </font>
    <font>
      <sz val="9"/>
      <color rgb="FF0070C0"/>
      <name val="Arial"/>
      <family val="2"/>
      <charset val="186"/>
    </font>
    <font>
      <sz val="9"/>
      <color theme="1"/>
      <name val="Arial"/>
      <family val="2"/>
      <charset val="186"/>
    </font>
    <font>
      <sz val="9"/>
      <color rgb="FF00B050"/>
      <name val="Arial"/>
      <family val="2"/>
      <charset val="186"/>
    </font>
    <font>
      <sz val="9"/>
      <color theme="5" tint="-0.249977111117893"/>
      <name val="Arial"/>
      <family val="2"/>
      <charset val="186"/>
    </font>
    <font>
      <sz val="9"/>
      <color rgb="FF0070C0"/>
      <name val="Verdana"/>
      <family val="2"/>
      <charset val="186"/>
    </font>
    <font>
      <sz val="9"/>
      <color rgb="FF7030A0"/>
      <name val="Arial"/>
      <family val="2"/>
      <charset val="186"/>
    </font>
    <font>
      <sz val="9"/>
      <color rgb="FFC00000"/>
      <name val="Arial"/>
      <family val="2"/>
      <charset val="186"/>
    </font>
    <font>
      <sz val="9"/>
      <color theme="2" tint="-0.749992370372631"/>
      <name val="Arial"/>
      <family val="2"/>
      <charset val="186"/>
    </font>
    <font>
      <sz val="9"/>
      <color theme="9" tint="-0.499984740745262"/>
      <name val="Arial"/>
      <family val="2"/>
      <charset val="186"/>
    </font>
    <font>
      <sz val="9"/>
      <color theme="8" tint="-0.249977111117893"/>
      <name val="Arial"/>
      <family val="2"/>
      <charset val="186"/>
    </font>
    <font>
      <u/>
      <sz val="12"/>
      <color rgb="FF0070C0"/>
      <name val="Old English Text MT"/>
      <family val="4"/>
    </font>
    <font>
      <sz val="10"/>
      <color rgb="FF0070C0"/>
      <name val="Old English Text MT"/>
      <family val="4"/>
    </font>
    <font>
      <b/>
      <strike/>
      <u/>
      <sz val="10"/>
      <color theme="0" tint="-0.499984740745262"/>
      <name val="Arial"/>
      <family val="2"/>
      <charset val="186"/>
    </font>
    <font>
      <b/>
      <strike/>
      <sz val="10"/>
      <color theme="0" tint="-0.499984740745262"/>
      <name val="Arial"/>
      <family val="2"/>
      <charset val="186"/>
    </font>
    <font>
      <strike/>
      <sz val="10"/>
      <color theme="0" tint="-0.499984740745262"/>
      <name val="Arial"/>
      <family val="2"/>
      <charset val="186"/>
    </font>
    <font>
      <strike/>
      <u/>
      <sz val="10"/>
      <color theme="0" tint="-0.499984740745262"/>
      <name val="Arial"/>
      <family val="2"/>
      <charset val="186"/>
    </font>
    <font>
      <sz val="8"/>
      <color theme="1"/>
      <name val="Arial"/>
      <family val="2"/>
      <charset val="186"/>
    </font>
    <font>
      <strike/>
      <u/>
      <sz val="10"/>
      <color theme="10"/>
      <name val="Arial"/>
      <family val="2"/>
      <charset val="186"/>
    </font>
    <font>
      <strike/>
      <sz val="10"/>
      <color theme="10"/>
      <name val="Arial"/>
      <family val="2"/>
      <charset val="186"/>
    </font>
    <font>
      <strike/>
      <u/>
      <sz val="10"/>
      <color theme="8" tint="0.39994506668294322"/>
      <name val="Arial"/>
      <family val="2"/>
      <charset val="186"/>
    </font>
    <font>
      <u/>
      <sz val="10"/>
      <color theme="8" tint="0.39994506668294322"/>
      <name val="Arial"/>
      <family val="2"/>
      <charset val="186"/>
    </font>
    <font>
      <i/>
      <strike/>
      <u/>
      <sz val="10"/>
      <color theme="8" tint="0.39997558519241921"/>
      <name val="Arial"/>
      <family val="2"/>
      <charset val="186"/>
    </font>
    <font>
      <strike/>
      <sz val="10"/>
      <color theme="1"/>
      <name val="Arial"/>
      <family val="2"/>
      <charset val="186"/>
    </font>
    <font>
      <strike/>
      <u/>
      <sz val="10"/>
      <color theme="1"/>
      <name val="Arial"/>
      <family val="2"/>
      <charset val="186"/>
    </font>
    <font>
      <u/>
      <sz val="10"/>
      <color theme="0" tint="-0.499984740745262"/>
      <name val="Arial"/>
      <family val="2"/>
      <charset val="186"/>
    </font>
    <font>
      <u/>
      <sz val="10"/>
      <color theme="10"/>
      <name val="Old English Text MT"/>
      <family val="4"/>
    </font>
    <font>
      <u/>
      <sz val="10"/>
      <name val="Arial"/>
      <family val="2"/>
      <charset val="186"/>
    </font>
  </fonts>
  <fills count="30">
    <fill>
      <patternFill patternType="none"/>
    </fill>
    <fill>
      <patternFill patternType="gray125"/>
    </fill>
    <fill>
      <patternFill patternType="solid">
        <fgColor indexed="22"/>
        <bgColor indexed="31"/>
      </patternFill>
    </fill>
    <fill>
      <patternFill patternType="solid">
        <fgColor rgb="FFFFFF99"/>
        <bgColor indexed="64"/>
      </patternFill>
    </fill>
    <fill>
      <patternFill patternType="solid">
        <fgColor theme="0" tint="-0.14999847407452621"/>
        <bgColor indexed="64"/>
      </patternFill>
    </fill>
    <fill>
      <patternFill patternType="solid">
        <fgColor rgb="FFCCFFCC"/>
        <bgColor indexed="64"/>
      </patternFill>
    </fill>
    <fill>
      <patternFill patternType="solid">
        <fgColor rgb="FF92D050"/>
        <bgColor indexed="64"/>
      </patternFill>
    </fill>
    <fill>
      <patternFill patternType="solid">
        <fgColor rgb="FF99FF99"/>
        <bgColor indexed="64"/>
      </patternFill>
    </fill>
    <fill>
      <patternFill patternType="solid">
        <fgColor rgb="FFCCFF66"/>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66"/>
        <bgColor indexed="64"/>
      </patternFill>
    </fill>
    <fill>
      <patternFill patternType="solid">
        <fgColor theme="0" tint="-4.9989318521683403E-2"/>
        <bgColor indexed="64"/>
      </patternFill>
    </fill>
    <fill>
      <patternFill patternType="solid">
        <fgColor rgb="FFFFFF00"/>
        <bgColor indexed="64"/>
      </patternFill>
    </fill>
    <fill>
      <patternFill patternType="solid">
        <fgColor indexed="10"/>
        <bgColor indexed="64"/>
      </patternFill>
    </fill>
    <fill>
      <patternFill patternType="solid">
        <fgColor rgb="FFFF0000"/>
        <bgColor indexed="64"/>
      </patternFill>
    </fill>
    <fill>
      <patternFill patternType="solid">
        <fgColor rgb="FFFFCC99"/>
        <bgColor indexed="64"/>
      </patternFill>
    </fill>
    <fill>
      <patternFill patternType="solid">
        <fgColor rgb="FFFFFFCC"/>
        <bgColor indexed="64"/>
      </patternFill>
    </fill>
    <fill>
      <patternFill patternType="solid">
        <fgColor theme="0" tint="-0.499984740745262"/>
        <bgColor indexed="64"/>
      </patternFill>
    </fill>
    <fill>
      <patternFill patternType="solid">
        <fgColor rgb="FFFFCCCC"/>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FFC000"/>
        <bgColor indexed="64"/>
      </patternFill>
    </fill>
  </fills>
  <borders count="2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thin">
        <color auto="1"/>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right/>
      <top style="medium">
        <color indexed="8"/>
      </top>
      <bottom style="medium">
        <color indexed="8"/>
      </bottom>
      <diagonal/>
    </border>
    <border>
      <left/>
      <right/>
      <top style="medium">
        <color auto="1"/>
      </top>
      <bottom/>
      <diagonal/>
    </border>
    <border>
      <left style="medium">
        <color indexed="64"/>
      </left>
      <right/>
      <top/>
      <bottom/>
      <diagonal/>
    </border>
    <border>
      <left/>
      <right style="medium">
        <color theme="1"/>
      </right>
      <top/>
      <bottom/>
      <diagonal/>
    </border>
    <border>
      <left style="medium">
        <color theme="1"/>
      </left>
      <right/>
      <top/>
      <bottom/>
      <diagonal/>
    </border>
    <border>
      <left style="medium">
        <color theme="1"/>
      </left>
      <right/>
      <top/>
      <bottom style="medium">
        <color auto="1"/>
      </bottom>
      <diagonal/>
    </border>
    <border>
      <left style="thin">
        <color theme="0" tint="-0.24994659260841701"/>
      </left>
      <right/>
      <top style="medium">
        <color auto="1"/>
      </top>
      <bottom style="thin">
        <color theme="0" tint="-0.24994659260841701"/>
      </bottom>
      <diagonal/>
    </border>
    <border>
      <left style="medium">
        <color indexed="8"/>
      </left>
      <right/>
      <top style="medium">
        <color auto="1"/>
      </top>
      <bottom/>
      <diagonal/>
    </border>
    <border>
      <left style="thin">
        <color theme="0" tint="-0.24994659260841701"/>
      </left>
      <right style="medium">
        <color indexed="8"/>
      </right>
      <top style="medium">
        <color auto="1"/>
      </top>
      <bottom style="thin">
        <color theme="0" tint="-0.24994659260841701"/>
      </bottom>
      <diagonal/>
    </border>
    <border>
      <left style="medium">
        <color theme="1"/>
      </left>
      <right/>
      <top style="medium">
        <color auto="1"/>
      </top>
      <bottom/>
      <diagonal/>
    </border>
    <border>
      <left style="medium">
        <color indexed="8"/>
      </left>
      <right/>
      <top/>
      <bottom/>
      <diagonal/>
    </border>
    <border>
      <left/>
      <right style="thick">
        <color indexed="8"/>
      </right>
      <top/>
      <bottom/>
      <diagonal/>
    </border>
    <border>
      <left/>
      <right style="medium">
        <color auto="1"/>
      </right>
      <top/>
      <bottom/>
      <diagonal/>
    </border>
    <border>
      <left/>
      <right style="medium">
        <color auto="1"/>
      </right>
      <top style="dashDot">
        <color auto="1"/>
      </top>
      <bottom/>
      <diagonal/>
    </border>
    <border>
      <left style="thin">
        <color theme="0" tint="-0.24994659260841701"/>
      </left>
      <right style="medium">
        <color indexed="8"/>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auto="1"/>
      </left>
      <right/>
      <top/>
      <bottom/>
      <diagonal/>
    </border>
    <border>
      <left/>
      <right style="medium">
        <color indexed="8"/>
      </right>
      <top/>
      <bottom/>
      <diagonal/>
    </border>
    <border>
      <left style="medium">
        <color auto="1"/>
      </left>
      <right/>
      <top style="medium">
        <color indexed="8"/>
      </top>
      <bottom/>
      <diagonal/>
    </border>
    <border>
      <left style="thin">
        <color theme="0" tint="-0.24994659260841701"/>
      </left>
      <right style="medium">
        <color indexed="8"/>
      </right>
      <top style="medium">
        <color indexed="8"/>
      </top>
      <bottom style="thin">
        <color theme="0" tint="-0.24994659260841701"/>
      </bottom>
      <diagonal/>
    </border>
    <border>
      <left/>
      <right/>
      <top style="medium">
        <color indexed="8"/>
      </top>
      <bottom/>
      <diagonal/>
    </border>
    <border>
      <left style="medium">
        <color indexed="8"/>
      </left>
      <right/>
      <top style="medium">
        <color indexed="8"/>
      </top>
      <bottom/>
      <diagonal/>
    </border>
    <border>
      <left style="medium">
        <color indexed="8"/>
      </left>
      <right/>
      <top/>
      <bottom style="dashDot">
        <color indexed="8"/>
      </bottom>
      <diagonal/>
    </border>
    <border>
      <left/>
      <right style="medium">
        <color auto="1"/>
      </right>
      <top/>
      <bottom style="dashDot">
        <color auto="1"/>
      </bottom>
      <diagonal/>
    </border>
    <border>
      <left style="thin">
        <color theme="0" tint="-0.24994659260841701"/>
      </left>
      <right/>
      <top style="medium">
        <color indexed="8"/>
      </top>
      <bottom style="thin">
        <color theme="0" tint="-0.24994659260841701"/>
      </bottom>
      <diagonal/>
    </border>
    <border>
      <left/>
      <right/>
      <top/>
      <bottom style="dashDot">
        <color indexed="8"/>
      </bottom>
      <diagonal/>
    </border>
    <border>
      <left style="medium">
        <color indexed="8"/>
      </left>
      <right/>
      <top/>
      <bottom style="thick">
        <color indexed="8"/>
      </bottom>
      <diagonal/>
    </border>
    <border>
      <left/>
      <right style="medium">
        <color indexed="8"/>
      </right>
      <top/>
      <bottom style="thick">
        <color indexed="8"/>
      </bottom>
      <diagonal/>
    </border>
    <border>
      <left/>
      <right/>
      <top/>
      <bottom style="thick">
        <color indexed="8"/>
      </bottom>
      <diagonal/>
    </border>
    <border>
      <left style="medium">
        <color indexed="8"/>
      </left>
      <right/>
      <top style="thick">
        <color indexed="8"/>
      </top>
      <bottom/>
      <diagonal/>
    </border>
    <border>
      <left style="thin">
        <color theme="0" tint="-0.24994659260841701"/>
      </left>
      <right style="medium">
        <color indexed="8"/>
      </right>
      <top style="thick">
        <color indexed="8"/>
      </top>
      <bottom style="thin">
        <color theme="0" tint="-0.24994659260841701"/>
      </bottom>
      <diagonal/>
    </border>
    <border>
      <left/>
      <right/>
      <top style="thick">
        <color indexed="8"/>
      </top>
      <bottom/>
      <diagonal/>
    </border>
    <border>
      <left style="thin">
        <color theme="0" tint="-0.24994659260841701"/>
      </left>
      <right style="medium">
        <color indexed="64"/>
      </right>
      <top style="medium">
        <color indexed="64"/>
      </top>
      <bottom style="thin">
        <color theme="0" tint="-0.24994659260841701"/>
      </bottom>
      <diagonal/>
    </border>
    <border>
      <left/>
      <right style="medium">
        <color auto="1"/>
      </right>
      <top/>
      <bottom style="dashDot">
        <color indexed="8"/>
      </bottom>
      <diagonal/>
    </border>
    <border>
      <left style="medium">
        <color indexed="8"/>
      </left>
      <right/>
      <top/>
      <bottom style="medium">
        <color indexed="8"/>
      </bottom>
      <diagonal/>
    </border>
    <border>
      <left style="thin">
        <color theme="0" tint="-0.24994659260841701"/>
      </left>
      <right style="thick">
        <color indexed="8"/>
      </right>
      <top style="medium">
        <color indexed="8"/>
      </top>
      <bottom style="thin">
        <color theme="0" tint="-0.24994659260841701"/>
      </bottom>
      <diagonal/>
    </border>
    <border>
      <left/>
      <right style="thick">
        <color indexed="8"/>
      </right>
      <top/>
      <bottom style="thick">
        <color indexed="8"/>
      </bottom>
      <diagonal/>
    </border>
    <border>
      <left/>
      <right style="medium">
        <color indexed="64"/>
      </right>
      <top/>
      <bottom/>
      <diagonal/>
    </border>
    <border>
      <left style="thin">
        <color theme="0" tint="-0.24994659260841701"/>
      </left>
      <right style="medium">
        <color auto="1"/>
      </right>
      <top style="medium">
        <color indexed="8"/>
      </top>
      <bottom style="thin">
        <color theme="0" tint="-0.24994659260841701"/>
      </bottom>
      <diagonal/>
    </border>
    <border>
      <left/>
      <right style="medium">
        <color indexed="8"/>
      </right>
      <top style="thin">
        <color theme="0" tint="-0.24994659260841701"/>
      </top>
      <bottom/>
      <diagonal/>
    </border>
    <border>
      <left style="medium">
        <color indexed="8"/>
      </left>
      <right style="thin">
        <color theme="0" tint="-0.24994659260841701"/>
      </right>
      <top style="medium">
        <color indexed="8"/>
      </top>
      <bottom/>
      <diagonal/>
    </border>
    <border>
      <left style="medium">
        <color auto="1"/>
      </left>
      <right/>
      <top style="dashDot">
        <color auto="1"/>
      </top>
      <bottom/>
      <diagonal/>
    </border>
    <border>
      <left style="thin">
        <color indexed="8"/>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diagonal/>
    </border>
    <border>
      <left/>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auto="1"/>
      </left>
      <right/>
      <top style="medium">
        <color auto="1"/>
      </top>
      <bottom/>
      <diagonal/>
    </border>
    <border>
      <left/>
      <right/>
      <top/>
      <bottom style="medium">
        <color indexed="64"/>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right style="thick">
        <color indexed="64"/>
      </right>
      <top/>
      <bottom/>
      <diagonal/>
    </border>
    <border>
      <left style="thick">
        <color indexed="64"/>
      </left>
      <right/>
      <top style="medium">
        <color auto="1"/>
      </top>
      <bottom/>
      <diagonal/>
    </border>
    <border>
      <left style="thick">
        <color indexed="64"/>
      </left>
      <right/>
      <top/>
      <bottom/>
      <diagonal/>
    </border>
    <border>
      <left style="thin">
        <color theme="0" tint="-0.24994659260841701"/>
      </left>
      <right style="medium">
        <color indexed="8"/>
      </right>
      <top style="medium">
        <color indexed="8"/>
      </top>
      <bottom style="thin">
        <color theme="0" tint="-0.24994659260841701"/>
      </bottom>
      <diagonal/>
    </border>
    <border>
      <left/>
      <right/>
      <top/>
      <bottom style="dashDot">
        <color auto="1"/>
      </bottom>
      <diagonal/>
    </border>
    <border>
      <left style="medium">
        <color rgb="FF000000"/>
      </left>
      <right/>
      <top style="medium">
        <color rgb="FF000000"/>
      </top>
      <bottom/>
      <diagonal/>
    </border>
    <border>
      <left style="thin">
        <color theme="0" tint="-0.24994659260841701"/>
      </left>
      <right/>
      <top style="medium">
        <color rgb="FF000000"/>
      </top>
      <bottom style="thin">
        <color theme="0" tint="-0.24994659260841701"/>
      </bottom>
      <diagonal/>
    </border>
    <border>
      <left style="thin">
        <color theme="0" tint="-0.24994659260841701"/>
      </left>
      <right style="medium">
        <color rgb="FF000000"/>
      </right>
      <top style="medium">
        <color rgb="FF000000"/>
      </top>
      <bottom style="thin">
        <color theme="0" tint="-0.24994659260841701"/>
      </bottom>
      <diagonal/>
    </border>
    <border>
      <left/>
      <right/>
      <top style="dashDot">
        <color auto="1"/>
      </top>
      <bottom style="thin">
        <color theme="8" tint="0.39994506668294322"/>
      </bottom>
      <diagonal/>
    </border>
    <border>
      <left/>
      <right/>
      <top/>
      <bottom style="thin">
        <color theme="8" tint="0.39994506668294322"/>
      </bottom>
      <diagonal/>
    </border>
    <border>
      <left style="thin">
        <color theme="0" tint="-0.24994659260841701"/>
      </left>
      <right style="medium">
        <color auto="1"/>
      </right>
      <top style="medium">
        <color rgb="FF000000"/>
      </top>
      <bottom style="thin">
        <color theme="0" tint="-0.24994659260841701"/>
      </bottom>
      <diagonal/>
    </border>
    <border>
      <left style="medium">
        <color rgb="FF000000"/>
      </left>
      <right/>
      <top style="dashDot">
        <color auto="1"/>
      </top>
      <bottom style="thin">
        <color theme="8" tint="0.39994506668294322"/>
      </bottom>
      <diagonal/>
    </border>
    <border>
      <left/>
      <right/>
      <top/>
      <bottom style="medium">
        <color rgb="FF000000"/>
      </bottom>
      <diagonal/>
    </border>
    <border>
      <left style="medium">
        <color indexed="8"/>
      </left>
      <right/>
      <top/>
      <bottom style="medium">
        <color indexed="8"/>
      </bottom>
      <diagonal/>
    </border>
    <border>
      <left/>
      <right style="medium">
        <color indexed="8"/>
      </right>
      <top/>
      <bottom style="medium">
        <color indexed="8"/>
      </bottom>
      <diagonal/>
    </border>
    <border>
      <left/>
      <right/>
      <top/>
      <bottom style="medium">
        <color indexed="8"/>
      </bottom>
      <diagonal/>
    </border>
    <border>
      <left/>
      <right style="medium">
        <color indexed="8"/>
      </right>
      <top style="medium">
        <color indexed="8"/>
      </top>
      <bottom/>
      <diagonal/>
    </border>
    <border>
      <left/>
      <right/>
      <top/>
      <bottom style="medium">
        <color indexed="64"/>
      </bottom>
      <diagonal/>
    </border>
    <border>
      <left style="thin">
        <color theme="0" tint="-0.24994659260841701"/>
      </left>
      <right style="medium">
        <color indexed="64"/>
      </right>
      <top style="medium">
        <color auto="1"/>
      </top>
      <bottom style="thin">
        <color theme="0" tint="-0.24994659260841701"/>
      </bottom>
      <diagonal/>
    </border>
    <border>
      <left/>
      <right style="medium">
        <color indexed="64"/>
      </right>
      <top/>
      <bottom style="medium">
        <color indexed="64"/>
      </bottom>
      <diagonal/>
    </border>
    <border>
      <left style="medium">
        <color rgb="FF000000"/>
      </left>
      <right/>
      <top/>
      <bottom style="thick">
        <color rgb="FF000000"/>
      </bottom>
      <diagonal/>
    </border>
    <border>
      <left/>
      <right/>
      <top/>
      <bottom style="thick">
        <color rgb="FF000000"/>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medium">
        <color auto="1"/>
      </left>
      <right/>
      <top/>
      <bottom style="dashDot">
        <color indexed="8"/>
      </bottom>
      <diagonal/>
    </border>
    <border>
      <left/>
      <right style="medium">
        <color indexed="8"/>
      </right>
      <top/>
      <bottom style="dashDot">
        <color indexed="8"/>
      </bottom>
      <diagonal/>
    </border>
    <border>
      <left style="medium">
        <color auto="1"/>
      </left>
      <right/>
      <top/>
      <bottom style="dashDot">
        <color auto="1"/>
      </bottom>
      <diagonal/>
    </border>
    <border>
      <left style="medium">
        <color auto="1"/>
      </left>
      <right/>
      <top style="dashDot">
        <color auto="1"/>
      </top>
      <bottom style="thin">
        <color theme="8" tint="0.39994506668294322"/>
      </bottom>
      <diagonal/>
    </border>
    <border>
      <left/>
      <right style="medium">
        <color auto="1"/>
      </right>
      <top style="dashDot">
        <color auto="1"/>
      </top>
      <bottom style="thin">
        <color theme="8" tint="0.39994506668294322"/>
      </bottom>
      <diagonal/>
    </border>
    <border>
      <left/>
      <right/>
      <top/>
      <bottom style="medium">
        <color indexed="64"/>
      </bottom>
      <diagonal/>
    </border>
    <border>
      <left style="thin">
        <color indexed="64"/>
      </left>
      <right/>
      <top/>
      <bottom style="medium">
        <color indexed="64"/>
      </bottom>
      <diagonal/>
    </border>
    <border>
      <left style="medium">
        <color indexed="8"/>
      </left>
      <right/>
      <top/>
      <bottom style="medium">
        <color indexed="8"/>
      </bottom>
      <diagonal/>
    </border>
    <border>
      <left/>
      <right style="medium">
        <color indexed="8"/>
      </right>
      <top/>
      <bottom style="medium">
        <color indexed="8"/>
      </bottom>
      <diagonal/>
    </border>
    <border>
      <left/>
      <right/>
      <top/>
      <bottom style="medium">
        <color indexed="8"/>
      </bottom>
      <diagonal/>
    </border>
    <border>
      <left style="thick">
        <color indexed="8"/>
      </left>
      <right/>
      <top style="medium">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diagonal/>
    </border>
    <border>
      <left style="thin">
        <color theme="0" tint="-0.24994659260841701"/>
      </left>
      <right style="thick">
        <color auto="1"/>
      </right>
      <top style="medium">
        <color indexed="8"/>
      </top>
      <bottom style="thin">
        <color theme="0" tint="-0.24994659260841701"/>
      </bottom>
      <diagonal/>
    </border>
    <border>
      <left style="medium">
        <color indexed="8"/>
      </left>
      <right/>
      <top style="dashDot">
        <color indexed="8"/>
      </top>
      <bottom/>
      <diagonal/>
    </border>
    <border>
      <left/>
      <right style="medium">
        <color indexed="8"/>
      </right>
      <top style="dashDot">
        <color indexed="8"/>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theme="0" tint="-0.24994659260841701"/>
      </left>
      <right/>
      <top/>
      <bottom style="thin">
        <color theme="0" tint="-0.24994659260841701"/>
      </bottom>
      <diagonal/>
    </border>
    <border>
      <left style="medium">
        <color indexed="8"/>
      </left>
      <right/>
      <top/>
      <bottom style="dashDot">
        <color auto="1"/>
      </bottom>
      <diagonal/>
    </border>
    <border>
      <left style="thin">
        <color auto="1"/>
      </left>
      <right style="thin">
        <color auto="1"/>
      </right>
      <top style="thin">
        <color auto="1"/>
      </top>
      <bottom style="thin">
        <color auto="1"/>
      </bottom>
      <diagonal/>
    </border>
    <border>
      <left/>
      <right/>
      <top style="dashDot">
        <color indexed="8"/>
      </top>
      <bottom/>
      <diagonal/>
    </border>
    <border>
      <left style="medium">
        <color indexed="8"/>
      </left>
      <right/>
      <top style="dashDot">
        <color indexed="8"/>
      </top>
      <bottom style="medium">
        <color indexed="8"/>
      </bottom>
      <diagonal/>
    </border>
    <border>
      <left/>
      <right/>
      <top style="dashDot">
        <color indexed="8"/>
      </top>
      <bottom style="medium">
        <color indexed="8"/>
      </bottom>
      <diagonal/>
    </border>
    <border>
      <left style="medium">
        <color indexed="64"/>
      </left>
      <right/>
      <top style="medium">
        <color indexed="64"/>
      </top>
      <bottom/>
      <diagonal/>
    </border>
    <border>
      <left style="thin">
        <color theme="0" tint="-0.24994659260841701"/>
      </left>
      <right style="medium">
        <color indexed="8"/>
      </right>
      <top style="medium">
        <color indexed="64"/>
      </top>
      <bottom style="thin">
        <color theme="0" tint="-0.24994659260841701"/>
      </bottom>
      <diagonal/>
    </border>
    <border>
      <left/>
      <right/>
      <top style="medium">
        <color indexed="64"/>
      </top>
      <bottom/>
      <diagonal/>
    </border>
    <border>
      <left style="medium">
        <color theme="1"/>
      </left>
      <right/>
      <top style="medium">
        <color indexed="64"/>
      </top>
      <bottom/>
      <diagonal/>
    </border>
    <border>
      <left style="medium">
        <color indexed="64"/>
      </left>
      <right/>
      <top/>
      <bottom style="medium">
        <color indexed="64"/>
      </bottom>
      <diagonal/>
    </border>
    <border>
      <left/>
      <right style="medium">
        <color theme="1"/>
      </right>
      <top/>
      <bottom style="medium">
        <color indexed="64"/>
      </bottom>
      <diagonal/>
    </border>
    <border>
      <left style="medium">
        <color theme="1"/>
      </left>
      <right/>
      <top/>
      <bottom style="medium">
        <color indexed="64"/>
      </bottom>
      <diagonal/>
    </border>
    <border>
      <left style="medium">
        <color indexed="8"/>
      </left>
      <right/>
      <top/>
      <bottom style="medium">
        <color indexed="64"/>
      </bottom>
      <diagonal/>
    </border>
    <border>
      <left/>
      <right style="medium">
        <color indexed="64"/>
      </right>
      <top/>
      <bottom style="medium">
        <color indexed="8"/>
      </bottom>
      <diagonal/>
    </border>
    <border>
      <left style="thick">
        <color indexed="8"/>
      </left>
      <right/>
      <top/>
      <bottom style="medium">
        <color indexed="8"/>
      </bottom>
      <diagonal/>
    </border>
    <border>
      <left style="medium">
        <color auto="1"/>
      </left>
      <right/>
      <top/>
      <bottom style="medium">
        <color indexed="8"/>
      </bottom>
      <diagonal/>
    </border>
    <border>
      <left/>
      <right style="medium">
        <color indexed="8"/>
      </right>
      <top/>
      <bottom style="medium">
        <color indexed="8"/>
      </bottom>
      <diagonal/>
    </border>
    <border>
      <left style="medium">
        <color rgb="FF000000"/>
      </left>
      <right/>
      <top style="medium">
        <color indexed="8"/>
      </top>
      <bottom/>
      <diagonal/>
    </border>
    <border>
      <left style="thin">
        <color theme="0" tint="-0.24994659260841701"/>
      </left>
      <right style="thick">
        <color rgb="FF000000"/>
      </right>
      <top style="medium">
        <color indexed="8"/>
      </top>
      <bottom style="thin">
        <color theme="0" tint="-0.24994659260841701"/>
      </bottom>
      <diagonal/>
    </border>
    <border>
      <left/>
      <right style="medium">
        <color indexed="8"/>
      </right>
      <top/>
      <bottom style="thin">
        <color theme="8" tint="0.39994506668294322"/>
      </bottom>
      <diagonal/>
    </border>
    <border>
      <left/>
      <right style="medium">
        <color indexed="8"/>
      </right>
      <top/>
      <bottom style="medium">
        <color rgb="FF000000"/>
      </bottom>
      <diagonal/>
    </border>
    <border>
      <left style="medium">
        <color theme="1"/>
      </left>
      <right/>
      <top/>
      <bottom style="medium">
        <color auto="1"/>
      </bottom>
      <diagonal/>
    </border>
    <border>
      <left/>
      <right style="medium">
        <color auto="1"/>
      </right>
      <top/>
      <bottom style="medium">
        <color indexed="8"/>
      </bottom>
      <diagonal/>
    </border>
    <border>
      <left style="medium">
        <color auto="1"/>
      </left>
      <right/>
      <top style="medium">
        <color auto="1"/>
      </top>
      <bottom/>
      <diagonal/>
    </border>
    <border>
      <left style="thin">
        <color theme="0" tint="-0.24994659260841701"/>
      </left>
      <right style="thick">
        <color indexed="64"/>
      </right>
      <top style="medium">
        <color auto="1"/>
      </top>
      <bottom style="thin">
        <color theme="0" tint="-0.24994659260841701"/>
      </bottom>
      <diagonal/>
    </border>
    <border>
      <left style="medium">
        <color indexed="8"/>
      </left>
      <right style="thin">
        <color theme="0" tint="-0.24994659260841701"/>
      </right>
      <top style="medium">
        <color auto="1"/>
      </top>
      <bottom/>
      <diagonal/>
    </border>
    <border>
      <left style="thin">
        <color theme="0" tint="-0.24994659260841701"/>
      </left>
      <right style="medium">
        <color auto="1"/>
      </right>
      <top style="medium">
        <color auto="1"/>
      </top>
      <bottom style="thin">
        <color theme="0" tint="-0.24994659260841701"/>
      </bottom>
      <diagonal/>
    </border>
    <border>
      <left style="thin">
        <color theme="0" tint="-0.24994659260841701"/>
      </left>
      <right style="medium">
        <color indexed="8"/>
      </right>
      <top style="medium">
        <color auto="1"/>
      </top>
      <bottom style="thin">
        <color theme="0" tint="-0.24994659260841701"/>
      </bottom>
      <diagonal/>
    </border>
    <border>
      <left style="medium">
        <color auto="1"/>
      </left>
      <right/>
      <top style="medium">
        <color indexed="8"/>
      </top>
      <bottom/>
      <diagonal/>
    </border>
    <border>
      <left style="thin">
        <color theme="0" tint="-0.24994659260841701"/>
      </left>
      <right style="medium">
        <color indexed="8"/>
      </right>
      <top style="medium">
        <color indexed="8"/>
      </top>
      <bottom style="thin">
        <color theme="0" tint="-0.24994659260841701"/>
      </bottom>
      <diagonal/>
    </border>
    <border>
      <left/>
      <right/>
      <top style="medium">
        <color indexed="8"/>
      </top>
      <bottom/>
      <diagonal/>
    </border>
    <border>
      <left style="medium">
        <color indexed="8"/>
      </left>
      <right/>
      <top style="medium">
        <color indexed="8"/>
      </top>
      <bottom/>
      <diagonal/>
    </border>
    <border>
      <left style="thin">
        <color theme="0" tint="-0.24994659260841701"/>
      </left>
      <right style="medium">
        <color auto="1"/>
      </right>
      <top style="medium">
        <color indexed="8"/>
      </top>
      <bottom style="thin">
        <color theme="0" tint="-0.24994659260841701"/>
      </bottom>
      <diagonal/>
    </border>
    <border>
      <left style="medium">
        <color auto="1"/>
      </left>
      <right/>
      <top/>
      <bottom style="medium">
        <color auto="1"/>
      </bottom>
      <diagonal/>
    </border>
    <border>
      <left/>
      <right style="medium">
        <color indexed="8"/>
      </right>
      <top/>
      <bottom style="medium">
        <color auto="1"/>
      </bottom>
      <diagonal/>
    </border>
    <border>
      <left/>
      <right/>
      <top/>
      <bottom style="medium">
        <color auto="1"/>
      </bottom>
      <diagonal/>
    </border>
    <border>
      <left style="medium">
        <color indexed="8"/>
      </left>
      <right/>
      <top/>
      <bottom style="medium">
        <color indexed="64"/>
      </bottom>
      <diagonal/>
    </border>
    <border>
      <left/>
      <right style="medium">
        <color auto="1"/>
      </right>
      <top/>
      <bottom style="medium">
        <color auto="1"/>
      </bottom>
      <diagonal/>
    </border>
    <border>
      <left style="medium">
        <color auto="1"/>
      </left>
      <right/>
      <top style="medium">
        <color rgb="FF000000"/>
      </top>
      <bottom/>
      <diagonal/>
    </border>
    <border>
      <left style="thin">
        <color theme="0" tint="-0.24994659260841701"/>
      </left>
      <right/>
      <top style="medium">
        <color auto="1"/>
      </top>
      <bottom style="thin">
        <color theme="0" tint="-0.24994659260841701"/>
      </bottom>
      <diagonal/>
    </border>
    <border>
      <left style="thin">
        <color theme="0" tint="-0.24994659260841701"/>
      </left>
      <right style="medium">
        <color rgb="FF000000"/>
      </right>
      <top style="medium">
        <color auto="1"/>
      </top>
      <bottom style="thin">
        <color theme="0" tint="-0.24994659260841701"/>
      </bottom>
      <diagonal/>
    </border>
    <border>
      <left/>
      <right/>
      <top style="thin">
        <color theme="8" tint="0.39994506668294322"/>
      </top>
      <bottom style="medium">
        <color auto="1"/>
      </bottom>
      <diagonal/>
    </border>
    <border>
      <left style="medium">
        <color indexed="8"/>
      </left>
      <right/>
      <top/>
      <bottom style="medium">
        <color indexed="8"/>
      </bottom>
      <diagonal/>
    </border>
    <border>
      <left/>
      <right style="thick">
        <color indexed="8"/>
      </right>
      <top/>
      <bottom style="medium">
        <color indexed="8"/>
      </bottom>
      <diagonal/>
    </border>
    <border>
      <left style="thin">
        <color indexed="64"/>
      </left>
      <right style="thin">
        <color auto="1"/>
      </right>
      <top style="thin">
        <color indexed="64"/>
      </top>
      <bottom/>
      <diagonal/>
    </border>
    <border>
      <left/>
      <right/>
      <top/>
      <bottom style="medium">
        <color indexed="8"/>
      </bottom>
      <diagonal/>
    </border>
    <border>
      <left style="thick">
        <color indexed="8"/>
      </left>
      <right/>
      <top/>
      <bottom/>
      <diagonal/>
    </border>
    <border>
      <left/>
      <right style="medium">
        <color auto="1"/>
      </right>
      <top style="dashDot">
        <color indexed="8"/>
      </top>
      <bottom style="medium">
        <color indexed="8"/>
      </bottom>
      <diagonal/>
    </border>
    <border>
      <left style="thin">
        <color indexed="8"/>
      </left>
      <right style="thin">
        <color indexed="8"/>
      </right>
      <top style="thin">
        <color indexed="64"/>
      </top>
      <bottom/>
      <diagonal/>
    </border>
    <border>
      <left style="thin">
        <color auto="1"/>
      </left>
      <right style="thin">
        <color auto="1"/>
      </right>
      <top style="thin">
        <color indexed="64"/>
      </top>
      <bottom/>
      <diagonal/>
    </border>
    <border>
      <left style="thin">
        <color auto="1"/>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8"/>
      </left>
      <right style="thin">
        <color indexed="8"/>
      </right>
      <top style="thin">
        <color auto="1"/>
      </top>
      <bottom style="thin">
        <color indexed="8"/>
      </bottom>
      <diagonal/>
    </border>
    <border>
      <left/>
      <right/>
      <top/>
      <bottom style="thin">
        <color auto="1"/>
      </bottom>
      <diagonal/>
    </border>
    <border>
      <left/>
      <right style="thick">
        <color indexed="8"/>
      </right>
      <top style="medium">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8"/>
      </top>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right style="medium">
        <color indexed="8"/>
      </right>
      <top style="medium">
        <color indexed="8"/>
      </top>
      <bottom style="thin">
        <color theme="0" tint="-0.24994659260841701"/>
      </bottom>
      <diagonal/>
    </border>
    <border>
      <left style="thin">
        <color theme="0" tint="-0.24994659260841701"/>
      </left>
      <right style="thick">
        <color indexed="8"/>
      </right>
      <top style="medium">
        <color indexed="8"/>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right/>
      <top style="medium">
        <color rgb="FF000000"/>
      </top>
      <bottom/>
      <diagonal/>
    </border>
    <border>
      <left style="medium">
        <color rgb="FF000000"/>
      </left>
      <right style="thin">
        <color theme="0" tint="-0.24994659260841701"/>
      </right>
      <top style="medium">
        <color rgb="FF000000"/>
      </top>
      <bottom/>
      <diagonal/>
    </border>
    <border>
      <left style="medium">
        <color indexed="8"/>
      </left>
      <right/>
      <top style="medium">
        <color indexed="8"/>
      </top>
      <bottom/>
      <diagonal/>
    </border>
    <border>
      <left style="medium">
        <color rgb="FF000000"/>
      </left>
      <right/>
      <top/>
      <bottom/>
      <diagonal/>
    </border>
    <border>
      <left/>
      <right style="medium">
        <color rgb="FF000000"/>
      </right>
      <top/>
      <bottom/>
      <diagonal/>
    </border>
    <border>
      <left style="medium">
        <color rgb="FF000000"/>
      </left>
      <right/>
      <top style="dashDot">
        <color rgb="FF000000"/>
      </top>
      <bottom style="thin">
        <color theme="8" tint="0.39994506668294322"/>
      </bottom>
      <diagonal/>
    </border>
    <border>
      <left/>
      <right/>
      <top style="dashDot">
        <color rgb="FF000000"/>
      </top>
      <bottom style="thin">
        <color theme="8" tint="0.39994506668294322"/>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thin">
        <color theme="8" tint="0.39994506668294322"/>
      </top>
      <bottom style="medium">
        <color rgb="FF000000"/>
      </bottom>
      <diagonal/>
    </border>
    <border>
      <left/>
      <right/>
      <top style="thin">
        <color theme="8" tint="0.39994506668294322"/>
      </top>
      <bottom style="medium">
        <color rgb="FF000000"/>
      </bottom>
      <diagonal/>
    </border>
    <border>
      <left style="thin">
        <color theme="0" tint="-0.24994659260841701"/>
      </left>
      <right style="thin">
        <color rgb="FF000000"/>
      </right>
      <top style="medium">
        <color rgb="FF000000"/>
      </top>
      <bottom style="thin">
        <color theme="0" tint="-0.24994659260841701"/>
      </bottom>
      <diagonal/>
    </border>
    <border>
      <left/>
      <right style="medium">
        <color auto="1"/>
      </right>
      <top/>
      <bottom style="medium">
        <color rgb="FF000000"/>
      </bottom>
      <diagonal/>
    </border>
    <border>
      <left/>
      <right/>
      <top style="medium">
        <color indexed="8"/>
      </top>
      <bottom/>
      <diagonal/>
    </border>
    <border>
      <left/>
      <right/>
      <top/>
      <bottom style="dashDot">
        <color rgb="FF000000"/>
      </bottom>
      <diagonal/>
    </border>
    <border>
      <left/>
      <right style="medium">
        <color rgb="FF000000"/>
      </right>
      <top/>
      <bottom style="dashDot">
        <color rgb="FF000000"/>
      </bottom>
      <diagonal/>
    </border>
    <border>
      <left/>
      <right/>
      <top style="dashDot">
        <color rgb="FF000000"/>
      </top>
      <bottom/>
      <diagonal/>
    </border>
    <border>
      <left/>
      <right style="medium">
        <color rgb="FF000000"/>
      </right>
      <top style="dashDot">
        <color rgb="FF000000"/>
      </top>
      <bottom/>
      <diagonal/>
    </border>
    <border>
      <left style="thin">
        <color indexed="64"/>
      </left>
      <right style="thin">
        <color indexed="64"/>
      </right>
      <top style="thin">
        <color indexed="8"/>
      </top>
      <bottom style="thin">
        <color indexed="8"/>
      </bottom>
      <diagonal/>
    </border>
    <border>
      <left style="thin">
        <color auto="1"/>
      </left>
      <right style="thin">
        <color auto="1"/>
      </right>
      <top style="thin">
        <color indexed="8"/>
      </top>
      <bottom style="thin">
        <color auto="1"/>
      </bottom>
      <diagonal/>
    </border>
    <border>
      <left style="medium">
        <color auto="1"/>
      </left>
      <right/>
      <top style="medium">
        <color auto="1"/>
      </top>
      <bottom/>
      <diagonal/>
    </border>
    <border>
      <left style="thin">
        <color theme="0" tint="-0.24994659260841701"/>
      </left>
      <right style="medium">
        <color indexed="8"/>
      </right>
      <top style="medium">
        <color auto="1"/>
      </top>
      <bottom style="thin">
        <color theme="0" tint="-0.24994659260841701"/>
      </bottom>
      <diagonal/>
    </border>
    <border>
      <left style="medium">
        <color indexed="8"/>
      </left>
      <right/>
      <top style="medium">
        <color auto="1"/>
      </top>
      <bottom/>
      <diagonal/>
    </border>
    <border>
      <left style="thin">
        <color theme="0" tint="-0.24994659260841701"/>
      </left>
      <right style="medium">
        <color indexed="64"/>
      </right>
      <top style="medium">
        <color auto="1"/>
      </top>
      <bottom style="thin">
        <color theme="0" tint="-0.24994659260841701"/>
      </bottom>
      <diagonal/>
    </border>
    <border>
      <left style="thin">
        <color theme="0" tint="-0.24994659260841701"/>
      </left>
      <right style="medium">
        <color auto="1"/>
      </right>
      <top style="medium">
        <color auto="1"/>
      </top>
      <bottom style="thin">
        <color theme="0" tint="-0.24994659260841701"/>
      </bottom>
      <diagonal/>
    </border>
    <border>
      <left/>
      <right style="medium">
        <color indexed="8"/>
      </right>
      <top/>
      <bottom style="medium">
        <color indexed="8"/>
      </bottom>
      <diagonal/>
    </border>
    <border>
      <left style="thin">
        <color theme="0" tint="-0.24994659260841701"/>
      </left>
      <right style="medium">
        <color indexed="8"/>
      </right>
      <top style="medium">
        <color indexed="8"/>
      </top>
      <bottom style="thin">
        <color theme="0" tint="-0.24994659260841701"/>
      </bottom>
      <diagonal/>
    </border>
    <border>
      <left style="medium">
        <color indexed="8"/>
      </left>
      <right/>
      <top/>
      <bottom style="medium">
        <color indexed="8"/>
      </bottom>
      <diagonal/>
    </border>
    <border>
      <left/>
      <right/>
      <top/>
      <bottom style="medium">
        <color indexed="8"/>
      </bottom>
      <diagonal/>
    </border>
  </borders>
  <cellStyleXfs count="36">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3" fillId="0" borderId="0"/>
    <xf numFmtId="0" fontId="5" fillId="0" borderId="0"/>
    <xf numFmtId="0" fontId="9" fillId="0" borderId="0"/>
    <xf numFmtId="0" fontId="5" fillId="0" borderId="0"/>
    <xf numFmtId="0" fontId="9" fillId="0" borderId="0"/>
    <xf numFmtId="0" fontId="10" fillId="0" borderId="0"/>
    <xf numFmtId="0" fontId="3" fillId="0" borderId="0"/>
    <xf numFmtId="0" fontId="5" fillId="0" borderId="0"/>
    <xf numFmtId="0" fontId="3" fillId="0" borderId="0"/>
    <xf numFmtId="0" fontId="11" fillId="0" borderId="0"/>
    <xf numFmtId="0" fontId="2" fillId="0" borderId="0"/>
    <xf numFmtId="0" fontId="4" fillId="0" borderId="0"/>
    <xf numFmtId="0" fontId="12" fillId="0" borderId="0"/>
    <xf numFmtId="0" fontId="2" fillId="0" borderId="0"/>
    <xf numFmtId="0" fontId="2" fillId="0" borderId="0"/>
    <xf numFmtId="0" fontId="9" fillId="0" borderId="0"/>
    <xf numFmtId="0" fontId="2" fillId="0" borderId="0"/>
    <xf numFmtId="0" fontId="11" fillId="0" borderId="0"/>
    <xf numFmtId="0" fontId="2" fillId="0" borderId="0"/>
    <xf numFmtId="0" fontId="2" fillId="0" borderId="0"/>
    <xf numFmtId="0" fontId="2" fillId="0" borderId="0"/>
    <xf numFmtId="0" fontId="13" fillId="0" borderId="0"/>
    <xf numFmtId="0" fontId="2" fillId="0" borderId="0"/>
    <xf numFmtId="0" fontId="4" fillId="0" borderId="0"/>
    <xf numFmtId="0" fontId="11" fillId="0" borderId="0"/>
    <xf numFmtId="0" fontId="1" fillId="0" borderId="0"/>
    <xf numFmtId="49" fontId="6" fillId="2" borderId="0" applyBorder="0" applyProtection="0">
      <alignment horizontal="left" vertical="top" wrapText="1"/>
    </xf>
    <xf numFmtId="0" fontId="3" fillId="0" borderId="0"/>
    <xf numFmtId="0" fontId="21" fillId="0" borderId="0" applyNumberFormat="0" applyFill="0" applyBorder="0" applyAlignment="0" applyProtection="0"/>
    <xf numFmtId="0" fontId="11" fillId="0" borderId="0"/>
    <xf numFmtId="0" fontId="11" fillId="0" borderId="0"/>
  </cellStyleXfs>
  <cellXfs count="1522">
    <xf numFmtId="0" fontId="0" fillId="0" borderId="0" xfId="0"/>
    <xf numFmtId="0" fontId="0" fillId="0" borderId="0" xfId="0"/>
    <xf numFmtId="0" fontId="0" fillId="0" borderId="0" xfId="0" applyAlignment="1">
      <alignment horizontal="right"/>
    </xf>
    <xf numFmtId="0" fontId="0" fillId="3" borderId="0" xfId="0" applyFill="1"/>
    <xf numFmtId="0" fontId="0" fillId="0" borderId="1" xfId="0" applyBorder="1" applyAlignment="1">
      <alignment horizontal="center"/>
    </xf>
    <xf numFmtId="0" fontId="0" fillId="3" borderId="1" xfId="0" applyFill="1" applyBorder="1" applyAlignment="1">
      <alignment horizontal="center"/>
    </xf>
    <xf numFmtId="164" fontId="18" fillId="0" borderId="0" xfId="5" applyNumberFormat="1" applyFont="1" applyFill="1" applyBorder="1" applyAlignment="1">
      <alignment horizontal="left"/>
    </xf>
    <xf numFmtId="20" fontId="19" fillId="0" borderId="0" xfId="5" applyNumberFormat="1" applyFont="1" applyFill="1" applyBorder="1" applyAlignment="1">
      <alignment horizontal="left"/>
    </xf>
    <xf numFmtId="0" fontId="20" fillId="0" borderId="0" xfId="21" applyFont="1" applyFill="1"/>
    <xf numFmtId="0" fontId="20" fillId="0" borderId="0" xfId="21" applyFont="1" applyFill="1" applyAlignment="1">
      <alignment horizontal="center"/>
    </xf>
    <xf numFmtId="0" fontId="20" fillId="0" borderId="0" xfId="21" applyFont="1" applyAlignment="1"/>
    <xf numFmtId="0" fontId="21" fillId="0" borderId="0" xfId="33" applyFill="1" applyAlignment="1">
      <alignment vertical="top"/>
    </xf>
    <xf numFmtId="165" fontId="20" fillId="0" borderId="0" xfId="21" applyNumberFormat="1" applyFont="1" applyAlignment="1">
      <alignment horizontal="right"/>
    </xf>
    <xf numFmtId="0" fontId="20" fillId="0" borderId="0" xfId="21" applyFont="1"/>
    <xf numFmtId="164" fontId="22" fillId="0" borderId="0" xfId="21" applyNumberFormat="1" applyFont="1" applyFill="1" applyAlignment="1">
      <alignment horizontal="left"/>
    </xf>
    <xf numFmtId="20" fontId="22" fillId="0" borderId="0" xfId="21" applyNumberFormat="1" applyFont="1" applyFill="1" applyAlignment="1">
      <alignment horizontal="left"/>
    </xf>
    <xf numFmtId="0" fontId="20" fillId="0" borderId="0" xfId="21" applyFont="1" applyFill="1" applyAlignment="1"/>
    <xf numFmtId="165" fontId="20" fillId="0" borderId="0" xfId="21" applyNumberFormat="1" applyFont="1" applyFill="1" applyAlignment="1">
      <alignment horizontal="right"/>
    </xf>
    <xf numFmtId="164" fontId="16" fillId="4" borderId="2" xfId="21" applyNumberFormat="1" applyFont="1" applyFill="1" applyBorder="1" applyAlignment="1">
      <alignment horizontal="left" wrapText="1"/>
    </xf>
    <xf numFmtId="20" fontId="16" fillId="4" borderId="2" xfId="21" applyNumberFormat="1" applyFont="1" applyFill="1" applyBorder="1" applyAlignment="1">
      <alignment horizontal="left"/>
    </xf>
    <xf numFmtId="0" fontId="16" fillId="4" borderId="2" xfId="21" applyFont="1" applyFill="1" applyBorder="1"/>
    <xf numFmtId="0" fontId="16" fillId="4" borderId="2" xfId="21" applyFont="1" applyFill="1" applyBorder="1" applyAlignment="1">
      <alignment horizontal="left"/>
    </xf>
    <xf numFmtId="0" fontId="22" fillId="4" borderId="2" xfId="21" applyFont="1" applyFill="1" applyBorder="1" applyAlignment="1"/>
    <xf numFmtId="0" fontId="16" fillId="4" borderId="2" xfId="21" applyFont="1" applyFill="1" applyBorder="1" applyAlignment="1"/>
    <xf numFmtId="165" fontId="16" fillId="4" borderId="2" xfId="21" applyNumberFormat="1" applyFont="1" applyFill="1" applyBorder="1" applyAlignment="1"/>
    <xf numFmtId="0" fontId="1" fillId="0" borderId="0" xfId="21" applyFont="1" applyFill="1" applyAlignment="1">
      <alignment vertical="center"/>
    </xf>
    <xf numFmtId="0" fontId="20" fillId="0" borderId="0" xfId="21" applyFont="1" applyFill="1" applyAlignment="1">
      <alignment vertical="center"/>
    </xf>
    <xf numFmtId="0" fontId="1" fillId="0" borderId="0" xfId="21" applyFont="1" applyFill="1" applyAlignment="1"/>
    <xf numFmtId="165" fontId="1" fillId="0" borderId="0" xfId="21" applyNumberFormat="1" applyFont="1" applyFill="1" applyAlignment="1">
      <alignment horizontal="right" vertical="center"/>
    </xf>
    <xf numFmtId="0" fontId="16" fillId="0" borderId="0" xfId="21" applyFont="1" applyFill="1" applyAlignment="1">
      <alignment vertical="center"/>
    </xf>
    <xf numFmtId="0" fontId="1" fillId="5" borderId="2" xfId="21" applyFont="1" applyFill="1" applyBorder="1"/>
    <xf numFmtId="0" fontId="1" fillId="5" borderId="2" xfId="21" applyFont="1" applyFill="1" applyBorder="1" applyAlignment="1"/>
    <xf numFmtId="0" fontId="21" fillId="5" borderId="2" xfId="33" applyFill="1" applyBorder="1"/>
    <xf numFmtId="0" fontId="23" fillId="5" borderId="2" xfId="33" applyFont="1" applyFill="1" applyBorder="1" applyAlignment="1"/>
    <xf numFmtId="0" fontId="1" fillId="5" borderId="2" xfId="6" applyFont="1" applyFill="1" applyBorder="1" applyAlignment="1">
      <alignment horizontal="left"/>
    </xf>
    <xf numFmtId="166" fontId="1" fillId="5" borderId="2" xfId="21" applyNumberFormat="1" applyFont="1" applyFill="1" applyBorder="1" applyAlignment="1">
      <alignment horizontal="center"/>
    </xf>
    <xf numFmtId="167" fontId="1" fillId="5" borderId="2" xfId="21" applyNumberFormat="1" applyFont="1" applyFill="1" applyBorder="1" applyAlignment="1">
      <alignment horizontal="center"/>
    </xf>
    <xf numFmtId="0" fontId="24" fillId="0" borderId="0" xfId="21" applyFont="1" applyFill="1" applyAlignment="1">
      <alignment vertical="center"/>
    </xf>
    <xf numFmtId="165" fontId="1" fillId="0" borderId="0" xfId="21" applyNumberFormat="1" applyFont="1" applyFill="1" applyAlignment="1">
      <alignment horizontal="center" vertical="center"/>
    </xf>
    <xf numFmtId="167" fontId="1" fillId="0" borderId="0" xfId="21" applyNumberFormat="1" applyFont="1" applyFill="1" applyAlignment="1">
      <alignment horizontal="center" vertical="center"/>
    </xf>
    <xf numFmtId="0" fontId="1" fillId="0" borderId="3" xfId="21" applyFont="1" applyFill="1" applyBorder="1" applyAlignment="1">
      <alignment vertical="center"/>
    </xf>
    <xf numFmtId="0" fontId="24" fillId="0" borderId="3" xfId="21" applyFont="1" applyFill="1" applyBorder="1" applyAlignment="1">
      <alignment vertical="center"/>
    </xf>
    <xf numFmtId="0" fontId="1" fillId="0" borderId="3" xfId="21" applyFont="1" applyFill="1" applyBorder="1" applyAlignment="1"/>
    <xf numFmtId="165" fontId="1" fillId="0" borderId="3" xfId="21" applyNumberFormat="1" applyFont="1" applyFill="1" applyBorder="1" applyAlignment="1">
      <alignment horizontal="center" vertical="center"/>
    </xf>
    <xf numFmtId="167" fontId="1" fillId="0" borderId="3" xfId="21" applyNumberFormat="1" applyFont="1" applyFill="1" applyBorder="1" applyAlignment="1">
      <alignment horizontal="center" vertical="center"/>
    </xf>
    <xf numFmtId="0" fontId="1" fillId="0" borderId="0" xfId="21" applyFont="1" applyFill="1" applyBorder="1" applyAlignment="1">
      <alignment vertical="center"/>
    </xf>
    <xf numFmtId="0" fontId="24" fillId="0" borderId="0" xfId="21" applyFont="1" applyFill="1" applyBorder="1" applyAlignment="1">
      <alignment vertical="center"/>
    </xf>
    <xf numFmtId="0" fontId="1" fillId="0" borderId="0" xfId="21" applyFont="1" applyFill="1" applyBorder="1" applyAlignment="1"/>
    <xf numFmtId="165" fontId="1" fillId="0" borderId="0" xfId="21" applyNumberFormat="1" applyFont="1" applyFill="1" applyBorder="1" applyAlignment="1">
      <alignment horizontal="center" vertical="center"/>
    </xf>
    <xf numFmtId="167" fontId="1" fillId="0" borderId="0" xfId="21" applyNumberFormat="1" applyFont="1" applyFill="1" applyBorder="1" applyAlignment="1">
      <alignment horizontal="center" vertical="center"/>
    </xf>
    <xf numFmtId="0" fontId="22" fillId="0" borderId="0" xfId="21" applyNumberFormat="1" applyFont="1" applyFill="1" applyBorder="1" applyAlignment="1">
      <alignment horizontal="left"/>
    </xf>
    <xf numFmtId="0" fontId="16" fillId="0" borderId="0" xfId="0" applyFont="1" applyFill="1"/>
    <xf numFmtId="0" fontId="0" fillId="0" borderId="0" xfId="0" applyFill="1"/>
    <xf numFmtId="0" fontId="0" fillId="0" borderId="0" xfId="0" applyFill="1" applyAlignment="1"/>
    <xf numFmtId="0" fontId="0" fillId="3" borderId="0" xfId="0" applyFont="1" applyFill="1"/>
    <xf numFmtId="0" fontId="0" fillId="0" borderId="0" xfId="0" applyFont="1" applyFill="1"/>
    <xf numFmtId="0" fontId="0" fillId="3" borderId="0" xfId="0" applyFill="1" applyAlignment="1"/>
    <xf numFmtId="0" fontId="0" fillId="5" borderId="0" xfId="0" applyFont="1" applyFill="1"/>
    <xf numFmtId="0" fontId="21" fillId="0" borderId="0" xfId="33" applyFill="1" applyAlignment="1">
      <alignment horizontal="right"/>
    </xf>
    <xf numFmtId="0" fontId="0" fillId="5" borderId="0" xfId="0" applyFill="1"/>
    <xf numFmtId="0" fontId="0" fillId="5" borderId="0" xfId="0" applyFill="1" applyAlignment="1"/>
    <xf numFmtId="0" fontId="15" fillId="0" borderId="0" xfId="0" applyFont="1"/>
    <xf numFmtId="0" fontId="0" fillId="0" borderId="0" xfId="0" applyAlignment="1"/>
    <xf numFmtId="164" fontId="22" fillId="0" borderId="0" xfId="21" applyNumberFormat="1" applyFont="1" applyAlignment="1">
      <alignment horizontal="left"/>
    </xf>
    <xf numFmtId="20" fontId="22" fillId="0" borderId="0" xfId="21" applyNumberFormat="1" applyFont="1" applyAlignment="1">
      <alignment horizontal="left"/>
    </xf>
    <xf numFmtId="0" fontId="20" fillId="0" borderId="0" xfId="21" applyFont="1" applyAlignment="1">
      <alignment horizontal="center"/>
    </xf>
    <xf numFmtId="0" fontId="16" fillId="11" borderId="0" xfId="14" quotePrefix="1" applyNumberFormat="1" applyFont="1" applyFill="1" applyBorder="1" applyAlignment="1"/>
    <xf numFmtId="0" fontId="16" fillId="11" borderId="0" xfId="14" applyFont="1" applyFill="1" applyBorder="1" applyAlignment="1"/>
    <xf numFmtId="0" fontId="1" fillId="11" borderId="0" xfId="14" applyFont="1" applyFill="1" applyBorder="1" applyAlignment="1"/>
    <xf numFmtId="0" fontId="16" fillId="0" borderId="0" xfId="14" applyFont="1" applyFill="1" applyBorder="1" applyAlignment="1"/>
    <xf numFmtId="0" fontId="1" fillId="0" borderId="0" xfId="14" applyFont="1" applyFill="1" applyBorder="1" applyAlignment="1"/>
    <xf numFmtId="0" fontId="1" fillId="0" borderId="0" xfId="14" applyFont="1" applyBorder="1" applyAlignment="1"/>
    <xf numFmtId="0" fontId="1" fillId="0" borderId="9" xfId="14" applyFont="1" applyFill="1" applyBorder="1" applyAlignment="1"/>
    <xf numFmtId="0" fontId="1" fillId="0" borderId="10" xfId="14" applyFont="1" applyFill="1" applyBorder="1" applyAlignment="1"/>
    <xf numFmtId="0" fontId="16" fillId="0" borderId="11" xfId="14" applyFont="1" applyFill="1" applyBorder="1" applyAlignment="1"/>
    <xf numFmtId="0" fontId="16" fillId="0" borderId="12" xfId="14" applyFont="1" applyFill="1" applyBorder="1" applyAlignment="1"/>
    <xf numFmtId="49" fontId="22" fillId="11" borderId="0" xfId="5" applyNumberFormat="1" applyFont="1" applyFill="1" applyAlignment="1"/>
    <xf numFmtId="0" fontId="20" fillId="0" borderId="0" xfId="22" applyFont="1" applyAlignment="1"/>
    <xf numFmtId="0" fontId="1" fillId="0" borderId="0" xfId="22" applyFont="1" applyBorder="1" applyAlignment="1"/>
    <xf numFmtId="0" fontId="1" fillId="0" borderId="0" xfId="22" applyFont="1" applyAlignment="1"/>
    <xf numFmtId="0" fontId="16" fillId="0" borderId="0" xfId="22" applyFont="1" applyBorder="1" applyAlignment="1"/>
    <xf numFmtId="0" fontId="22" fillId="12" borderId="14" xfId="14" applyFont="1" applyFill="1" applyBorder="1" applyAlignment="1"/>
    <xf numFmtId="0" fontId="1" fillId="0" borderId="15" xfId="14" applyFont="1" applyFill="1" applyBorder="1" applyAlignment="1"/>
    <xf numFmtId="0" fontId="22" fillId="12" borderId="16" xfId="14" applyFont="1" applyFill="1" applyBorder="1" applyAlignment="1"/>
    <xf numFmtId="0" fontId="1" fillId="0" borderId="18" xfId="14" applyFont="1" applyFill="1" applyBorder="1" applyAlignment="1"/>
    <xf numFmtId="0" fontId="16" fillId="5" borderId="20" xfId="14" applyFont="1" applyFill="1" applyBorder="1" applyAlignment="1"/>
    <xf numFmtId="0" fontId="22" fillId="12" borderId="23" xfId="14" applyFont="1" applyFill="1" applyBorder="1" applyAlignment="1"/>
    <xf numFmtId="0" fontId="22" fillId="0" borderId="20" xfId="14" applyFont="1" applyFill="1" applyBorder="1" applyAlignment="1"/>
    <xf numFmtId="0" fontId="16" fillId="0" borderId="20" xfId="14" applyFont="1" applyFill="1" applyBorder="1" applyAlignment="1"/>
    <xf numFmtId="49" fontId="22" fillId="11" borderId="9" xfId="5" applyNumberFormat="1" applyFont="1" applyFill="1" applyBorder="1" applyAlignment="1"/>
    <xf numFmtId="0" fontId="22" fillId="0" borderId="9" xfId="14" applyFont="1" applyFill="1" applyBorder="1" applyAlignment="1"/>
    <xf numFmtId="0" fontId="20" fillId="0" borderId="9" xfId="14" applyFont="1" applyFill="1" applyBorder="1" applyAlignment="1"/>
    <xf numFmtId="0" fontId="22" fillId="0" borderId="9" xfId="14" applyFont="1" applyBorder="1" applyAlignment="1"/>
    <xf numFmtId="0" fontId="16" fillId="0" borderId="9" xfId="14" applyFont="1" applyFill="1" applyBorder="1" applyAlignment="1"/>
    <xf numFmtId="0" fontId="20" fillId="0" borderId="37" xfId="14" applyFont="1" applyFill="1" applyBorder="1" applyAlignment="1"/>
    <xf numFmtId="0" fontId="22" fillId="12" borderId="38" xfId="14" applyFont="1" applyFill="1" applyBorder="1" applyAlignment="1"/>
    <xf numFmtId="0" fontId="20" fillId="0" borderId="39" xfId="14" applyFont="1" applyFill="1" applyBorder="1" applyAlignment="1"/>
    <xf numFmtId="0" fontId="22" fillId="0" borderId="37" xfId="0" applyFont="1" applyFill="1" applyBorder="1" applyAlignment="1"/>
    <xf numFmtId="0" fontId="20" fillId="0" borderId="18" xfId="14" applyFont="1" applyFill="1" applyBorder="1" applyAlignment="1"/>
    <xf numFmtId="0" fontId="22" fillId="0" borderId="25" xfId="14" applyFont="1" applyFill="1" applyBorder="1" applyAlignment="1"/>
    <xf numFmtId="0" fontId="20" fillId="0" borderId="0" xfId="14" applyFont="1" applyFill="1" applyBorder="1" applyAlignment="1"/>
    <xf numFmtId="0" fontId="22" fillId="0" borderId="18" xfId="0" applyFont="1" applyFill="1" applyBorder="1" applyAlignment="1"/>
    <xf numFmtId="0" fontId="22" fillId="0" borderId="0" xfId="0" applyFont="1" applyFill="1" applyBorder="1" applyAlignment="1"/>
    <xf numFmtId="0" fontId="20" fillId="0" borderId="29" xfId="14" applyFont="1" applyFill="1" applyBorder="1" applyAlignment="1"/>
    <xf numFmtId="0" fontId="20" fillId="0" borderId="28" xfId="14" applyFont="1" applyFill="1" applyBorder="1" applyAlignment="1"/>
    <xf numFmtId="0" fontId="22" fillId="0" borderId="28" xfId="14" applyFont="1" applyFill="1" applyBorder="1" applyAlignment="1"/>
    <xf numFmtId="0" fontId="22" fillId="0" borderId="0" xfId="14" applyFont="1" applyFill="1" applyBorder="1" applyAlignment="1"/>
    <xf numFmtId="0" fontId="16" fillId="0" borderId="25" xfId="14" applyFont="1" applyFill="1" applyBorder="1" applyAlignment="1"/>
    <xf numFmtId="0" fontId="0" fillId="0" borderId="0" xfId="0" applyFont="1" applyFill="1" applyBorder="1" applyAlignment="1"/>
    <xf numFmtId="0" fontId="22" fillId="12" borderId="32" xfId="14" applyFont="1" applyFill="1" applyBorder="1" applyAlignment="1"/>
    <xf numFmtId="0" fontId="16" fillId="12" borderId="32" xfId="14" applyFont="1" applyFill="1" applyBorder="1" applyAlignment="1"/>
    <xf numFmtId="0" fontId="20" fillId="0" borderId="42" xfId="14" applyFont="1" applyFill="1" applyBorder="1" applyAlignment="1"/>
    <xf numFmtId="0" fontId="20" fillId="0" borderId="29" xfId="33" applyFont="1" applyFill="1" applyBorder="1" applyAlignment="1"/>
    <xf numFmtId="0" fontId="22" fillId="0" borderId="29" xfId="14" applyFont="1" applyFill="1" applyBorder="1" applyAlignment="1"/>
    <xf numFmtId="0" fontId="16" fillId="12" borderId="27" xfId="22" applyFont="1" applyFill="1" applyBorder="1" applyAlignment="1"/>
    <xf numFmtId="0" fontId="22" fillId="0" borderId="18" xfId="14" applyFont="1" applyFill="1" applyBorder="1" applyAlignment="1"/>
    <xf numFmtId="0" fontId="20" fillId="0" borderId="34" xfId="14" applyFont="1" applyFill="1" applyBorder="1" applyAlignment="1"/>
    <xf numFmtId="0" fontId="20" fillId="0" borderId="25" xfId="14" applyFont="1" applyFill="1" applyBorder="1" applyAlignment="1"/>
    <xf numFmtId="0" fontId="22" fillId="0" borderId="45" xfId="14" applyFont="1" applyFill="1" applyBorder="1" applyAlignment="1"/>
    <xf numFmtId="0" fontId="20" fillId="0" borderId="29" xfId="22" applyFont="1" applyFill="1" applyBorder="1" applyAlignment="1"/>
    <xf numFmtId="0" fontId="22" fillId="12" borderId="27" xfId="22" applyFont="1" applyFill="1" applyBorder="1" applyAlignment="1"/>
    <xf numFmtId="0" fontId="22" fillId="12" borderId="32" xfId="22" applyFont="1" applyFill="1" applyBorder="1" applyAlignment="1"/>
    <xf numFmtId="0" fontId="22" fillId="0" borderId="29" xfId="22" applyFont="1" applyFill="1" applyBorder="1" applyAlignment="1"/>
    <xf numFmtId="0" fontId="22" fillId="12" borderId="43" xfId="22" applyFont="1" applyFill="1" applyBorder="1" applyAlignment="1"/>
    <xf numFmtId="0" fontId="20" fillId="0" borderId="18" xfId="22" applyFont="1" applyFill="1" applyBorder="1" applyAlignment="1"/>
    <xf numFmtId="0" fontId="22" fillId="0" borderId="25" xfId="22" applyFont="1" applyFill="1" applyBorder="1" applyAlignment="1"/>
    <xf numFmtId="0" fontId="22" fillId="0" borderId="0" xfId="22" applyFont="1" applyFill="1" applyBorder="1" applyAlignment="1"/>
    <xf numFmtId="0" fontId="34" fillId="0" borderId="25" xfId="22" applyFont="1" applyFill="1" applyBorder="1" applyAlignment="1"/>
    <xf numFmtId="0" fontId="20" fillId="0" borderId="34" xfId="22" applyFont="1" applyFill="1" applyBorder="1" applyAlignment="1"/>
    <xf numFmtId="0" fontId="22" fillId="0" borderId="35" xfId="22" applyFont="1" applyFill="1" applyBorder="1" applyAlignment="1"/>
    <xf numFmtId="0" fontId="22" fillId="0" borderId="36" xfId="22" applyFont="1" applyFill="1" applyBorder="1" applyAlignment="1"/>
    <xf numFmtId="0" fontId="22" fillId="0" borderId="34" xfId="22" applyFont="1" applyFill="1" applyBorder="1" applyAlignment="1"/>
    <xf numFmtId="0" fontId="22" fillId="0" borderId="44" xfId="22" applyFont="1" applyFill="1" applyBorder="1" applyAlignment="1"/>
    <xf numFmtId="0" fontId="22" fillId="12" borderId="22" xfId="22" applyFont="1" applyFill="1" applyBorder="1" applyAlignment="1"/>
    <xf numFmtId="0" fontId="22" fillId="0" borderId="18" xfId="22" applyFont="1" applyFill="1" applyBorder="1" applyAlignment="1"/>
    <xf numFmtId="0" fontId="16" fillId="0" borderId="25" xfId="22" applyFont="1" applyFill="1" applyBorder="1" applyAlignment="1"/>
    <xf numFmtId="0" fontId="20" fillId="0" borderId="0" xfId="22" applyFont="1" applyFill="1" applyBorder="1" applyAlignment="1"/>
    <xf numFmtId="0" fontId="16" fillId="12" borderId="32" xfId="22" applyFont="1" applyFill="1" applyBorder="1" applyAlignment="1"/>
    <xf numFmtId="0" fontId="16" fillId="0" borderId="0" xfId="22" applyFont="1" applyFill="1" applyBorder="1" applyAlignment="1"/>
    <xf numFmtId="0" fontId="22" fillId="11" borderId="0" xfId="22" applyFont="1" applyFill="1" applyBorder="1" applyAlignment="1"/>
    <xf numFmtId="0" fontId="1" fillId="0" borderId="0" xfId="22" applyFont="1" applyFill="1" applyBorder="1" applyAlignment="1"/>
    <xf numFmtId="0" fontId="0" fillId="0" borderId="0" xfId="0" applyFont="1" applyFill="1" applyAlignment="1"/>
    <xf numFmtId="0" fontId="0" fillId="5" borderId="0" xfId="0" applyFont="1" applyFill="1" applyAlignment="1"/>
    <xf numFmtId="0" fontId="0" fillId="0" borderId="0" xfId="0" applyFont="1" applyAlignment="1"/>
    <xf numFmtId="0" fontId="36" fillId="0" borderId="0" xfId="0" applyFont="1" applyAlignment="1"/>
    <xf numFmtId="0" fontId="30" fillId="0" borderId="0" xfId="0" applyFont="1" applyAlignment="1">
      <alignment horizontal="right"/>
    </xf>
    <xf numFmtId="164" fontId="22" fillId="0" borderId="0" xfId="19" applyNumberFormat="1" applyFont="1" applyAlignment="1">
      <alignment horizontal="left"/>
    </xf>
    <xf numFmtId="20" fontId="22" fillId="0" borderId="0" xfId="19" applyNumberFormat="1" applyFont="1" applyAlignment="1">
      <alignment horizontal="left"/>
    </xf>
    <xf numFmtId="0" fontId="20" fillId="0" borderId="0" xfId="19" applyFont="1" applyAlignment="1"/>
    <xf numFmtId="0" fontId="20" fillId="0" borderId="0" xfId="19" applyFont="1" applyAlignment="1">
      <alignment horizontal="center"/>
    </xf>
    <xf numFmtId="165" fontId="20" fillId="0" borderId="0" xfId="19" applyNumberFormat="1" applyFont="1" applyAlignment="1">
      <alignment horizontal="right"/>
    </xf>
    <xf numFmtId="0" fontId="0" fillId="0" borderId="0" xfId="0" applyFont="1"/>
    <xf numFmtId="0" fontId="16" fillId="4" borderId="0" xfId="0" applyFont="1" applyFill="1"/>
    <xf numFmtId="0" fontId="16" fillId="3" borderId="0" xfId="8" applyFont="1" applyFill="1" applyAlignment="1"/>
    <xf numFmtId="0" fontId="1" fillId="4" borderId="0" xfId="8" applyFont="1" applyFill="1" applyAlignment="1"/>
    <xf numFmtId="0" fontId="1" fillId="16" borderId="0" xfId="8" applyFont="1" applyFill="1" applyAlignment="1"/>
    <xf numFmtId="0" fontId="1" fillId="0" borderId="0" xfId="8" applyFont="1" applyFill="1" applyAlignment="1"/>
    <xf numFmtId="0" fontId="1" fillId="4" borderId="0" xfId="8" applyFont="1" applyFill="1" applyAlignment="1">
      <alignment horizontal="center"/>
    </xf>
    <xf numFmtId="0" fontId="1" fillId="0" borderId="0" xfId="8" applyFont="1" applyFill="1" applyAlignment="1">
      <alignment horizontal="center"/>
    </xf>
    <xf numFmtId="0" fontId="18" fillId="0" borderId="0" xfId="25" applyFont="1" applyBorder="1" applyAlignment="1"/>
    <xf numFmtId="0" fontId="1" fillId="4" borderId="0" xfId="25" applyFont="1" applyFill="1" applyAlignment="1"/>
    <xf numFmtId="0" fontId="16" fillId="4" borderId="0" xfId="25" applyFont="1" applyFill="1" applyAlignment="1"/>
    <xf numFmtId="0" fontId="1" fillId="0" borderId="0" xfId="25" applyFont="1" applyAlignment="1"/>
    <xf numFmtId="0" fontId="15" fillId="4" borderId="0" xfId="8" applyFont="1" applyFill="1" applyAlignment="1">
      <alignment horizontal="right"/>
    </xf>
    <xf numFmtId="0" fontId="16" fillId="0" borderId="0" xfId="8" applyFont="1" applyFill="1" applyAlignment="1"/>
    <xf numFmtId="0" fontId="33" fillId="0" borderId="0" xfId="14" applyNumberFormat="1" applyFont="1" applyFill="1" applyBorder="1" applyAlignment="1"/>
    <xf numFmtId="0" fontId="16" fillId="0" borderId="0" xfId="25" applyFont="1" applyAlignment="1"/>
    <xf numFmtId="0" fontId="1" fillId="0" borderId="0" xfId="25" applyFont="1" applyFill="1" applyAlignment="1"/>
    <xf numFmtId="0" fontId="25" fillId="13" borderId="0" xfId="8" applyFont="1" applyFill="1" applyAlignment="1">
      <alignment horizontal="center"/>
    </xf>
    <xf numFmtId="0" fontId="0" fillId="17" borderId="0" xfId="8" applyFont="1" applyFill="1" applyAlignment="1"/>
    <xf numFmtId="0" fontId="1" fillId="17" borderId="0" xfId="8" applyFont="1" applyFill="1" applyAlignment="1"/>
    <xf numFmtId="0" fontId="39" fillId="0" borderId="2" xfId="8" applyFont="1" applyBorder="1" applyAlignment="1">
      <alignment vertical="top" wrapText="1"/>
    </xf>
    <xf numFmtId="0" fontId="1" fillId="0" borderId="2" xfId="6" applyFont="1" applyFill="1" applyBorder="1" applyAlignment="1">
      <alignment wrapText="1"/>
    </xf>
    <xf numFmtId="0" fontId="1" fillId="3" borderId="2" xfId="6" applyFont="1" applyFill="1" applyBorder="1" applyAlignment="1">
      <alignment wrapText="1"/>
    </xf>
    <xf numFmtId="0" fontId="1" fillId="7" borderId="2" xfId="6" applyFont="1" applyFill="1" applyBorder="1" applyAlignment="1">
      <alignment wrapText="1"/>
    </xf>
    <xf numFmtId="0" fontId="1" fillId="5" borderId="2" xfId="2" applyNumberFormat="1" applyFont="1" applyFill="1" applyBorder="1" applyAlignment="1" applyProtection="1">
      <alignment horizontal="center" vertical="top" textRotation="90"/>
    </xf>
    <xf numFmtId="0" fontId="1" fillId="5" borderId="2" xfId="2" applyNumberFormat="1" applyFont="1" applyFill="1" applyBorder="1" applyAlignment="1" applyProtection="1">
      <alignment textRotation="90"/>
    </xf>
    <xf numFmtId="0" fontId="40" fillId="5" borderId="50" xfId="2" applyNumberFormat="1" applyFont="1" applyFill="1" applyBorder="1" applyAlignment="1" applyProtection="1"/>
    <xf numFmtId="0" fontId="16" fillId="4" borderId="2" xfId="8" applyFont="1" applyFill="1" applyBorder="1" applyAlignment="1">
      <alignment horizontal="right"/>
    </xf>
    <xf numFmtId="0" fontId="0" fillId="0" borderId="2" xfId="8" applyFont="1" applyBorder="1" applyAlignment="1">
      <alignment horizontal="center"/>
    </xf>
    <xf numFmtId="0" fontId="16" fillId="0" borderId="2" xfId="8" applyFont="1" applyFill="1" applyBorder="1" applyAlignment="1">
      <alignment horizontal="center"/>
    </xf>
    <xf numFmtId="0" fontId="27" fillId="0" borderId="2" xfId="17" applyFont="1" applyFill="1" applyBorder="1" applyAlignment="1">
      <alignment horizontal="center"/>
    </xf>
    <xf numFmtId="0" fontId="41" fillId="0" borderId="2" xfId="17" applyFont="1" applyFill="1" applyBorder="1" applyAlignment="1"/>
    <xf numFmtId="0" fontId="1" fillId="3" borderId="2" xfId="6" applyFont="1" applyFill="1" applyBorder="1" applyAlignment="1">
      <alignment horizontal="center"/>
    </xf>
    <xf numFmtId="0" fontId="1" fillId="0" borderId="2" xfId="6" applyFont="1" applyFill="1" applyBorder="1" applyAlignment="1">
      <alignment horizontal="center"/>
    </xf>
    <xf numFmtId="0" fontId="1" fillId="7" borderId="2" xfId="6" applyFont="1" applyFill="1" applyBorder="1" applyAlignment="1">
      <alignment horizontal="center"/>
    </xf>
    <xf numFmtId="0" fontId="37" fillId="5" borderId="2" xfId="25" applyFont="1" applyFill="1" applyBorder="1" applyAlignment="1">
      <alignment horizontal="center"/>
    </xf>
    <xf numFmtId="0" fontId="21" fillId="5" borderId="2" xfId="33" applyFont="1" applyFill="1" applyBorder="1" applyAlignment="1">
      <alignment horizontal="center"/>
    </xf>
    <xf numFmtId="0" fontId="1" fillId="5" borderId="52" xfId="2" applyNumberFormat="1" applyFont="1" applyFill="1" applyBorder="1" applyAlignment="1">
      <alignment horizontal="center"/>
    </xf>
    <xf numFmtId="0" fontId="42" fillId="0" borderId="2" xfId="8" applyFont="1" applyFill="1" applyBorder="1" applyAlignment="1"/>
    <xf numFmtId="0" fontId="43" fillId="0" borderId="2" xfId="8" applyFont="1" applyBorder="1" applyAlignment="1"/>
    <xf numFmtId="0" fontId="44" fillId="0" borderId="2" xfId="8" applyFont="1" applyBorder="1" applyAlignment="1">
      <alignment horizontal="center"/>
    </xf>
    <xf numFmtId="0" fontId="45" fillId="0" borderId="2" xfId="8" applyFont="1" applyBorder="1" applyAlignment="1">
      <alignment horizontal="center"/>
    </xf>
    <xf numFmtId="0" fontId="46" fillId="0" borderId="2" xfId="8" applyFont="1" applyBorder="1" applyAlignment="1">
      <alignment horizontal="center"/>
    </xf>
    <xf numFmtId="0" fontId="16" fillId="4" borderId="2" xfId="8" applyFont="1" applyFill="1" applyBorder="1" applyAlignment="1"/>
    <xf numFmtId="0" fontId="16" fillId="0" borderId="2" xfId="8" applyFont="1" applyBorder="1" applyAlignment="1">
      <alignment horizontal="center"/>
    </xf>
    <xf numFmtId="0" fontId="47" fillId="0" borderId="2" xfId="17" applyFont="1" applyFill="1" applyBorder="1" applyAlignment="1">
      <alignment horizontal="center"/>
    </xf>
    <xf numFmtId="0" fontId="44" fillId="0" borderId="2" xfId="17" applyFont="1" applyFill="1" applyBorder="1" applyAlignment="1">
      <alignment horizontal="center"/>
    </xf>
    <xf numFmtId="0" fontId="46" fillId="5" borderId="2" xfId="17" applyFont="1" applyFill="1" applyBorder="1" applyAlignment="1">
      <alignment horizontal="center"/>
    </xf>
    <xf numFmtId="0" fontId="48" fillId="0" borderId="2" xfId="8" applyFont="1" applyFill="1" applyBorder="1" applyAlignment="1">
      <alignment horizontal="center"/>
    </xf>
    <xf numFmtId="0" fontId="18" fillId="0" borderId="2" xfId="8" applyFont="1" applyFill="1" applyBorder="1" applyAlignment="1">
      <alignment horizontal="center"/>
    </xf>
    <xf numFmtId="0" fontId="16" fillId="4" borderId="2" xfId="8" applyFont="1" applyFill="1" applyBorder="1" applyAlignment="1">
      <alignment horizontal="center"/>
    </xf>
    <xf numFmtId="0" fontId="43" fillId="0" borderId="2" xfId="6" applyFont="1" applyFill="1" applyBorder="1" applyAlignment="1">
      <alignment horizontal="center"/>
    </xf>
    <xf numFmtId="0" fontId="43" fillId="0" borderId="2" xfId="12" applyFont="1" applyFill="1" applyBorder="1" applyAlignment="1">
      <alignment horizontal="center"/>
    </xf>
    <xf numFmtId="0" fontId="21" fillId="5" borderId="2" xfId="33" applyFill="1" applyBorder="1" applyAlignment="1">
      <alignment horizontal="center"/>
    </xf>
    <xf numFmtId="0" fontId="49" fillId="5" borderId="2" xfId="25" applyFont="1" applyFill="1" applyBorder="1" applyAlignment="1">
      <alignment horizontal="center"/>
    </xf>
    <xf numFmtId="0" fontId="16" fillId="5" borderId="53" xfId="25" applyFont="1" applyFill="1" applyBorder="1" applyAlignment="1">
      <alignment horizontal="center"/>
    </xf>
    <xf numFmtId="0" fontId="21" fillId="5" borderId="51" xfId="33" applyFill="1" applyBorder="1" applyAlignment="1">
      <alignment horizontal="center"/>
    </xf>
    <xf numFmtId="0" fontId="18" fillId="0" borderId="2" xfId="8" applyFont="1" applyFill="1" applyBorder="1" applyAlignment="1"/>
    <xf numFmtId="0" fontId="43" fillId="0" borderId="2" xfId="8" applyFont="1" applyFill="1" applyBorder="1" applyAlignment="1"/>
    <xf numFmtId="0" fontId="44" fillId="0" borderId="2" xfId="8" applyFont="1" applyFill="1" applyBorder="1" applyAlignment="1"/>
    <xf numFmtId="0" fontId="45" fillId="0" borderId="2" xfId="8" applyFont="1" applyFill="1" applyBorder="1" applyAlignment="1"/>
    <xf numFmtId="0" fontId="46" fillId="0" borderId="2" xfId="8" applyFont="1" applyFill="1" applyBorder="1" applyAlignment="1"/>
    <xf numFmtId="0" fontId="43" fillId="0" borderId="2" xfId="8" applyFont="1" applyFill="1" applyBorder="1" applyAlignment="1">
      <alignment horizontal="right"/>
    </xf>
    <xf numFmtId="0" fontId="0" fillId="0" borderId="2" xfId="14" applyFont="1" applyFill="1" applyBorder="1" applyAlignment="1"/>
    <xf numFmtId="0" fontId="47" fillId="0" borderId="2" xfId="16" applyFont="1" applyFill="1" applyBorder="1" applyAlignment="1">
      <alignment horizontal="center"/>
    </xf>
    <xf numFmtId="0" fontId="44" fillId="0" borderId="2" xfId="16" applyFont="1" applyFill="1" applyBorder="1" applyAlignment="1">
      <alignment horizontal="center"/>
    </xf>
    <xf numFmtId="0" fontId="1" fillId="5" borderId="2" xfId="16" applyFont="1" applyFill="1" applyBorder="1" applyAlignment="1">
      <alignment horizontal="center"/>
    </xf>
    <xf numFmtId="0" fontId="48" fillId="0" borderId="2" xfId="16" applyFont="1" applyFill="1" applyBorder="1" applyAlignment="1">
      <alignment horizontal="center"/>
    </xf>
    <xf numFmtId="0" fontId="18" fillId="0" borderId="2" xfId="16" applyFont="1" applyFill="1" applyBorder="1" applyAlignment="1">
      <alignment horizontal="center"/>
    </xf>
    <xf numFmtId="0" fontId="16" fillId="4" borderId="2" xfId="8" applyNumberFormat="1" applyFont="1" applyFill="1" applyBorder="1" applyAlignment="1">
      <alignment horizontal="center"/>
    </xf>
    <xf numFmtId="0" fontId="43" fillId="0" borderId="2" xfId="16" applyFont="1" applyFill="1" applyBorder="1" applyAlignment="1">
      <alignment horizontal="center"/>
    </xf>
    <xf numFmtId="0" fontId="43" fillId="7" borderId="2" xfId="16" applyFont="1" applyFill="1" applyBorder="1" applyAlignment="1">
      <alignment horizontal="center"/>
    </xf>
    <xf numFmtId="0" fontId="1" fillId="0" borderId="2" xfId="25" applyFont="1" applyFill="1" applyBorder="1" applyAlignment="1">
      <alignment horizontal="center"/>
    </xf>
    <xf numFmtId="0" fontId="50" fillId="0" borderId="2" xfId="8" applyFont="1" applyFill="1" applyBorder="1" applyAlignment="1">
      <alignment horizontal="center"/>
    </xf>
    <xf numFmtId="0" fontId="1" fillId="0" borderId="50" xfId="8" applyFont="1" applyFill="1" applyBorder="1" applyAlignment="1">
      <alignment horizontal="center"/>
    </xf>
    <xf numFmtId="168" fontId="47" fillId="0" borderId="51" xfId="8" applyNumberFormat="1" applyFont="1" applyFill="1" applyBorder="1" applyAlignment="1">
      <alignment horizontal="center"/>
    </xf>
    <xf numFmtId="167" fontId="1" fillId="0" borderId="0" xfId="8" applyNumberFormat="1" applyFont="1" applyFill="1" applyBorder="1" applyAlignment="1">
      <alignment horizontal="center"/>
    </xf>
    <xf numFmtId="167" fontId="1" fillId="0" borderId="0" xfId="8" applyNumberFormat="1" applyFont="1" applyFill="1" applyAlignment="1">
      <alignment horizontal="center"/>
    </xf>
    <xf numFmtId="0" fontId="51" fillId="0" borderId="0" xfId="8" applyNumberFormat="1" applyFont="1" applyFill="1" applyAlignment="1"/>
    <xf numFmtId="0" fontId="50" fillId="0" borderId="0" xfId="8" applyNumberFormat="1" applyFont="1" applyFill="1" applyAlignment="1"/>
    <xf numFmtId="16" fontId="1" fillId="0" borderId="0" xfId="8" applyNumberFormat="1" applyFont="1" applyFill="1" applyAlignment="1"/>
    <xf numFmtId="0" fontId="0" fillId="0" borderId="2" xfId="8" applyFont="1" applyFill="1" applyBorder="1" applyAlignment="1"/>
    <xf numFmtId="0" fontId="1" fillId="0" borderId="0" xfId="8" applyFont="1" applyFill="1" applyBorder="1" applyAlignment="1"/>
    <xf numFmtId="0" fontId="1" fillId="0" borderId="2" xfId="8" applyFont="1" applyFill="1" applyBorder="1" applyAlignment="1"/>
    <xf numFmtId="0" fontId="16" fillId="4" borderId="5" xfId="8" applyFont="1" applyFill="1" applyBorder="1" applyAlignment="1">
      <alignment horizontal="right"/>
    </xf>
    <xf numFmtId="0" fontId="47" fillId="0" borderId="5" xfId="16" applyFont="1" applyFill="1" applyBorder="1" applyAlignment="1">
      <alignment horizontal="center"/>
    </xf>
    <xf numFmtId="0" fontId="44" fillId="0" borderId="5" xfId="16" applyFont="1" applyFill="1" applyBorder="1" applyAlignment="1">
      <alignment horizontal="center"/>
    </xf>
    <xf numFmtId="0" fontId="48" fillId="0" borderId="5" xfId="16" applyFont="1" applyFill="1" applyBorder="1" applyAlignment="1">
      <alignment horizontal="center"/>
    </xf>
    <xf numFmtId="0" fontId="18" fillId="0" borderId="5" xfId="16" applyFont="1" applyFill="1" applyBorder="1" applyAlignment="1">
      <alignment horizontal="center"/>
    </xf>
    <xf numFmtId="0" fontId="43" fillId="0" borderId="5" xfId="16" applyFont="1" applyFill="1" applyBorder="1" applyAlignment="1">
      <alignment horizontal="center"/>
    </xf>
    <xf numFmtId="0" fontId="43" fillId="7" borderId="5" xfId="16" applyFont="1" applyFill="1" applyBorder="1" applyAlignment="1">
      <alignment horizontal="center"/>
    </xf>
    <xf numFmtId="0" fontId="1" fillId="0" borderId="2" xfId="14" applyFont="1" applyFill="1" applyBorder="1" applyAlignment="1"/>
    <xf numFmtId="0" fontId="16" fillId="4" borderId="4" xfId="8" applyFont="1" applyFill="1" applyBorder="1" applyAlignment="1">
      <alignment horizontal="right"/>
    </xf>
    <xf numFmtId="0" fontId="47" fillId="0" borderId="4" xfId="16" applyFont="1" applyFill="1" applyBorder="1" applyAlignment="1">
      <alignment horizontal="center"/>
    </xf>
    <xf numFmtId="0" fontId="44" fillId="0" borderId="4" xfId="16" applyFont="1" applyFill="1" applyBorder="1" applyAlignment="1">
      <alignment horizontal="center"/>
    </xf>
    <xf numFmtId="0" fontId="1" fillId="5" borderId="4" xfId="16" applyFont="1" applyFill="1" applyBorder="1" applyAlignment="1">
      <alignment horizontal="center"/>
    </xf>
    <xf numFmtId="0" fontId="48" fillId="0" borderId="4" xfId="16" applyFont="1" applyFill="1" applyBorder="1" applyAlignment="1">
      <alignment horizontal="center"/>
    </xf>
    <xf numFmtId="0" fontId="43" fillId="0" borderId="4" xfId="16" applyFont="1" applyFill="1" applyBorder="1" applyAlignment="1">
      <alignment horizontal="center"/>
    </xf>
    <xf numFmtId="0" fontId="43" fillId="7" borderId="4" xfId="16" applyFont="1" applyFill="1" applyBorder="1" applyAlignment="1">
      <alignment horizontal="center"/>
    </xf>
    <xf numFmtId="0" fontId="0" fillId="5" borderId="2" xfId="16" applyFont="1" applyFill="1" applyBorder="1" applyAlignment="1">
      <alignment horizontal="center"/>
    </xf>
    <xf numFmtId="0" fontId="18" fillId="4" borderId="0" xfId="8" applyFont="1" applyFill="1" applyAlignment="1"/>
    <xf numFmtId="0" fontId="16" fillId="4" borderId="0" xfId="8" applyFont="1" applyFill="1" applyAlignment="1"/>
    <xf numFmtId="0" fontId="48" fillId="4" borderId="0" xfId="8" applyFont="1" applyFill="1" applyAlignment="1"/>
    <xf numFmtId="0" fontId="44" fillId="4" borderId="0" xfId="8" applyFont="1" applyFill="1" applyAlignment="1"/>
    <xf numFmtId="0" fontId="47" fillId="4" borderId="0" xfId="8" applyFont="1" applyFill="1" applyAlignment="1"/>
    <xf numFmtId="0" fontId="46" fillId="4" borderId="0" xfId="8" applyFont="1" applyFill="1" applyAlignment="1"/>
    <xf numFmtId="0" fontId="1" fillId="4" borderId="0" xfId="8" applyFont="1" applyFill="1" applyAlignment="1">
      <alignment horizontal="right"/>
    </xf>
    <xf numFmtId="0" fontId="16" fillId="4" borderId="0" xfId="8" applyFont="1" applyFill="1" applyAlignment="1">
      <alignment horizontal="center"/>
    </xf>
    <xf numFmtId="167" fontId="1" fillId="4" borderId="0" xfId="8" applyNumberFormat="1" applyFont="1" applyFill="1" applyAlignment="1">
      <alignment horizontal="center"/>
    </xf>
    <xf numFmtId="167" fontId="38" fillId="4" borderId="54" xfId="8" applyNumberFormat="1" applyFont="1" applyFill="1" applyBorder="1" applyAlignment="1">
      <alignment horizontal="center"/>
    </xf>
    <xf numFmtId="167" fontId="1" fillId="4" borderId="0" xfId="8" applyNumberFormat="1" applyFont="1" applyFill="1" applyAlignment="1"/>
    <xf numFmtId="1" fontId="1" fillId="4" borderId="0" xfId="8" applyNumberFormat="1" applyFont="1" applyFill="1" applyAlignment="1">
      <alignment horizontal="center"/>
    </xf>
    <xf numFmtId="1" fontId="38" fillId="4" borderId="0" xfId="8" applyNumberFormat="1" applyFont="1" applyFill="1" applyBorder="1" applyAlignment="1">
      <alignment horizontal="center"/>
    </xf>
    <xf numFmtId="0" fontId="16" fillId="0" borderId="0" xfId="8" applyFont="1" applyFill="1" applyAlignment="1">
      <alignment horizontal="center"/>
    </xf>
    <xf numFmtId="0" fontId="0" fillId="4" borderId="50" xfId="8" applyFont="1" applyFill="1" applyBorder="1" applyAlignment="1">
      <alignment horizontal="center"/>
    </xf>
    <xf numFmtId="0" fontId="1" fillId="4" borderId="55" xfId="8" applyFont="1" applyFill="1" applyBorder="1" applyAlignment="1">
      <alignment horizontal="center"/>
    </xf>
    <xf numFmtId="0" fontId="0" fillId="4" borderId="55" xfId="8" applyFont="1" applyFill="1" applyBorder="1" applyAlignment="1">
      <alignment horizontal="center"/>
    </xf>
    <xf numFmtId="0" fontId="16" fillId="0" borderId="0" xfId="22" applyFont="1"/>
    <xf numFmtId="0" fontId="1" fillId="0" borderId="0" xfId="22" applyFont="1"/>
    <xf numFmtId="0" fontId="33" fillId="0" borderId="0" xfId="14" applyFont="1" applyAlignment="1">
      <alignment horizontal="right"/>
    </xf>
    <xf numFmtId="0" fontId="1" fillId="0" borderId="0" xfId="14" applyFont="1"/>
    <xf numFmtId="0" fontId="16" fillId="5" borderId="57" xfId="14" applyFont="1" applyFill="1" applyBorder="1" applyAlignment="1">
      <alignment horizontal="center"/>
    </xf>
    <xf numFmtId="0" fontId="16" fillId="0" borderId="57" xfId="14" applyFont="1" applyBorder="1" applyAlignment="1">
      <alignment horizontal="center"/>
    </xf>
    <xf numFmtId="0" fontId="16" fillId="0" borderId="57" xfId="22" applyFont="1" applyBorder="1" applyAlignment="1">
      <alignment horizontal="center"/>
    </xf>
    <xf numFmtId="0" fontId="16" fillId="0" borderId="58" xfId="22" applyFont="1" applyFill="1" applyBorder="1" applyAlignment="1">
      <alignment horizontal="center"/>
    </xf>
    <xf numFmtId="0" fontId="16" fillId="0" borderId="58" xfId="22" applyFont="1" applyBorder="1" applyAlignment="1">
      <alignment horizontal="center"/>
    </xf>
    <xf numFmtId="0" fontId="16" fillId="0" borderId="0" xfId="14" applyFont="1" applyFill="1" applyAlignment="1">
      <alignment horizontal="center"/>
    </xf>
    <xf numFmtId="0" fontId="1" fillId="18" borderId="58" xfId="22" applyFont="1" applyFill="1" applyBorder="1" applyAlignment="1">
      <alignment horizontal="center"/>
    </xf>
    <xf numFmtId="0" fontId="1" fillId="0" borderId="58" xfId="22" applyFont="1" applyFill="1" applyBorder="1" applyAlignment="1">
      <alignment horizontal="center"/>
    </xf>
    <xf numFmtId="0" fontId="1" fillId="0" borderId="58" xfId="22" applyFont="1" applyBorder="1" applyAlignment="1">
      <alignment horizontal="center"/>
    </xf>
    <xf numFmtId="0" fontId="4" fillId="0" borderId="58" xfId="22" applyFont="1" applyFill="1" applyBorder="1" applyAlignment="1">
      <alignment horizontal="center"/>
    </xf>
    <xf numFmtId="0" fontId="0" fillId="0" borderId="58" xfId="22" applyNumberFormat="1" applyFont="1" applyFill="1" applyBorder="1" applyAlignment="1">
      <alignment horizontal="center"/>
    </xf>
    <xf numFmtId="49" fontId="1" fillId="0" borderId="0" xfId="22" applyNumberFormat="1" applyFont="1" applyBorder="1" applyAlignment="1">
      <alignment horizontal="center"/>
    </xf>
    <xf numFmtId="0" fontId="0" fillId="0" borderId="0" xfId="22" applyFont="1" applyBorder="1"/>
    <xf numFmtId="0" fontId="1" fillId="0" borderId="0" xfId="22" applyFont="1" applyFill="1" applyBorder="1" applyAlignment="1">
      <alignment horizontal="center"/>
    </xf>
    <xf numFmtId="0" fontId="31" fillId="0" borderId="0" xfId="22" applyFont="1" applyBorder="1"/>
    <xf numFmtId="0" fontId="1" fillId="0" borderId="0" xfId="22" applyFont="1" applyBorder="1"/>
    <xf numFmtId="0" fontId="1" fillId="0" borderId="0" xfId="22" applyFont="1" applyBorder="1" applyAlignment="1">
      <alignment horizontal="center"/>
    </xf>
    <xf numFmtId="0" fontId="0" fillId="0" borderId="0" xfId="22" applyFont="1" applyFill="1"/>
    <xf numFmtId="0" fontId="16" fillId="0" borderId="9" xfId="22" applyFont="1" applyBorder="1"/>
    <xf numFmtId="0" fontId="1" fillId="0" borderId="0" xfId="14" applyFont="1" applyFill="1"/>
    <xf numFmtId="0" fontId="1" fillId="0" borderId="0" xfId="22" applyFont="1" applyFill="1"/>
    <xf numFmtId="0" fontId="43" fillId="0" borderId="0" xfId="22" applyFont="1" applyFill="1" applyBorder="1" applyAlignment="1">
      <alignment horizontal="center"/>
    </xf>
    <xf numFmtId="167" fontId="1" fillId="0" borderId="0" xfId="14" applyNumberFormat="1" applyFont="1" applyFill="1" applyAlignment="1">
      <alignment horizontal="center"/>
    </xf>
    <xf numFmtId="167" fontId="1" fillId="0" borderId="0" xfId="32" applyNumberFormat="1" applyFont="1" applyFill="1" applyAlignment="1">
      <alignment horizontal="center"/>
    </xf>
    <xf numFmtId="0" fontId="16" fillId="0" borderId="0" xfId="22" applyFont="1" applyBorder="1"/>
    <xf numFmtId="0" fontId="17" fillId="0" borderId="0" xfId="22" applyFont="1" applyFill="1" applyAlignment="1"/>
    <xf numFmtId="0" fontId="16" fillId="0" borderId="0" xfId="22" quotePrefix="1" applyFont="1" applyFill="1" applyAlignment="1">
      <alignment horizontal="center"/>
    </xf>
    <xf numFmtId="0" fontId="1" fillId="0" borderId="0" xfId="22" applyFont="1" applyFill="1" applyAlignment="1"/>
    <xf numFmtId="0" fontId="16" fillId="0" borderId="0" xfId="22" applyFont="1" applyFill="1" applyBorder="1" applyAlignment="1">
      <alignment horizontal="right"/>
    </xf>
    <xf numFmtId="0" fontId="1" fillId="0" borderId="0" xfId="22" applyFont="1" applyAlignment="1">
      <alignment horizontal="left"/>
    </xf>
    <xf numFmtId="0" fontId="16" fillId="0" borderId="0" xfId="22" applyFont="1" applyAlignment="1">
      <alignment horizontal="right"/>
    </xf>
    <xf numFmtId="0" fontId="0" fillId="0" borderId="59" xfId="22" applyFont="1" applyBorder="1"/>
    <xf numFmtId="0" fontId="1" fillId="0" borderId="60" xfId="22" applyFont="1" applyBorder="1" applyAlignment="1">
      <alignment horizontal="left"/>
    </xf>
    <xf numFmtId="0" fontId="1" fillId="0" borderId="61" xfId="22" applyFont="1" applyBorder="1"/>
    <xf numFmtId="0" fontId="1" fillId="0" borderId="62" xfId="22" applyFont="1" applyBorder="1"/>
    <xf numFmtId="0" fontId="1" fillId="0" borderId="63" xfId="22" applyFont="1" applyBorder="1"/>
    <xf numFmtId="0" fontId="1" fillId="0" borderId="0" xfId="22" applyFont="1" applyBorder="1" applyAlignment="1">
      <alignment horizontal="left"/>
    </xf>
    <xf numFmtId="0" fontId="1" fillId="0" borderId="61" xfId="22" applyFont="1" applyBorder="1" applyAlignment="1">
      <alignment horizontal="left"/>
    </xf>
    <xf numFmtId="0" fontId="1" fillId="0" borderId="63" xfId="22" applyFont="1" applyBorder="1" applyAlignment="1">
      <alignment horizontal="left"/>
    </xf>
    <xf numFmtId="0" fontId="16" fillId="0" borderId="58" xfId="22" applyFont="1" applyBorder="1" applyAlignment="1"/>
    <xf numFmtId="0" fontId="1" fillId="0" borderId="0" xfId="14" applyFont="1" applyFill="1" applyAlignment="1"/>
    <xf numFmtId="0" fontId="0" fillId="0" borderId="58" xfId="22" applyFont="1" applyBorder="1" applyAlignment="1"/>
    <xf numFmtId="0" fontId="0" fillId="0" borderId="64" xfId="22" applyFont="1" applyBorder="1"/>
    <xf numFmtId="0" fontId="21" fillId="5" borderId="5" xfId="33" applyFill="1" applyBorder="1"/>
    <xf numFmtId="0" fontId="16" fillId="0" borderId="58" xfId="22" applyFont="1" applyBorder="1" applyAlignment="1">
      <alignment vertical="center"/>
    </xf>
    <xf numFmtId="0" fontId="0" fillId="0" borderId="58" xfId="22" applyNumberFormat="1" applyFont="1" applyFill="1" applyBorder="1" applyAlignment="1">
      <alignment horizontal="center" vertical="center"/>
    </xf>
    <xf numFmtId="0" fontId="1" fillId="0" borderId="58" xfId="22" applyFont="1" applyFill="1" applyBorder="1" applyAlignment="1">
      <alignment horizontal="center" vertical="center"/>
    </xf>
    <xf numFmtId="0" fontId="1" fillId="18" borderId="58" xfId="22" applyFont="1" applyFill="1" applyBorder="1" applyAlignment="1">
      <alignment horizontal="center" vertical="center"/>
    </xf>
    <xf numFmtId="0" fontId="43" fillId="0" borderId="0" xfId="22" applyFont="1" applyFill="1" applyBorder="1" applyAlignment="1">
      <alignment horizontal="center" vertical="center" wrapText="1"/>
    </xf>
    <xf numFmtId="1" fontId="43" fillId="0" borderId="0" xfId="22" applyNumberFormat="1" applyFont="1" applyFill="1" applyBorder="1" applyAlignment="1">
      <alignment horizontal="center" vertical="center" wrapText="1"/>
    </xf>
    <xf numFmtId="0" fontId="1" fillId="0" borderId="0" xfId="22" applyFont="1" applyBorder="1" applyAlignment="1">
      <alignment horizontal="right"/>
    </xf>
    <xf numFmtId="49" fontId="1" fillId="0" borderId="0" xfId="22" applyNumberFormat="1" applyFont="1" applyFill="1" applyBorder="1" applyAlignment="1">
      <alignment horizontal="center"/>
    </xf>
    <xf numFmtId="0" fontId="0" fillId="0" borderId="58" xfId="14" applyFont="1" applyFill="1" applyBorder="1" applyAlignment="1">
      <alignment vertical="center"/>
    </xf>
    <xf numFmtId="0" fontId="18" fillId="0" borderId="0" xfId="22" applyFont="1" applyAlignment="1"/>
    <xf numFmtId="0" fontId="16" fillId="0" borderId="0" xfId="22" applyFont="1" applyAlignment="1"/>
    <xf numFmtId="0" fontId="1" fillId="0" borderId="0" xfId="14" applyFont="1" applyAlignment="1"/>
    <xf numFmtId="0" fontId="0" fillId="0" borderId="58" xfId="0" applyBorder="1" applyAlignment="1"/>
    <xf numFmtId="0" fontId="1" fillId="0" borderId="0" xfId="32" applyFont="1" applyAlignment="1"/>
    <xf numFmtId="0" fontId="0" fillId="0" borderId="0" xfId="22" applyFont="1" applyBorder="1" applyAlignment="1"/>
    <xf numFmtId="0" fontId="31" fillId="0" borderId="0" xfId="22" applyFont="1"/>
    <xf numFmtId="0" fontId="16" fillId="0" borderId="0" xfId="0" applyFont="1" applyAlignment="1">
      <alignment horizontal="right"/>
    </xf>
    <xf numFmtId="0" fontId="0" fillId="0" borderId="9" xfId="0" applyBorder="1"/>
    <xf numFmtId="0" fontId="0" fillId="0" borderId="0" xfId="0" applyBorder="1"/>
    <xf numFmtId="0" fontId="0" fillId="0" borderId="65" xfId="0" applyFont="1" applyBorder="1"/>
    <xf numFmtId="0" fontId="1" fillId="0" borderId="65" xfId="22" applyFont="1" applyBorder="1"/>
    <xf numFmtId="0" fontId="1" fillId="0" borderId="65" xfId="22" applyFont="1" applyBorder="1" applyAlignment="1">
      <alignment horizontal="left"/>
    </xf>
    <xf numFmtId="0" fontId="0" fillId="0" borderId="60" xfId="22" applyFont="1" applyBorder="1"/>
    <xf numFmtId="0" fontId="23" fillId="5" borderId="1" xfId="33" applyFont="1" applyFill="1" applyBorder="1" applyAlignment="1"/>
    <xf numFmtId="0" fontId="1" fillId="5" borderId="1" xfId="6" applyFont="1" applyFill="1" applyBorder="1" applyAlignment="1">
      <alignment horizontal="left"/>
    </xf>
    <xf numFmtId="166" fontId="1" fillId="5" borderId="1" xfId="21" applyNumberFormat="1" applyFont="1" applyFill="1" applyBorder="1" applyAlignment="1">
      <alignment horizontal="center"/>
    </xf>
    <xf numFmtId="167" fontId="1" fillId="5" borderId="1" xfId="21" applyNumberFormat="1" applyFont="1" applyFill="1" applyBorder="1" applyAlignment="1">
      <alignment horizontal="center"/>
    </xf>
    <xf numFmtId="0" fontId="23" fillId="9" borderId="1" xfId="33" applyFont="1" applyFill="1" applyBorder="1" applyAlignment="1"/>
    <xf numFmtId="0" fontId="1" fillId="9" borderId="1" xfId="6" applyFont="1" applyFill="1" applyBorder="1" applyAlignment="1">
      <alignment horizontal="left"/>
    </xf>
    <xf numFmtId="166" fontId="1" fillId="9" borderId="1" xfId="21" applyNumberFormat="1" applyFont="1" applyFill="1" applyBorder="1" applyAlignment="1">
      <alignment horizontal="center"/>
    </xf>
    <xf numFmtId="167" fontId="1" fillId="9" borderId="1" xfId="21" applyNumberFormat="1" applyFont="1" applyFill="1" applyBorder="1" applyAlignment="1">
      <alignment horizontal="center"/>
    </xf>
    <xf numFmtId="0" fontId="1" fillId="5" borderId="1" xfId="21" applyFont="1" applyFill="1" applyBorder="1" applyAlignment="1"/>
    <xf numFmtId="0" fontId="1" fillId="9" borderId="1" xfId="21" applyFont="1" applyFill="1" applyBorder="1"/>
    <xf numFmtId="0" fontId="1" fillId="9" borderId="1" xfId="21" applyFont="1" applyFill="1" applyBorder="1" applyAlignment="1"/>
    <xf numFmtId="0" fontId="14" fillId="15" borderId="32" xfId="22" applyFont="1" applyFill="1" applyBorder="1" applyAlignment="1"/>
    <xf numFmtId="0" fontId="0" fillId="9" borderId="1" xfId="6" applyFont="1" applyFill="1" applyBorder="1" applyAlignment="1">
      <alignment horizontal="left"/>
    </xf>
    <xf numFmtId="0" fontId="22" fillId="12" borderId="40" xfId="14" applyFont="1" applyFill="1" applyBorder="1" applyAlignment="1"/>
    <xf numFmtId="0" fontId="31" fillId="0" borderId="9" xfId="33" applyFont="1" applyBorder="1" applyAlignment="1"/>
    <xf numFmtId="0" fontId="1" fillId="0" borderId="17" xfId="14" applyFont="1" applyFill="1" applyBorder="1" applyAlignment="1"/>
    <xf numFmtId="0" fontId="16" fillId="0" borderId="67" xfId="14" applyFont="1" applyFill="1" applyBorder="1" applyAlignment="1"/>
    <xf numFmtId="0" fontId="1" fillId="0" borderId="68" xfId="14" applyFont="1" applyFill="1" applyBorder="1" applyAlignment="1"/>
    <xf numFmtId="0" fontId="16" fillId="0" borderId="69" xfId="14" applyFont="1" applyFill="1" applyBorder="1" applyAlignment="1"/>
    <xf numFmtId="0" fontId="16" fillId="0" borderId="45" xfId="14" applyFont="1" applyFill="1" applyBorder="1" applyAlignment="1"/>
    <xf numFmtId="0" fontId="16" fillId="12" borderId="22" xfId="14" applyFont="1" applyFill="1" applyBorder="1" applyAlignment="1"/>
    <xf numFmtId="0" fontId="22" fillId="12" borderId="70" xfId="22" applyFont="1" applyFill="1" applyBorder="1" applyAlignment="1"/>
    <xf numFmtId="0" fontId="34" fillId="0" borderId="19" xfId="22" applyFont="1" applyFill="1" applyBorder="1" applyAlignment="1"/>
    <xf numFmtId="0" fontId="1" fillId="0" borderId="72" xfId="5" applyFont="1" applyFill="1" applyBorder="1" applyAlignment="1"/>
    <xf numFmtId="0" fontId="16" fillId="12" borderId="73" xfId="5" applyFont="1" applyFill="1" applyBorder="1" applyAlignment="1"/>
    <xf numFmtId="0" fontId="16" fillId="12" borderId="74" xfId="5" applyFont="1" applyFill="1" applyBorder="1" applyAlignment="1"/>
    <xf numFmtId="0" fontId="1" fillId="0" borderId="0" xfId="5" applyFont="1" applyFill="1" applyBorder="1" applyAlignment="1"/>
    <xf numFmtId="0" fontId="30" fillId="0" borderId="75" xfId="5" applyFont="1" applyFill="1" applyBorder="1" applyAlignment="1">
      <alignment horizontal="center"/>
    </xf>
    <xf numFmtId="0" fontId="30" fillId="0" borderId="75" xfId="5" applyFont="1" applyFill="1" applyBorder="1" applyAlignment="1"/>
    <xf numFmtId="0" fontId="1" fillId="0" borderId="71" xfId="5" applyFont="1" applyFill="1" applyBorder="1" applyAlignment="1"/>
    <xf numFmtId="0" fontId="1" fillId="0" borderId="20" xfId="5" applyFont="1" applyFill="1" applyBorder="1" applyAlignment="1"/>
    <xf numFmtId="0" fontId="16" fillId="12" borderId="77" xfId="5" applyFont="1" applyFill="1" applyBorder="1" applyAlignment="1"/>
    <xf numFmtId="0" fontId="1" fillId="0" borderId="78" xfId="5" applyFont="1" applyFill="1" applyBorder="1" applyAlignment="1"/>
    <xf numFmtId="0" fontId="16" fillId="0" borderId="76" xfId="5" applyFont="1" applyFill="1" applyBorder="1" applyAlignment="1"/>
    <xf numFmtId="0" fontId="0" fillId="0" borderId="75" xfId="5" applyFont="1" applyFill="1" applyBorder="1" applyAlignment="1"/>
    <xf numFmtId="0" fontId="30" fillId="0" borderId="76" xfId="5" applyFont="1" applyFill="1" applyBorder="1" applyAlignment="1">
      <alignment horizontal="center"/>
    </xf>
    <xf numFmtId="0" fontId="30" fillId="0" borderId="79" xfId="5" applyFont="1" applyFill="1" applyBorder="1" applyAlignment="1">
      <alignment horizontal="center"/>
    </xf>
    <xf numFmtId="0" fontId="0" fillId="0" borderId="0" xfId="14" applyFont="1" applyBorder="1" applyAlignment="1"/>
    <xf numFmtId="0" fontId="0" fillId="0" borderId="12" xfId="0" applyFont="1" applyFill="1" applyBorder="1" applyAlignment="1"/>
    <xf numFmtId="0" fontId="22" fillId="0" borderId="81" xfId="14" applyFont="1" applyFill="1" applyBorder="1" applyAlignment="1"/>
    <xf numFmtId="0" fontId="20" fillId="0" borderId="0" xfId="22" applyFont="1" applyFill="1" applyAlignment="1"/>
    <xf numFmtId="0" fontId="22" fillId="0" borderId="81" xfId="22" applyFont="1" applyFill="1" applyBorder="1" applyAlignment="1"/>
    <xf numFmtId="0" fontId="22" fillId="0" borderId="36" xfId="14" applyFont="1" applyFill="1" applyBorder="1" applyAlignment="1"/>
    <xf numFmtId="0" fontId="22" fillId="0" borderId="19" xfId="22" applyFont="1" applyFill="1" applyBorder="1" applyAlignment="1"/>
    <xf numFmtId="0" fontId="22" fillId="0" borderId="83" xfId="22" applyFont="1" applyFill="1" applyBorder="1" applyAlignment="1"/>
    <xf numFmtId="0" fontId="16" fillId="12" borderId="70" xfId="22" applyFont="1" applyFill="1" applyBorder="1" applyAlignment="1"/>
    <xf numFmtId="0" fontId="20" fillId="0" borderId="81" xfId="14" applyFont="1" applyFill="1" applyBorder="1" applyAlignment="1"/>
    <xf numFmtId="0" fontId="14" fillId="15" borderId="70" xfId="22" applyFont="1" applyFill="1" applyBorder="1" applyAlignment="1"/>
    <xf numFmtId="0" fontId="16" fillId="0" borderId="84" xfId="14" applyFont="1" applyFill="1" applyBorder="1" applyAlignment="1"/>
    <xf numFmtId="0" fontId="22" fillId="12" borderId="85" xfId="14" applyFont="1" applyFill="1" applyBorder="1" applyAlignment="1"/>
    <xf numFmtId="0" fontId="16" fillId="0" borderId="86" xfId="14" applyFont="1" applyFill="1" applyBorder="1" applyAlignment="1"/>
    <xf numFmtId="0" fontId="1" fillId="0" borderId="87" xfId="5" applyFont="1" applyFill="1" applyBorder="1" applyAlignment="1"/>
    <xf numFmtId="0" fontId="29" fillId="0" borderId="88" xfId="33" applyFont="1" applyFill="1" applyBorder="1" applyAlignment="1">
      <alignment horizontal="right"/>
    </xf>
    <xf numFmtId="0" fontId="1" fillId="0" borderId="88" xfId="5" applyFont="1" applyFill="1" applyBorder="1" applyAlignment="1"/>
    <xf numFmtId="0" fontId="29" fillId="0" borderId="88" xfId="33" applyFont="1" applyFill="1" applyBorder="1" applyAlignment="1">
      <alignment horizontal="center"/>
    </xf>
    <xf numFmtId="0" fontId="16" fillId="5" borderId="21" xfId="14" applyFont="1" applyFill="1" applyBorder="1" applyAlignment="1"/>
    <xf numFmtId="0" fontId="16" fillId="5" borderId="86" xfId="14" applyFont="1" applyFill="1" applyBorder="1" applyAlignment="1"/>
    <xf numFmtId="0" fontId="20" fillId="0" borderId="9" xfId="22" applyFont="1" applyBorder="1" applyAlignment="1"/>
    <xf numFmtId="0" fontId="22" fillId="0" borderId="9" xfId="22" applyFont="1" applyBorder="1" applyAlignment="1"/>
    <xf numFmtId="0" fontId="1" fillId="0" borderId="9" xfId="22" applyFont="1" applyBorder="1" applyAlignment="1"/>
    <xf numFmtId="0" fontId="16" fillId="0" borderId="9" xfId="22" applyFont="1" applyBorder="1" applyAlignment="1"/>
    <xf numFmtId="0" fontId="18" fillId="0" borderId="0" xfId="0" applyFont="1"/>
    <xf numFmtId="0" fontId="0" fillId="0" borderId="0" xfId="14" applyFont="1" applyAlignment="1">
      <alignment horizontal="right"/>
    </xf>
    <xf numFmtId="0" fontId="1" fillId="4" borderId="0" xfId="14" applyFont="1" applyFill="1"/>
    <xf numFmtId="0" fontId="16" fillId="0" borderId="57" xfId="14" applyFont="1" applyFill="1" applyBorder="1" applyAlignment="1">
      <alignment horizontal="center"/>
    </xf>
    <xf numFmtId="169" fontId="0" fillId="0" borderId="0" xfId="0" applyNumberFormat="1" applyFill="1"/>
    <xf numFmtId="0" fontId="16" fillId="0" borderId="57" xfId="22" applyFont="1" applyBorder="1" applyAlignment="1">
      <alignment horizontal="center" vertical="center"/>
    </xf>
    <xf numFmtId="0" fontId="1" fillId="4" borderId="57" xfId="14" applyFont="1" applyFill="1" applyBorder="1" applyAlignment="1">
      <alignment horizontal="center" vertical="center"/>
    </xf>
    <xf numFmtId="0" fontId="1" fillId="4" borderId="57" xfId="14" applyFont="1" applyFill="1" applyBorder="1" applyAlignment="1">
      <alignment vertical="center"/>
    </xf>
    <xf numFmtId="0" fontId="21" fillId="0" borderId="0" xfId="33" applyFill="1" applyAlignment="1"/>
    <xf numFmtId="0" fontId="1" fillId="0" borderId="0" xfId="14" applyFont="1" applyBorder="1"/>
    <xf numFmtId="0" fontId="0" fillId="5" borderId="0" xfId="0" applyFont="1" applyFill="1" applyAlignment="1">
      <alignment horizontal="right"/>
    </xf>
    <xf numFmtId="0" fontId="0" fillId="0" borderId="0" xfId="0" applyFont="1" applyAlignment="1">
      <alignment horizontal="center"/>
    </xf>
    <xf numFmtId="0" fontId="0" fillId="0" borderId="0" xfId="14" applyFont="1"/>
    <xf numFmtId="0" fontId="0" fillId="3" borderId="0" xfId="0" applyFont="1" applyFill="1" applyAlignment="1">
      <alignment horizontal="right"/>
    </xf>
    <xf numFmtId="0" fontId="0" fillId="19" borderId="0" xfId="0" applyFont="1" applyFill="1" applyAlignment="1">
      <alignment horizontal="right"/>
    </xf>
    <xf numFmtId="0" fontId="0" fillId="0" borderId="0" xfId="14" applyFont="1" applyFill="1" applyAlignment="1"/>
    <xf numFmtId="0" fontId="16" fillId="0" borderId="58" xfId="22" applyFont="1" applyFill="1" applyBorder="1" applyAlignment="1"/>
    <xf numFmtId="0" fontId="16" fillId="0" borderId="0" xfId="34" applyFont="1" applyFill="1" applyAlignment="1">
      <alignment horizontal="center"/>
    </xf>
    <xf numFmtId="0" fontId="16" fillId="0" borderId="0" xfId="35" applyNumberFormat="1" applyFont="1" applyFill="1" applyAlignment="1">
      <alignment horizontal="center"/>
    </xf>
    <xf numFmtId="0" fontId="16" fillId="0" borderId="0" xfId="35" quotePrefix="1" applyFont="1" applyFill="1" applyAlignment="1">
      <alignment horizontal="center"/>
    </xf>
    <xf numFmtId="49" fontId="16" fillId="0" borderId="0" xfId="0" applyNumberFormat="1" applyFont="1" applyAlignment="1">
      <alignment horizontal="center"/>
    </xf>
    <xf numFmtId="169" fontId="16" fillId="20" borderId="0" xfId="0" applyNumberFormat="1" applyFont="1" applyFill="1" applyAlignment="1">
      <alignment horizontal="center"/>
    </xf>
    <xf numFmtId="0" fontId="41" fillId="0" borderId="0" xfId="35" applyFont="1" applyAlignment="1">
      <alignment horizontal="center"/>
    </xf>
    <xf numFmtId="0" fontId="41" fillId="0" borderId="0" xfId="35" applyNumberFormat="1" applyFont="1" applyAlignment="1">
      <alignment horizontal="center"/>
    </xf>
    <xf numFmtId="0" fontId="41" fillId="0" borderId="0" xfId="35" applyFont="1" applyFill="1" applyAlignment="1">
      <alignment horizontal="center"/>
    </xf>
    <xf numFmtId="0" fontId="17" fillId="0" borderId="0" xfId="22" applyNumberFormat="1" applyFont="1" applyFill="1" applyBorder="1" applyAlignment="1">
      <alignment horizontal="center" wrapText="1"/>
    </xf>
    <xf numFmtId="169" fontId="1" fillId="0" borderId="0" xfId="22" applyNumberFormat="1" applyFont="1" applyFill="1" applyBorder="1" applyAlignment="1">
      <alignment horizontal="right" wrapText="1"/>
    </xf>
    <xf numFmtId="0" fontId="17" fillId="0" borderId="0" xfId="22" applyNumberFormat="1" applyFont="1" applyFill="1" applyBorder="1" applyAlignment="1">
      <alignment horizontal="center"/>
    </xf>
    <xf numFmtId="0" fontId="0" fillId="0" borderId="0" xfId="0" applyFill="1" applyAlignment="1">
      <alignment horizontal="right"/>
    </xf>
    <xf numFmtId="169" fontId="0" fillId="0" borderId="0" xfId="0" applyNumberFormat="1" applyFill="1" applyAlignment="1"/>
    <xf numFmtId="0" fontId="43" fillId="0" borderId="0" xfId="22" applyFont="1" applyFill="1" applyBorder="1" applyAlignment="1">
      <alignment horizontal="center" wrapText="1"/>
    </xf>
    <xf numFmtId="1" fontId="43" fillId="0" borderId="0" xfId="22" applyNumberFormat="1" applyFont="1" applyFill="1" applyBorder="1" applyAlignment="1">
      <alignment horizontal="center" wrapText="1"/>
    </xf>
    <xf numFmtId="170" fontId="43" fillId="0" borderId="0" xfId="22" applyNumberFormat="1" applyFont="1" applyFill="1" applyBorder="1" applyAlignment="1">
      <alignment horizontal="right" wrapText="1"/>
    </xf>
    <xf numFmtId="0" fontId="43" fillId="0" borderId="0" xfId="0" applyFont="1" applyFill="1" applyAlignment="1">
      <alignment horizontal="center"/>
    </xf>
    <xf numFmtId="169" fontId="1" fillId="0" borderId="0" xfId="22" applyNumberFormat="1" applyFont="1" applyFill="1" applyBorder="1" applyAlignment="1">
      <alignment horizontal="right"/>
    </xf>
    <xf numFmtId="16" fontId="1" fillId="0" borderId="0" xfId="22" applyNumberFormat="1" applyFont="1" applyBorder="1" applyAlignment="1"/>
    <xf numFmtId="49" fontId="1" fillId="0" borderId="0" xfId="22" applyNumberFormat="1" applyFont="1" applyFill="1" applyBorder="1" applyAlignment="1"/>
    <xf numFmtId="0" fontId="41" fillId="0" borderId="0" xfId="14" applyFont="1" applyAlignment="1"/>
    <xf numFmtId="0" fontId="16" fillId="0" borderId="0" xfId="22" applyNumberFormat="1" applyFont="1" applyFill="1" applyAlignment="1">
      <alignment horizontal="center"/>
    </xf>
    <xf numFmtId="0" fontId="41" fillId="0" borderId="0" xfId="22" applyFont="1" applyAlignment="1">
      <alignment horizontal="center"/>
    </xf>
    <xf numFmtId="0" fontId="41" fillId="0" borderId="0" xfId="22" applyNumberFormat="1" applyFont="1" applyAlignment="1">
      <alignment horizontal="center"/>
    </xf>
    <xf numFmtId="0" fontId="41" fillId="0" borderId="0" xfId="22" applyFont="1" applyFill="1" applyAlignment="1">
      <alignment horizontal="center"/>
    </xf>
    <xf numFmtId="49" fontId="1" fillId="0" borderId="0" xfId="22" applyNumberFormat="1" applyFont="1" applyFill="1" applyAlignment="1"/>
    <xf numFmtId="49" fontId="0" fillId="0" borderId="0" xfId="22" applyNumberFormat="1" applyFont="1" applyFill="1" applyBorder="1" applyAlignment="1"/>
    <xf numFmtId="0" fontId="4" fillId="0" borderId="0" xfId="22" applyFont="1" applyFill="1" applyBorder="1" applyAlignment="1"/>
    <xf numFmtId="49" fontId="1" fillId="0" borderId="0" xfId="22" applyNumberFormat="1" applyFont="1" applyBorder="1" applyAlignment="1"/>
    <xf numFmtId="49" fontId="0" fillId="0" borderId="0" xfId="22" applyNumberFormat="1" applyFont="1" applyBorder="1" applyAlignment="1">
      <alignment horizontal="center"/>
    </xf>
    <xf numFmtId="0" fontId="16" fillId="4" borderId="0" xfId="0" applyFont="1" applyFill="1" applyAlignment="1"/>
    <xf numFmtId="0" fontId="0" fillId="4" borderId="0" xfId="0" applyFill="1" applyAlignment="1"/>
    <xf numFmtId="0" fontId="1" fillId="0" borderId="89" xfId="22" applyFont="1" applyFill="1" applyBorder="1"/>
    <xf numFmtId="0" fontId="0" fillId="0" borderId="90" xfId="22" applyFont="1" applyFill="1" applyBorder="1"/>
    <xf numFmtId="0" fontId="1" fillId="0" borderId="90" xfId="22" applyFont="1" applyBorder="1"/>
    <xf numFmtId="0" fontId="0" fillId="0" borderId="84" xfId="22" applyFont="1" applyBorder="1"/>
    <xf numFmtId="0" fontId="1" fillId="0" borderId="9" xfId="22" applyFont="1" applyBorder="1"/>
    <xf numFmtId="0" fontId="1" fillId="0" borderId="84" xfId="22" applyFont="1" applyBorder="1"/>
    <xf numFmtId="0" fontId="1" fillId="0" borderId="89" xfId="22" applyFont="1" applyBorder="1"/>
    <xf numFmtId="0" fontId="0" fillId="0" borderId="91" xfId="22" applyFont="1" applyBorder="1"/>
    <xf numFmtId="0" fontId="1" fillId="0" borderId="89" xfId="22" applyFont="1" applyBorder="1" applyAlignment="1">
      <alignment horizontal="left"/>
    </xf>
    <xf numFmtId="0" fontId="1" fillId="0" borderId="90" xfId="22" applyFont="1" applyBorder="1" applyAlignment="1">
      <alignment horizontal="left"/>
    </xf>
    <xf numFmtId="0" fontId="0" fillId="0" borderId="58" xfId="0" applyBorder="1" applyAlignment="1">
      <alignment wrapText="1"/>
    </xf>
    <xf numFmtId="0" fontId="0" fillId="0" borderId="58" xfId="0" applyFill="1" applyBorder="1" applyAlignment="1">
      <alignment wrapText="1"/>
    </xf>
    <xf numFmtId="0" fontId="17" fillId="0" borderId="0" xfId="14" applyFont="1" applyFill="1" applyAlignment="1">
      <alignment wrapText="1"/>
    </xf>
    <xf numFmtId="0" fontId="16" fillId="0" borderId="58" xfId="22" applyFont="1" applyFill="1" applyBorder="1" applyAlignment="1">
      <alignment wrapText="1"/>
    </xf>
    <xf numFmtId="0" fontId="1" fillId="0" borderId="0" xfId="22" applyFont="1" applyFill="1" applyAlignment="1">
      <alignment wrapText="1"/>
    </xf>
    <xf numFmtId="0" fontId="0" fillId="0" borderId="58" xfId="22" applyFont="1" applyBorder="1" applyAlignment="1">
      <alignment wrapText="1"/>
    </xf>
    <xf numFmtId="0" fontId="1" fillId="0" borderId="0" xfId="22" applyFont="1" applyAlignment="1">
      <alignment wrapText="1"/>
    </xf>
    <xf numFmtId="0" fontId="16" fillId="0" borderId="58" xfId="22" applyFont="1" applyFill="1" applyBorder="1" applyAlignment="1">
      <alignment vertical="center"/>
    </xf>
    <xf numFmtId="0" fontId="16" fillId="0" borderId="58" xfId="22" applyFont="1" applyBorder="1" applyAlignment="1">
      <alignment horizontal="center" vertical="center"/>
    </xf>
    <xf numFmtId="0" fontId="16" fillId="0" borderId="58" xfId="22" applyFont="1" applyFill="1" applyBorder="1" applyAlignment="1">
      <alignment horizontal="center" vertical="center"/>
    </xf>
    <xf numFmtId="0" fontId="16" fillId="0" borderId="0" xfId="34" applyFont="1" applyFill="1" applyAlignment="1">
      <alignment horizontal="center" vertical="center"/>
    </xf>
    <xf numFmtId="0" fontId="16" fillId="0" borderId="0" xfId="35" applyNumberFormat="1" applyFont="1" applyFill="1" applyAlignment="1">
      <alignment horizontal="center" vertical="center"/>
    </xf>
    <xf numFmtId="0" fontId="16" fillId="0" borderId="0" xfId="35" quotePrefix="1" applyFont="1" applyFill="1" applyAlignment="1">
      <alignment horizontal="center" vertical="center"/>
    </xf>
    <xf numFmtId="49" fontId="16" fillId="0" borderId="0" xfId="0" applyNumberFormat="1" applyFont="1" applyAlignment="1">
      <alignment horizontal="center" vertical="center"/>
    </xf>
    <xf numFmtId="169" fontId="16" fillId="20" borderId="0" xfId="0" applyNumberFormat="1" applyFont="1" applyFill="1" applyAlignment="1">
      <alignment horizontal="center" vertical="center"/>
    </xf>
    <xf numFmtId="0" fontId="41" fillId="0" borderId="0" xfId="35" applyFont="1" applyAlignment="1">
      <alignment horizontal="center" vertical="center"/>
    </xf>
    <xf numFmtId="0" fontId="41" fillId="0" borderId="0" xfId="35" applyNumberFormat="1" applyFont="1" applyAlignment="1">
      <alignment horizontal="center" vertical="center"/>
    </xf>
    <xf numFmtId="0" fontId="41" fillId="0" borderId="0" xfId="35" applyFont="1" applyFill="1" applyAlignment="1">
      <alignment horizontal="center" vertical="center"/>
    </xf>
    <xf numFmtId="0" fontId="0" fillId="0" borderId="0" xfId="0" applyAlignment="1">
      <alignment vertical="center"/>
    </xf>
    <xf numFmtId="0" fontId="1" fillId="0" borderId="0" xfId="14" applyFont="1" applyAlignment="1">
      <alignment vertical="center"/>
    </xf>
    <xf numFmtId="0" fontId="0" fillId="0" borderId="58" xfId="14" applyFont="1" applyFill="1" applyBorder="1" applyAlignment="1">
      <alignment vertical="center" wrapText="1"/>
    </xf>
    <xf numFmtId="167" fontId="1" fillId="0" borderId="0" xfId="14" applyNumberFormat="1" applyFont="1" applyFill="1" applyAlignment="1">
      <alignment horizontal="center" vertical="center"/>
    </xf>
    <xf numFmtId="0" fontId="17" fillId="0" borderId="0" xfId="22" applyNumberFormat="1" applyFont="1" applyFill="1" applyBorder="1" applyAlignment="1">
      <alignment horizontal="center" vertical="center" wrapText="1"/>
    </xf>
    <xf numFmtId="169" fontId="1" fillId="0" borderId="0" xfId="22" applyNumberFormat="1" applyFont="1" applyFill="1" applyBorder="1" applyAlignment="1">
      <alignment horizontal="right" vertical="center" wrapText="1"/>
    </xf>
    <xf numFmtId="0" fontId="17" fillId="0" borderId="0" xfId="22" applyNumberFormat="1" applyFont="1" applyFill="1" applyBorder="1" applyAlignment="1">
      <alignment horizontal="center" vertical="center"/>
    </xf>
    <xf numFmtId="0" fontId="0" fillId="0" borderId="0" xfId="0" applyFill="1" applyAlignment="1">
      <alignment horizontal="right" vertical="center"/>
    </xf>
    <xf numFmtId="169" fontId="0" fillId="0" borderId="0" xfId="0" applyNumberFormat="1" applyFill="1" applyAlignment="1">
      <alignment vertical="center"/>
    </xf>
    <xf numFmtId="170" fontId="43" fillId="0" borderId="0" xfId="22" applyNumberFormat="1" applyFont="1" applyFill="1" applyBorder="1" applyAlignment="1">
      <alignment horizontal="right" vertical="center" wrapText="1"/>
    </xf>
    <xf numFmtId="0" fontId="43" fillId="0" borderId="0" xfId="0" applyFont="1" applyFill="1" applyAlignment="1">
      <alignment horizontal="center" vertical="center"/>
    </xf>
    <xf numFmtId="0" fontId="0" fillId="0" borderId="58" xfId="0" applyBorder="1" applyAlignment="1">
      <alignment vertical="center" wrapText="1"/>
    </xf>
    <xf numFmtId="167" fontId="1" fillId="0" borderId="0" xfId="32" applyNumberFormat="1" applyFont="1" applyFill="1" applyAlignment="1">
      <alignment horizontal="center" vertical="center"/>
    </xf>
    <xf numFmtId="169" fontId="1" fillId="0" borderId="0" xfId="22" applyNumberFormat="1" applyFont="1" applyFill="1" applyBorder="1" applyAlignment="1">
      <alignment horizontal="right" vertical="center"/>
    </xf>
    <xf numFmtId="0" fontId="43" fillId="0" borderId="0" xfId="22" applyFont="1" applyFill="1" applyBorder="1" applyAlignment="1">
      <alignment horizontal="center" vertical="center"/>
    </xf>
    <xf numFmtId="0" fontId="4" fillId="0" borderId="58" xfId="22" applyFont="1" applyFill="1" applyBorder="1" applyAlignment="1">
      <alignment horizontal="center" vertical="center"/>
    </xf>
    <xf numFmtId="0" fontId="0" fillId="0" borderId="58" xfId="0" applyFill="1" applyBorder="1" applyAlignment="1">
      <alignment vertical="center" wrapText="1"/>
    </xf>
    <xf numFmtId="0" fontId="16" fillId="0" borderId="0" xfId="22" applyFont="1" applyBorder="1" applyAlignment="1">
      <alignment vertical="center"/>
    </xf>
    <xf numFmtId="0" fontId="17" fillId="0" borderId="0" xfId="14" applyFont="1" applyFill="1" applyAlignment="1">
      <alignment vertical="center" wrapText="1"/>
    </xf>
    <xf numFmtId="0" fontId="1" fillId="0" borderId="0" xfId="22" applyFont="1" applyBorder="1" applyAlignment="1">
      <alignment vertical="center"/>
    </xf>
    <xf numFmtId="16" fontId="1" fillId="0" borderId="0" xfId="22" applyNumberFormat="1" applyFont="1" applyBorder="1" applyAlignment="1">
      <alignment vertical="center"/>
    </xf>
    <xf numFmtId="0" fontId="1" fillId="0" borderId="0" xfId="22" applyFont="1" applyFill="1" applyBorder="1" applyAlignment="1">
      <alignment vertical="center"/>
    </xf>
    <xf numFmtId="0" fontId="1" fillId="0" borderId="0" xfId="22" applyFont="1" applyAlignment="1">
      <alignment vertical="center"/>
    </xf>
    <xf numFmtId="49" fontId="1" fillId="0" borderId="0" xfId="22" applyNumberFormat="1" applyFont="1" applyFill="1" applyBorder="1" applyAlignment="1">
      <alignment vertical="center"/>
    </xf>
    <xf numFmtId="0" fontId="1" fillId="0" borderId="0" xfId="14" applyFont="1" applyFill="1" applyAlignment="1">
      <alignment vertical="center"/>
    </xf>
    <xf numFmtId="0" fontId="41" fillId="0" borderId="0" xfId="14" applyFont="1" applyAlignment="1">
      <alignment vertical="center"/>
    </xf>
    <xf numFmtId="0" fontId="16" fillId="0" borderId="58" xfId="22" applyFont="1" applyFill="1" applyBorder="1" applyAlignment="1">
      <alignment vertical="center" wrapText="1"/>
    </xf>
    <xf numFmtId="0" fontId="16" fillId="0" borderId="0" xfId="14" applyFont="1" applyFill="1" applyAlignment="1">
      <alignment horizontal="center" vertical="center"/>
    </xf>
    <xf numFmtId="0" fontId="16" fillId="0" borderId="0" xfId="22" applyNumberFormat="1" applyFont="1" applyFill="1" applyAlignment="1">
      <alignment horizontal="center" vertical="center"/>
    </xf>
    <xf numFmtId="0" fontId="16" fillId="0" borderId="0" xfId="22" quotePrefix="1" applyFont="1" applyFill="1" applyAlignment="1">
      <alignment horizontal="center" vertical="center"/>
    </xf>
    <xf numFmtId="0" fontId="41" fillId="0" borderId="0" xfId="22" applyFont="1" applyAlignment="1">
      <alignment horizontal="center" vertical="center"/>
    </xf>
    <xf numFmtId="0" fontId="41" fillId="0" borderId="0" xfId="22" applyNumberFormat="1" applyFont="1" applyAlignment="1">
      <alignment horizontal="center" vertical="center"/>
    </xf>
    <xf numFmtId="0" fontId="41" fillId="0" borderId="0" xfId="22" applyFont="1" applyFill="1" applyAlignment="1">
      <alignment horizontal="center" vertical="center"/>
    </xf>
    <xf numFmtId="0" fontId="0" fillId="0" borderId="58" xfId="22" applyFont="1" applyFill="1" applyBorder="1" applyAlignment="1">
      <alignment vertical="center" wrapText="1"/>
    </xf>
    <xf numFmtId="0" fontId="1" fillId="0" borderId="58" xfId="22" applyFont="1" applyBorder="1" applyAlignment="1">
      <alignment horizontal="center" vertical="center"/>
    </xf>
    <xf numFmtId="0" fontId="17" fillId="0" borderId="0" xfId="22" applyFont="1" applyFill="1" applyAlignment="1">
      <alignment vertical="center"/>
    </xf>
    <xf numFmtId="0" fontId="16" fillId="0" borderId="0" xfId="22" applyFont="1" applyAlignment="1">
      <alignment vertical="center"/>
    </xf>
    <xf numFmtId="0" fontId="1" fillId="0" borderId="0" xfId="22" applyFont="1" applyFill="1" applyAlignment="1">
      <alignment vertical="center" wrapText="1"/>
    </xf>
    <xf numFmtId="0" fontId="1" fillId="0" borderId="0" xfId="32" applyFont="1" applyAlignment="1">
      <alignment vertical="center"/>
    </xf>
    <xf numFmtId="49" fontId="1" fillId="0" borderId="0" xfId="22" applyNumberFormat="1" applyFont="1" applyFill="1" applyAlignment="1">
      <alignment vertical="center"/>
    </xf>
    <xf numFmtId="0" fontId="1" fillId="0" borderId="0" xfId="22" applyFont="1" applyFill="1" applyAlignment="1">
      <alignment vertical="center"/>
    </xf>
    <xf numFmtId="0" fontId="0" fillId="0" borderId="58" xfId="22" applyFont="1" applyBorder="1" applyAlignment="1">
      <alignment vertical="center" wrapText="1"/>
    </xf>
    <xf numFmtId="0" fontId="1" fillId="0" borderId="0" xfId="22" applyFont="1" applyAlignment="1">
      <alignment vertical="center" wrapText="1"/>
    </xf>
    <xf numFmtId="49" fontId="0" fillId="0" borderId="0" xfId="22" applyNumberFormat="1" applyFont="1" applyFill="1" applyBorder="1" applyAlignment="1">
      <alignment vertical="center"/>
    </xf>
    <xf numFmtId="0" fontId="4" fillId="0" borderId="0" xfId="22" applyFont="1" applyFill="1" applyBorder="1" applyAlignment="1">
      <alignment vertical="center"/>
    </xf>
    <xf numFmtId="0" fontId="47" fillId="0" borderId="66" xfId="16" applyFont="1" applyFill="1" applyBorder="1" applyAlignment="1">
      <alignment horizontal="center"/>
    </xf>
    <xf numFmtId="0" fontId="44" fillId="0" borderId="66" xfId="16" applyFont="1" applyFill="1" applyBorder="1" applyAlignment="1">
      <alignment horizontal="center"/>
    </xf>
    <xf numFmtId="0" fontId="1" fillId="5" borderId="66" xfId="16" applyFont="1" applyFill="1" applyBorder="1" applyAlignment="1">
      <alignment horizontal="center"/>
    </xf>
    <xf numFmtId="0" fontId="48" fillId="0" borderId="66" xfId="16" applyFont="1" applyFill="1" applyBorder="1" applyAlignment="1">
      <alignment horizontal="center"/>
    </xf>
    <xf numFmtId="0" fontId="18" fillId="0" borderId="66" xfId="16" applyFont="1" applyFill="1" applyBorder="1" applyAlignment="1">
      <alignment horizontal="center"/>
    </xf>
    <xf numFmtId="0" fontId="1" fillId="17" borderId="0" xfId="22" applyFont="1" applyFill="1" applyAlignment="1">
      <alignment horizontal="left"/>
    </xf>
    <xf numFmtId="0" fontId="1" fillId="17" borderId="60" xfId="22" applyFont="1" applyFill="1" applyBorder="1" applyAlignment="1">
      <alignment horizontal="left"/>
    </xf>
    <xf numFmtId="0" fontId="1" fillId="0" borderId="58" xfId="22" applyFont="1" applyFill="1" applyBorder="1" applyAlignment="1">
      <alignment wrapText="1"/>
    </xf>
    <xf numFmtId="0" fontId="16" fillId="0" borderId="58" xfId="8" applyFont="1" applyBorder="1" applyAlignment="1">
      <alignment vertical="center"/>
    </xf>
    <xf numFmtId="0" fontId="38" fillId="0" borderId="0" xfId="12" applyFont="1" applyFill="1" applyAlignment="1">
      <alignment horizontal="right"/>
    </xf>
    <xf numFmtId="0" fontId="0" fillId="4" borderId="0" xfId="0" applyFill="1"/>
    <xf numFmtId="169" fontId="53" fillId="0" borderId="0" xfId="0" applyNumberFormat="1" applyFont="1" applyFill="1" applyAlignment="1">
      <alignment vertical="center"/>
    </xf>
    <xf numFmtId="0" fontId="1" fillId="9" borderId="58" xfId="22" applyFont="1" applyFill="1" applyBorder="1" applyAlignment="1">
      <alignment horizontal="center" vertical="center"/>
    </xf>
    <xf numFmtId="0" fontId="4" fillId="9" borderId="58" xfId="22" applyFont="1" applyFill="1" applyBorder="1" applyAlignment="1">
      <alignment horizontal="center" vertical="center"/>
    </xf>
    <xf numFmtId="169" fontId="53" fillId="0" borderId="0" xfId="0" applyNumberFormat="1" applyFont="1" applyFill="1" applyAlignment="1"/>
    <xf numFmtId="0" fontId="43" fillId="0" borderId="0" xfId="0" applyFont="1" applyFill="1" applyAlignment="1">
      <alignment horizontal="right" vertical="center"/>
    </xf>
    <xf numFmtId="169" fontId="43" fillId="0" borderId="0" xfId="0" applyNumberFormat="1" applyFont="1" applyFill="1" applyAlignment="1">
      <alignment vertical="center"/>
    </xf>
    <xf numFmtId="0" fontId="43" fillId="0" borderId="0" xfId="0" applyFont="1" applyAlignment="1">
      <alignment vertical="center"/>
    </xf>
    <xf numFmtId="0" fontId="43" fillId="0" borderId="0" xfId="22" applyFont="1" applyAlignment="1"/>
    <xf numFmtId="0" fontId="43" fillId="0" borderId="0" xfId="22" applyFont="1" applyFill="1" applyAlignment="1"/>
    <xf numFmtId="0" fontId="0" fillId="0" borderId="58" xfId="0" applyBorder="1"/>
    <xf numFmtId="0" fontId="1" fillId="0" borderId="0" xfId="14" applyFont="1" applyFill="1" applyBorder="1"/>
    <xf numFmtId="0" fontId="0" fillId="0" borderId="0" xfId="0" applyFill="1" applyBorder="1" applyAlignment="1">
      <alignment horizontal="right"/>
    </xf>
    <xf numFmtId="0" fontId="1" fillId="21" borderId="58" xfId="22" applyFont="1" applyFill="1" applyBorder="1" applyAlignment="1">
      <alignment horizontal="center" vertical="center"/>
    </xf>
    <xf numFmtId="0" fontId="1" fillId="22" borderId="58" xfId="22" applyFont="1" applyFill="1" applyBorder="1" applyAlignment="1">
      <alignment horizontal="center" vertical="center"/>
    </xf>
    <xf numFmtId="0" fontId="16" fillId="22" borderId="58" xfId="22" applyFont="1" applyFill="1" applyBorder="1" applyAlignment="1">
      <alignment horizontal="center" vertical="center"/>
    </xf>
    <xf numFmtId="0" fontId="53" fillId="0" borderId="0" xfId="0" applyFont="1"/>
    <xf numFmtId="167" fontId="1" fillId="22" borderId="0" xfId="32" applyNumberFormat="1" applyFont="1" applyFill="1" applyAlignment="1">
      <alignment horizontal="center" vertical="center"/>
    </xf>
    <xf numFmtId="0" fontId="0" fillId="22" borderId="0" xfId="0" applyFill="1" applyAlignment="1">
      <alignment horizontal="center"/>
    </xf>
    <xf numFmtId="0" fontId="0" fillId="0" borderId="0" xfId="0" applyAlignment="1">
      <alignment horizontal="center"/>
    </xf>
    <xf numFmtId="169" fontId="1" fillId="21" borderId="0" xfId="22" applyNumberFormat="1" applyFont="1" applyFill="1" applyBorder="1" applyAlignment="1">
      <alignment horizontal="center" vertical="center" wrapText="1"/>
    </xf>
    <xf numFmtId="169" fontId="1" fillId="0" borderId="0" xfId="22" applyNumberFormat="1" applyFont="1" applyFill="1" applyBorder="1" applyAlignment="1">
      <alignment horizontal="center" vertical="center"/>
    </xf>
    <xf numFmtId="169" fontId="1" fillId="21" borderId="0" xfId="22" applyNumberFormat="1" applyFont="1" applyFill="1" applyBorder="1" applyAlignment="1">
      <alignment horizontal="center" vertical="center"/>
    </xf>
    <xf numFmtId="169" fontId="1" fillId="22" borderId="0" xfId="22" applyNumberFormat="1" applyFont="1" applyFill="1" applyBorder="1" applyAlignment="1">
      <alignment horizontal="center" vertical="center"/>
    </xf>
    <xf numFmtId="169" fontId="0" fillId="22" borderId="0" xfId="0" applyNumberFormat="1" applyFill="1" applyAlignment="1">
      <alignment horizontal="center"/>
    </xf>
    <xf numFmtId="169" fontId="0" fillId="0" borderId="0" xfId="0" applyNumberFormat="1" applyAlignment="1">
      <alignment horizontal="center"/>
    </xf>
    <xf numFmtId="0" fontId="54" fillId="5" borderId="51" xfId="25" applyFont="1" applyFill="1" applyBorder="1" applyAlignment="1">
      <alignment horizontal="center"/>
    </xf>
    <xf numFmtId="0" fontId="39" fillId="0" borderId="50" xfId="8" applyFont="1" applyBorder="1" applyAlignment="1">
      <alignment vertical="top" wrapText="1"/>
    </xf>
    <xf numFmtId="0" fontId="43" fillId="0" borderId="50" xfId="8" applyFont="1" applyBorder="1" applyAlignment="1"/>
    <xf numFmtId="0" fontId="43" fillId="0" borderId="50" xfId="8" applyFont="1" applyFill="1" applyBorder="1" applyAlignment="1"/>
    <xf numFmtId="0" fontId="39" fillId="0" borderId="66" xfId="8" applyFont="1" applyBorder="1" applyAlignment="1">
      <alignment vertical="top" wrapText="1"/>
    </xf>
    <xf numFmtId="0" fontId="39" fillId="0" borderId="56" xfId="8" applyFont="1" applyBorder="1" applyAlignment="1">
      <alignment vertical="top" wrapText="1"/>
    </xf>
    <xf numFmtId="0" fontId="43" fillId="0" borderId="56" xfId="8" applyFont="1" applyBorder="1" applyAlignment="1"/>
    <xf numFmtId="0" fontId="43" fillId="0" borderId="56" xfId="8" applyFont="1" applyFill="1" applyBorder="1" applyAlignment="1"/>
    <xf numFmtId="0" fontId="44" fillId="0" borderId="2" xfId="8" applyFont="1" applyBorder="1" applyAlignment="1">
      <alignment vertical="top" wrapText="1"/>
    </xf>
    <xf numFmtId="0" fontId="31" fillId="0" borderId="0" xfId="33" applyFont="1" applyBorder="1" applyAlignment="1"/>
    <xf numFmtId="0" fontId="31" fillId="0" borderId="33" xfId="33" applyFont="1" applyBorder="1" applyAlignment="1"/>
    <xf numFmtId="0" fontId="16" fillId="0" borderId="33" xfId="14" applyFont="1" applyFill="1" applyBorder="1" applyAlignment="1"/>
    <xf numFmtId="0" fontId="1" fillId="0" borderId="30" xfId="14" applyFont="1" applyFill="1" applyBorder="1" applyAlignment="1"/>
    <xf numFmtId="0" fontId="20" fillId="0" borderId="93" xfId="14" applyFont="1" applyFill="1" applyBorder="1" applyAlignment="1"/>
    <xf numFmtId="0" fontId="16" fillId="0" borderId="0" xfId="5" applyFont="1" applyFill="1" applyBorder="1" applyAlignment="1"/>
    <xf numFmtId="0" fontId="16" fillId="5" borderId="0" xfId="5" applyFont="1" applyFill="1" applyBorder="1" applyAlignment="1"/>
    <xf numFmtId="0" fontId="1" fillId="0" borderId="24" xfId="5" applyFont="1" applyFill="1" applyBorder="1" applyAlignment="1"/>
    <xf numFmtId="0" fontId="16" fillId="0" borderId="20" xfId="5" applyFont="1" applyFill="1" applyBorder="1" applyAlignment="1"/>
    <xf numFmtId="0" fontId="30" fillId="0" borderId="20" xfId="33" applyFont="1" applyFill="1" applyBorder="1" applyAlignment="1"/>
    <xf numFmtId="0" fontId="1" fillId="0" borderId="94" xfId="5" applyFont="1" applyFill="1" applyBorder="1" applyAlignment="1"/>
    <xf numFmtId="0" fontId="16" fillId="0" borderId="71" xfId="5" applyFont="1" applyFill="1" applyBorder="1" applyAlignment="1"/>
    <xf numFmtId="0" fontId="16" fillId="0" borderId="31" xfId="5" applyFont="1" applyFill="1" applyBorder="1" applyAlignment="1"/>
    <xf numFmtId="0" fontId="16" fillId="5" borderId="31" xfId="5" applyFont="1" applyFill="1" applyBorder="1" applyAlignment="1"/>
    <xf numFmtId="0" fontId="30" fillId="0" borderId="96" xfId="5" applyFont="1" applyFill="1" applyBorder="1" applyAlignment="1">
      <alignment horizontal="right"/>
    </xf>
    <xf numFmtId="0" fontId="0" fillId="0" borderId="91" xfId="22" applyFont="1" applyFill="1" applyBorder="1"/>
    <xf numFmtId="0" fontId="0" fillId="0" borderId="97" xfId="22" applyFont="1" applyBorder="1"/>
    <xf numFmtId="0" fontId="0" fillId="0" borderId="97" xfId="0" applyBorder="1"/>
    <xf numFmtId="0" fontId="0" fillId="0" borderId="98" xfId="22" applyFont="1" applyBorder="1"/>
    <xf numFmtId="0" fontId="1" fillId="0" borderId="97" xfId="22" applyFont="1" applyBorder="1"/>
    <xf numFmtId="0" fontId="0" fillId="0" borderId="90" xfId="0" applyFont="1" applyBorder="1"/>
    <xf numFmtId="0" fontId="0" fillId="0" borderId="66" xfId="8" applyFont="1" applyFill="1" applyBorder="1" applyAlignment="1"/>
    <xf numFmtId="0" fontId="1" fillId="0" borderId="66" xfId="14" applyFont="1" applyFill="1" applyBorder="1" applyAlignment="1"/>
    <xf numFmtId="0" fontId="1" fillId="5" borderId="5" xfId="16" applyFont="1" applyFill="1" applyBorder="1" applyAlignment="1">
      <alignment horizontal="center"/>
    </xf>
    <xf numFmtId="0" fontId="0" fillId="0" borderId="0" xfId="0" applyFill="1" applyBorder="1" applyAlignment="1"/>
    <xf numFmtId="0" fontId="0" fillId="0" borderId="0" xfId="0" applyFill="1" applyBorder="1" applyAlignment="1">
      <alignment wrapText="1"/>
    </xf>
    <xf numFmtId="0" fontId="0" fillId="0" borderId="0" xfId="0" applyAlignment="1">
      <alignment wrapText="1"/>
    </xf>
    <xf numFmtId="0" fontId="16" fillId="0" borderId="0" xfId="0" applyFont="1" applyFill="1" applyBorder="1" applyAlignment="1">
      <alignment wrapText="1"/>
    </xf>
    <xf numFmtId="0" fontId="0" fillId="0" borderId="0" xfId="0" applyFont="1" applyFill="1" applyBorder="1" applyAlignment="1">
      <alignment wrapText="1"/>
    </xf>
    <xf numFmtId="0" fontId="33" fillId="0" borderId="0" xfId="0" applyFont="1" applyAlignment="1">
      <alignment wrapText="1"/>
    </xf>
    <xf numFmtId="0" fontId="0" fillId="0" borderId="0" xfId="0" quotePrefix="1" applyFill="1" applyBorder="1" applyAlignment="1">
      <alignment wrapText="1"/>
    </xf>
    <xf numFmtId="0" fontId="31" fillId="0" borderId="18" xfId="33" applyFont="1" applyBorder="1" applyAlignment="1"/>
    <xf numFmtId="0" fontId="22" fillId="0" borderId="99" xfId="22" applyFont="1" applyFill="1" applyBorder="1" applyAlignment="1"/>
    <xf numFmtId="0" fontId="22" fillId="0" borderId="100" xfId="22" applyFont="1" applyFill="1" applyBorder="1" applyAlignment="1"/>
    <xf numFmtId="0" fontId="20" fillId="0" borderId="99" xfId="33" applyFont="1" applyFill="1" applyBorder="1" applyAlignment="1"/>
    <xf numFmtId="0" fontId="20" fillId="0" borderId="99" xfId="22" applyFont="1" applyFill="1" applyBorder="1" applyAlignment="1"/>
    <xf numFmtId="0" fontId="22" fillId="0" borderId="101" xfId="22" applyFont="1" applyFill="1" applyBorder="1" applyAlignment="1"/>
    <xf numFmtId="0" fontId="20" fillId="0" borderId="28" xfId="22" applyFont="1" applyFill="1" applyBorder="1" applyAlignment="1"/>
    <xf numFmtId="0" fontId="22" fillId="0" borderId="28" xfId="22" applyFont="1" applyFill="1" applyBorder="1" applyAlignment="1"/>
    <xf numFmtId="0" fontId="20" fillId="0" borderId="101" xfId="22" applyFont="1" applyFill="1" applyBorder="1" applyAlignment="1"/>
    <xf numFmtId="0" fontId="16" fillId="0" borderId="58" xfId="0" applyFont="1" applyBorder="1" applyAlignment="1">
      <alignment horizontal="center"/>
    </xf>
    <xf numFmtId="0" fontId="16" fillId="0" borderId="103" xfId="0" applyFont="1" applyBorder="1" applyAlignment="1"/>
    <xf numFmtId="0" fontId="16" fillId="0" borderId="104" xfId="0" applyFont="1" applyBorder="1" applyAlignment="1"/>
    <xf numFmtId="0" fontId="16" fillId="0" borderId="105" xfId="0" applyFont="1" applyBorder="1" applyAlignment="1"/>
    <xf numFmtId="0" fontId="16" fillId="0" borderId="58" xfId="0" applyFont="1" applyBorder="1" applyAlignment="1"/>
    <xf numFmtId="0" fontId="16" fillId="0" borderId="104" xfId="14" applyFont="1" applyBorder="1" applyAlignment="1">
      <alignment horizontal="center"/>
    </xf>
    <xf numFmtId="0" fontId="1" fillId="0" borderId="105" xfId="14" applyFont="1" applyBorder="1"/>
    <xf numFmtId="0" fontId="16" fillId="0" borderId="58" xfId="0" applyFont="1" applyBorder="1" applyAlignment="1">
      <alignment vertical="center"/>
    </xf>
    <xf numFmtId="0" fontId="0" fillId="0" borderId="103" xfId="0" applyNumberFormat="1" applyFont="1" applyFill="1" applyBorder="1" applyAlignment="1">
      <alignment horizontal="center" vertical="center"/>
    </xf>
    <xf numFmtId="49" fontId="0" fillId="0" borderId="104" xfId="0" applyNumberFormat="1" applyFont="1" applyFill="1" applyBorder="1" applyAlignment="1">
      <alignment horizontal="center" vertical="center"/>
    </xf>
    <xf numFmtId="0" fontId="0" fillId="0" borderId="104" xfId="0" applyNumberFormat="1" applyFont="1" applyFill="1" applyBorder="1" applyAlignment="1">
      <alignment horizontal="center" vertical="center"/>
    </xf>
    <xf numFmtId="0" fontId="0" fillId="0" borderId="104" xfId="0" applyNumberFormat="1" applyFill="1" applyBorder="1" applyAlignment="1">
      <alignment vertical="center"/>
    </xf>
    <xf numFmtId="0" fontId="16" fillId="0" borderId="58" xfId="0" applyNumberFormat="1" applyFont="1" applyFill="1" applyBorder="1" applyAlignment="1">
      <alignment horizontal="center" vertical="center"/>
    </xf>
    <xf numFmtId="0" fontId="16" fillId="0" borderId="103" xfId="0" applyNumberFormat="1" applyFont="1" applyFill="1" applyBorder="1" applyAlignment="1">
      <alignment horizontal="center" vertical="center"/>
    </xf>
    <xf numFmtId="0" fontId="0" fillId="0" borderId="105" xfId="0" applyNumberFormat="1" applyFont="1" applyFill="1" applyBorder="1" applyAlignment="1">
      <alignment horizontal="center" vertical="center"/>
    </xf>
    <xf numFmtId="169" fontId="1" fillId="0" borderId="0" xfId="14" applyNumberFormat="1" applyFont="1" applyFill="1" applyAlignment="1">
      <alignment vertical="center"/>
    </xf>
    <xf numFmtId="0" fontId="0" fillId="0" borderId="58" xfId="14" applyFont="1" applyBorder="1" applyAlignment="1">
      <alignment vertical="center" wrapText="1"/>
    </xf>
    <xf numFmtId="0" fontId="0" fillId="5" borderId="66" xfId="16" applyFont="1" applyFill="1" applyBorder="1" applyAlignment="1">
      <alignment horizontal="center"/>
    </xf>
    <xf numFmtId="0" fontId="1" fillId="0" borderId="58" xfId="22" applyFont="1" applyFill="1" applyBorder="1" applyAlignment="1">
      <alignment vertical="center" wrapText="1"/>
    </xf>
    <xf numFmtId="0" fontId="1" fillId="5" borderId="50" xfId="2" applyNumberFormat="1" applyFont="1" applyFill="1" applyBorder="1" applyAlignment="1" applyProtection="1">
      <alignment textRotation="90"/>
    </xf>
    <xf numFmtId="0" fontId="50" fillId="0" borderId="50" xfId="8" applyFont="1" applyFill="1" applyBorder="1" applyAlignment="1">
      <alignment horizontal="center"/>
    </xf>
    <xf numFmtId="0" fontId="1" fillId="5" borderId="106" xfId="33" applyFont="1" applyFill="1" applyBorder="1" applyAlignment="1">
      <alignment horizontal="center"/>
    </xf>
    <xf numFmtId="0" fontId="1" fillId="5" borderId="107" xfId="25" applyFont="1" applyFill="1" applyBorder="1" applyAlignment="1">
      <alignment horizontal="center"/>
    </xf>
    <xf numFmtId="0" fontId="20" fillId="0" borderId="3" xfId="21" applyFont="1" applyFill="1" applyBorder="1" applyAlignment="1">
      <alignment vertical="center"/>
    </xf>
    <xf numFmtId="165" fontId="1" fillId="0" borderId="3" xfId="21" applyNumberFormat="1" applyFont="1" applyFill="1" applyBorder="1" applyAlignment="1">
      <alignment horizontal="right" vertical="center"/>
    </xf>
    <xf numFmtId="0" fontId="16" fillId="0" borderId="3" xfId="21" applyFont="1" applyFill="1" applyBorder="1" applyAlignment="1">
      <alignment vertical="center"/>
    </xf>
    <xf numFmtId="0" fontId="21" fillId="0" borderId="95" xfId="33" applyFill="1" applyBorder="1" applyAlignment="1"/>
    <xf numFmtId="0" fontId="22" fillId="5" borderId="25" xfId="22" applyFont="1" applyFill="1" applyBorder="1" applyAlignment="1"/>
    <xf numFmtId="0" fontId="1" fillId="3" borderId="60" xfId="22" applyFont="1" applyFill="1" applyBorder="1" applyAlignment="1">
      <alignment horizontal="left"/>
    </xf>
    <xf numFmtId="49" fontId="0" fillId="5" borderId="66" xfId="5" applyNumberFormat="1" applyFont="1" applyFill="1" applyBorder="1"/>
    <xf numFmtId="0" fontId="0" fillId="5" borderId="1" xfId="21" applyFont="1" applyFill="1" applyBorder="1"/>
    <xf numFmtId="0" fontId="1" fillId="0" borderId="66" xfId="21" applyFont="1" applyFill="1" applyBorder="1" applyAlignment="1"/>
    <xf numFmtId="0" fontId="22" fillId="12" borderId="108" xfId="14" applyFont="1" applyFill="1" applyBorder="1" applyAlignment="1"/>
    <xf numFmtId="0" fontId="22" fillId="6" borderId="25" xfId="14" applyFont="1" applyFill="1" applyBorder="1" applyAlignment="1"/>
    <xf numFmtId="0" fontId="0" fillId="0" borderId="0" xfId="22" applyFont="1"/>
    <xf numFmtId="0" fontId="0" fillId="0" borderId="61" xfId="22" applyFont="1" applyBorder="1" applyAlignment="1">
      <alignment horizontal="left"/>
    </xf>
    <xf numFmtId="0" fontId="1" fillId="0" borderId="111" xfId="21" applyFont="1" applyFill="1" applyBorder="1" applyAlignment="1">
      <alignment vertical="center"/>
    </xf>
    <xf numFmtId="0" fontId="24" fillId="0" borderId="111" xfId="21" applyFont="1" applyFill="1" applyBorder="1" applyAlignment="1">
      <alignment vertical="center"/>
    </xf>
    <xf numFmtId="0" fontId="1" fillId="0" borderId="111" xfId="21" applyFont="1" applyFill="1" applyBorder="1" applyAlignment="1"/>
    <xf numFmtId="165" fontId="1" fillId="0" borderId="111" xfId="21" applyNumberFormat="1" applyFont="1" applyFill="1" applyBorder="1" applyAlignment="1">
      <alignment horizontal="center" vertical="center"/>
    </xf>
    <xf numFmtId="167" fontId="1" fillId="0" borderId="111" xfId="21" applyNumberFormat="1" applyFont="1" applyFill="1" applyBorder="1" applyAlignment="1">
      <alignment horizontal="center" vertical="center"/>
    </xf>
    <xf numFmtId="0" fontId="16" fillId="6" borderId="25" xfId="14" applyFont="1" applyFill="1" applyBorder="1" applyAlignment="1"/>
    <xf numFmtId="0" fontId="22" fillId="13" borderId="9" xfId="14" applyFont="1" applyFill="1" applyBorder="1" applyAlignment="1"/>
    <xf numFmtId="0" fontId="22" fillId="13" borderId="0" xfId="14" applyFont="1" applyFill="1" applyBorder="1" applyAlignment="1"/>
    <xf numFmtId="0" fontId="1" fillId="0" borderId="0" xfId="22" applyFont="1" applyFill="1" applyAlignment="1">
      <alignment horizontal="left"/>
    </xf>
    <xf numFmtId="0" fontId="1" fillId="0" borderId="60" xfId="22" applyFont="1" applyFill="1" applyBorder="1" applyAlignment="1">
      <alignment horizontal="left"/>
    </xf>
    <xf numFmtId="0" fontId="21" fillId="5" borderId="112" xfId="33" applyFill="1" applyBorder="1"/>
    <xf numFmtId="0" fontId="1" fillId="23" borderId="58" xfId="22" applyFont="1" applyFill="1" applyBorder="1" applyAlignment="1">
      <alignment horizontal="center" vertical="center"/>
    </xf>
    <xf numFmtId="0" fontId="4" fillId="23" borderId="58" xfId="22" applyFont="1" applyFill="1" applyBorder="1" applyAlignment="1">
      <alignment horizontal="center" vertical="center"/>
    </xf>
    <xf numFmtId="0" fontId="0" fillId="0" borderId="59" xfId="22" applyFont="1" applyFill="1" applyBorder="1"/>
    <xf numFmtId="0" fontId="22" fillId="12" borderId="113" xfId="22" applyFont="1" applyFill="1" applyBorder="1" applyAlignment="1"/>
    <xf numFmtId="0" fontId="16" fillId="0" borderId="0" xfId="0" applyFont="1"/>
    <xf numFmtId="0" fontId="21" fillId="6" borderId="112" xfId="33" applyFill="1" applyBorder="1"/>
    <xf numFmtId="0" fontId="0" fillId="0" borderId="58" xfId="0" applyBorder="1" applyAlignment="1">
      <alignment vertical="top" wrapText="1"/>
    </xf>
    <xf numFmtId="0" fontId="0" fillId="0" borderId="104" xfId="0" applyBorder="1"/>
    <xf numFmtId="0" fontId="0" fillId="0" borderId="105" xfId="0" applyBorder="1"/>
    <xf numFmtId="0" fontId="27" fillId="0" borderId="58" xfId="0" applyFont="1" applyBorder="1"/>
    <xf numFmtId="0" fontId="18" fillId="0" borderId="103" xfId="0" applyFont="1" applyBorder="1"/>
    <xf numFmtId="0" fontId="18" fillId="0" borderId="104" xfId="0" applyFont="1" applyBorder="1"/>
    <xf numFmtId="0" fontId="18" fillId="0" borderId="105" xfId="0" applyFont="1" applyBorder="1"/>
    <xf numFmtId="0" fontId="18" fillId="0" borderId="58" xfId="0" applyFont="1" applyBorder="1" applyAlignment="1">
      <alignment horizontal="center"/>
    </xf>
    <xf numFmtId="0" fontId="18" fillId="0" borderId="58" xfId="0" applyFont="1" applyBorder="1"/>
    <xf numFmtId="0" fontId="27" fillId="0" borderId="58" xfId="0" applyFont="1" applyBorder="1" applyAlignment="1">
      <alignment wrapText="1"/>
    </xf>
    <xf numFmtId="0" fontId="27" fillId="18" borderId="103" xfId="0" applyFont="1" applyFill="1" applyBorder="1"/>
    <xf numFmtId="0" fontId="27" fillId="18" borderId="104" xfId="0" applyFont="1" applyFill="1" applyBorder="1"/>
    <xf numFmtId="0" fontId="27" fillId="18" borderId="105" xfId="0" applyFont="1" applyFill="1" applyBorder="1"/>
    <xf numFmtId="0" fontId="27" fillId="0" borderId="58" xfId="0" applyFont="1" applyBorder="1" applyAlignment="1">
      <alignment horizontal="center"/>
    </xf>
    <xf numFmtId="0" fontId="27" fillId="0" borderId="104" xfId="0" applyFont="1" applyBorder="1"/>
    <xf numFmtId="0" fontId="27" fillId="0" borderId="105" xfId="0" applyFont="1" applyBorder="1"/>
    <xf numFmtId="0" fontId="27" fillId="0" borderId="103" xfId="0" applyFont="1" applyBorder="1"/>
    <xf numFmtId="0" fontId="27" fillId="18" borderId="58" xfId="0" applyFont="1" applyFill="1" applyBorder="1"/>
    <xf numFmtId="0" fontId="27" fillId="0" borderId="58" xfId="14" applyFont="1" applyFill="1" applyBorder="1" applyAlignment="1">
      <alignment vertical="center" wrapText="1"/>
    </xf>
    <xf numFmtId="0" fontId="55" fillId="0" borderId="0" xfId="0" applyFont="1"/>
    <xf numFmtId="0" fontId="27" fillId="0" borderId="58" xfId="0" quotePrefix="1" applyFont="1" applyBorder="1" applyAlignment="1">
      <alignment horizontal="center"/>
    </xf>
    <xf numFmtId="0" fontId="18" fillId="0" borderId="103" xfId="0" applyFont="1" applyBorder="1" applyAlignment="1"/>
    <xf numFmtId="0" fontId="0" fillId="17" borderId="103" xfId="0" applyNumberFormat="1" applyFont="1" applyFill="1" applyBorder="1" applyAlignment="1">
      <alignment horizontal="center" vertical="center"/>
    </xf>
    <xf numFmtId="0" fontId="0" fillId="17" borderId="105" xfId="0" applyNumberFormat="1" applyFont="1" applyFill="1" applyBorder="1" applyAlignment="1">
      <alignment horizontal="center" vertical="center"/>
    </xf>
    <xf numFmtId="0" fontId="18" fillId="0" borderId="104" xfId="0" applyFont="1" applyBorder="1" applyAlignment="1">
      <alignment horizontal="center"/>
    </xf>
    <xf numFmtId="0" fontId="1" fillId="5" borderId="18" xfId="14" applyFont="1" applyFill="1" applyBorder="1" applyAlignment="1"/>
    <xf numFmtId="0" fontId="23" fillId="5" borderId="30" xfId="33" applyFont="1" applyFill="1" applyBorder="1" applyAlignment="1"/>
    <xf numFmtId="0" fontId="22" fillId="0" borderId="101" xfId="14" applyFont="1" applyFill="1" applyBorder="1" applyAlignment="1"/>
    <xf numFmtId="0" fontId="21" fillId="0" borderId="66" xfId="33" applyFill="1" applyBorder="1"/>
    <xf numFmtId="0" fontId="21" fillId="6" borderId="115" xfId="33" applyFill="1" applyBorder="1"/>
    <xf numFmtId="49" fontId="1" fillId="0" borderId="112" xfId="5" applyNumberFormat="1" applyFont="1" applyFill="1" applyBorder="1"/>
    <xf numFmtId="0" fontId="1" fillId="0" borderId="112" xfId="21" applyFont="1" applyFill="1" applyBorder="1"/>
    <xf numFmtId="0" fontId="1" fillId="0" borderId="112" xfId="21" applyFont="1" applyFill="1" applyBorder="1" applyAlignment="1"/>
    <xf numFmtId="0" fontId="21" fillId="0" borderId="112" xfId="33" applyFill="1" applyBorder="1"/>
    <xf numFmtId="0" fontId="23" fillId="0" borderId="112" xfId="33" applyFont="1" applyFill="1" applyBorder="1" applyAlignment="1"/>
    <xf numFmtId="0" fontId="1" fillId="0" borderId="112" xfId="6" applyFont="1" applyFill="1" applyBorder="1" applyAlignment="1">
      <alignment horizontal="left"/>
    </xf>
    <xf numFmtId="166" fontId="1" fillId="0" borderId="112" xfId="21" applyNumberFormat="1" applyFont="1" applyFill="1" applyBorder="1" applyAlignment="1">
      <alignment horizontal="center"/>
    </xf>
    <xf numFmtId="167" fontId="1" fillId="0" borderId="112" xfId="21" applyNumberFormat="1" applyFont="1" applyFill="1" applyBorder="1" applyAlignment="1">
      <alignment horizontal="center"/>
    </xf>
    <xf numFmtId="0" fontId="0" fillId="0" borderId="60" xfId="22" applyFont="1" applyBorder="1" applyAlignment="1">
      <alignment horizontal="left"/>
    </xf>
    <xf numFmtId="0" fontId="27" fillId="0" borderId="0" xfId="0" applyFont="1"/>
    <xf numFmtId="0" fontId="1" fillId="0" borderId="66" xfId="8" applyFont="1" applyFill="1" applyBorder="1" applyAlignment="1"/>
    <xf numFmtId="0" fontId="16" fillId="0" borderId="0" xfId="14" applyFont="1" applyAlignment="1">
      <alignment horizontal="right"/>
    </xf>
    <xf numFmtId="0" fontId="0" fillId="0" borderId="0" xfId="14" applyFont="1" applyAlignment="1"/>
    <xf numFmtId="0" fontId="55" fillId="0" borderId="0" xfId="14" applyFont="1"/>
    <xf numFmtId="0" fontId="27" fillId="0" borderId="0" xfId="14" applyFont="1"/>
    <xf numFmtId="0" fontId="27" fillId="0" borderId="58" xfId="14" applyFont="1" applyBorder="1"/>
    <xf numFmtId="0" fontId="18" fillId="0" borderId="104" xfId="14" applyFont="1" applyBorder="1"/>
    <xf numFmtId="0" fontId="18" fillId="0" borderId="58" xfId="14" applyFont="1" applyBorder="1" applyAlignment="1">
      <alignment horizontal="center"/>
    </xf>
    <xf numFmtId="0" fontId="18" fillId="0" borderId="103" xfId="14" applyFont="1" applyBorder="1"/>
    <xf numFmtId="0" fontId="18" fillId="0" borderId="105" xfId="14" applyFont="1" applyBorder="1"/>
    <xf numFmtId="0" fontId="27" fillId="0" borderId="0" xfId="14" applyFont="1" applyAlignment="1">
      <alignment horizontal="right"/>
    </xf>
    <xf numFmtId="0" fontId="27" fillId="0" borderId="0" xfId="14" applyFont="1" applyAlignment="1"/>
    <xf numFmtId="0" fontId="27" fillId="18" borderId="104" xfId="14" applyFont="1" applyFill="1" applyBorder="1"/>
    <xf numFmtId="0" fontId="27" fillId="0" borderId="58" xfId="14" applyFont="1" applyBorder="1" applyAlignment="1">
      <alignment horizontal="center"/>
    </xf>
    <xf numFmtId="0" fontId="27" fillId="0" borderId="104" xfId="14" applyFont="1" applyFill="1" applyBorder="1"/>
    <xf numFmtId="0" fontId="27" fillId="0" borderId="58" xfId="14" applyFont="1" applyFill="1" applyBorder="1" applyAlignment="1">
      <alignment horizontal="center"/>
    </xf>
    <xf numFmtId="0" fontId="27" fillId="0" borderId="103" xfId="14" applyFont="1" applyFill="1" applyBorder="1"/>
    <xf numFmtId="0" fontId="27" fillId="0" borderId="105" xfId="14" applyFont="1" applyFill="1" applyBorder="1"/>
    <xf numFmtId="0" fontId="27" fillId="0" borderId="0" xfId="14" quotePrefix="1" applyFont="1" applyFill="1" applyAlignment="1">
      <alignment horizontal="center"/>
    </xf>
    <xf numFmtId="169" fontId="27" fillId="0" borderId="0" xfId="14" applyNumberFormat="1" applyFont="1" applyFill="1" applyAlignment="1">
      <alignment vertical="center"/>
    </xf>
    <xf numFmtId="0" fontId="18" fillId="0" borderId="0" xfId="14" applyFont="1" applyAlignment="1">
      <alignment horizontal="right"/>
    </xf>
    <xf numFmtId="0" fontId="27" fillId="0" borderId="104" xfId="14" applyFont="1" applyBorder="1"/>
    <xf numFmtId="0" fontId="27" fillId="18" borderId="58" xfId="14" applyFont="1" applyFill="1" applyBorder="1" applyAlignment="1">
      <alignment horizontal="center"/>
    </xf>
    <xf numFmtId="169" fontId="27" fillId="0" borderId="0" xfId="14" applyNumberFormat="1" applyFont="1" applyFill="1" applyAlignment="1">
      <alignment horizontal="center" vertical="center"/>
    </xf>
    <xf numFmtId="0" fontId="27" fillId="0" borderId="58" xfId="14" applyFont="1" applyBorder="1" applyAlignment="1">
      <alignment vertical="center" wrapText="1"/>
    </xf>
    <xf numFmtId="0" fontId="27" fillId="0" borderId="103" xfId="14" applyFont="1" applyBorder="1"/>
    <xf numFmtId="0" fontId="27" fillId="0" borderId="105" xfId="14" applyFont="1" applyBorder="1"/>
    <xf numFmtId="169" fontId="27" fillId="0" borderId="0" xfId="14" quotePrefix="1" applyNumberFormat="1" applyFont="1" applyFill="1" applyAlignment="1">
      <alignment horizontal="center" vertical="center"/>
    </xf>
    <xf numFmtId="0" fontId="27" fillId="18" borderId="103" xfId="14" applyFont="1" applyFill="1" applyBorder="1"/>
    <xf numFmtId="0" fontId="27" fillId="18" borderId="105" xfId="14" applyFont="1" applyFill="1" applyBorder="1"/>
    <xf numFmtId="0" fontId="27" fillId="0" borderId="60" xfId="14" applyFont="1" applyBorder="1"/>
    <xf numFmtId="0" fontId="27" fillId="0" borderId="0" xfId="14" applyFont="1" applyBorder="1"/>
    <xf numFmtId="0" fontId="22" fillId="0" borderId="110" xfId="22" applyFont="1" applyFill="1" applyBorder="1" applyAlignment="1"/>
    <xf numFmtId="0" fontId="1" fillId="0" borderId="110" xfId="33" applyFont="1" applyFill="1" applyBorder="1" applyAlignment="1">
      <alignment horizontal="right"/>
    </xf>
    <xf numFmtId="0" fontId="29" fillId="0" borderId="116" xfId="33" applyFont="1" applyFill="1" applyBorder="1" applyAlignment="1"/>
    <xf numFmtId="0" fontId="56" fillId="0" borderId="66" xfId="8" applyFont="1" applyFill="1" applyBorder="1" applyAlignment="1"/>
    <xf numFmtId="0" fontId="48" fillId="0" borderId="66" xfId="8" applyFont="1" applyFill="1" applyBorder="1" applyAlignment="1"/>
    <xf numFmtId="0" fontId="16" fillId="13" borderId="0" xfId="14" applyFont="1" applyFill="1" applyBorder="1" applyAlignment="1"/>
    <xf numFmtId="0" fontId="20" fillId="13" borderId="9" xfId="22" applyFont="1" applyFill="1" applyBorder="1" applyAlignment="1"/>
    <xf numFmtId="0" fontId="22" fillId="13" borderId="0" xfId="22" applyFont="1" applyFill="1" applyBorder="1" applyAlignment="1"/>
    <xf numFmtId="0" fontId="1" fillId="0" borderId="118" xfId="14" applyFont="1" applyFill="1" applyBorder="1" applyAlignment="1"/>
    <xf numFmtId="0" fontId="29" fillId="0" borderId="118" xfId="33" applyFont="1" applyFill="1" applyBorder="1" applyAlignment="1">
      <alignment horizontal="right"/>
    </xf>
    <xf numFmtId="0" fontId="22" fillId="12" borderId="22" xfId="14" applyFont="1" applyFill="1" applyBorder="1" applyAlignment="1"/>
    <xf numFmtId="0" fontId="1" fillId="0" borderId="119" xfId="14" applyFont="1" applyFill="1" applyBorder="1" applyAlignment="1"/>
    <xf numFmtId="0" fontId="22" fillId="12" borderId="120" xfId="14" applyFont="1" applyFill="1" applyBorder="1" applyAlignment="1"/>
    <xf numFmtId="0" fontId="1" fillId="0" borderId="121" xfId="14" applyFont="1" applyFill="1" applyBorder="1" applyAlignment="1"/>
    <xf numFmtId="0" fontId="16" fillId="0" borderId="122" xfId="14" applyFont="1" applyFill="1" applyBorder="1" applyAlignment="1"/>
    <xf numFmtId="0" fontId="1" fillId="0" borderId="123" xfId="14" applyFont="1" applyFill="1" applyBorder="1" applyAlignment="1"/>
    <xf numFmtId="0" fontId="1" fillId="0" borderId="84" xfId="14" applyFont="1" applyFill="1" applyBorder="1" applyAlignment="1"/>
    <xf numFmtId="0" fontId="16" fillId="0" borderId="124" xfId="14" applyFont="1" applyFill="1" applyBorder="1" applyAlignment="1"/>
    <xf numFmtId="0" fontId="0" fillId="0" borderId="125" xfId="0" applyFont="1" applyFill="1" applyBorder="1" applyAlignment="1"/>
    <xf numFmtId="0" fontId="16" fillId="5" borderId="45" xfId="14" applyFont="1" applyFill="1" applyBorder="1" applyAlignment="1"/>
    <xf numFmtId="0" fontId="16" fillId="7" borderId="45" xfId="14" applyFont="1" applyFill="1" applyBorder="1" applyAlignment="1"/>
    <xf numFmtId="0" fontId="16" fillId="7" borderId="86" xfId="14" applyFont="1" applyFill="1" applyBorder="1" applyAlignment="1"/>
    <xf numFmtId="0" fontId="0" fillId="0" borderId="84" xfId="0" applyFont="1" applyFill="1" applyBorder="1" applyAlignment="1"/>
    <xf numFmtId="0" fontId="0" fillId="5" borderId="66" xfId="21" applyNumberFormat="1" applyFont="1" applyFill="1" applyBorder="1" applyAlignment="1">
      <alignment horizontal="left"/>
    </xf>
    <xf numFmtId="0" fontId="0" fillId="0" borderId="66" xfId="21" applyNumberFormat="1" applyFont="1" applyFill="1" applyBorder="1" applyAlignment="1">
      <alignment horizontal="left"/>
    </xf>
    <xf numFmtId="49" fontId="0" fillId="0" borderId="66" xfId="5" applyNumberFormat="1" applyFont="1" applyFill="1" applyBorder="1"/>
    <xf numFmtId="0" fontId="1" fillId="0" borderId="66" xfId="21" applyFont="1" applyFill="1" applyBorder="1" applyAlignment="1">
      <alignment vertical="center"/>
    </xf>
    <xf numFmtId="165" fontId="1" fillId="0" borderId="66" xfId="21" applyNumberFormat="1" applyFont="1" applyFill="1" applyBorder="1" applyAlignment="1">
      <alignment horizontal="center" vertical="center"/>
    </xf>
    <xf numFmtId="167" fontId="1" fillId="0" borderId="66" xfId="21" applyNumberFormat="1" applyFont="1" applyFill="1" applyBorder="1" applyAlignment="1">
      <alignment horizontal="center" vertical="center"/>
    </xf>
    <xf numFmtId="0" fontId="16" fillId="13" borderId="0" xfId="21" quotePrefix="1" applyNumberFormat="1" applyFont="1" applyFill="1" applyAlignment="1">
      <alignment horizontal="left" vertical="center"/>
    </xf>
    <xf numFmtId="20" fontId="16" fillId="13" borderId="0" xfId="21" applyNumberFormat="1" applyFont="1" applyFill="1" applyAlignment="1">
      <alignment horizontal="left" vertical="center"/>
    </xf>
    <xf numFmtId="0" fontId="16" fillId="13" borderId="3" xfId="21" quotePrefix="1" applyNumberFormat="1" applyFont="1" applyFill="1" applyBorder="1" applyAlignment="1">
      <alignment horizontal="left" vertical="center"/>
    </xf>
    <xf numFmtId="20" fontId="16" fillId="13" borderId="3" xfId="21" applyNumberFormat="1" applyFont="1" applyFill="1" applyBorder="1" applyAlignment="1">
      <alignment horizontal="left" vertical="center"/>
    </xf>
    <xf numFmtId="0" fontId="16" fillId="13" borderId="111" xfId="21" quotePrefix="1" applyNumberFormat="1" applyFont="1" applyFill="1" applyBorder="1" applyAlignment="1">
      <alignment horizontal="left" vertical="center"/>
    </xf>
    <xf numFmtId="20" fontId="1" fillId="13" borderId="111" xfId="21" applyNumberFormat="1" applyFont="1" applyFill="1" applyBorder="1" applyAlignment="1">
      <alignment horizontal="left" vertical="center"/>
    </xf>
    <xf numFmtId="20" fontId="1" fillId="13" borderId="3" xfId="21" applyNumberFormat="1" applyFont="1" applyFill="1" applyBorder="1" applyAlignment="1">
      <alignment horizontal="left" vertical="center"/>
    </xf>
    <xf numFmtId="0" fontId="16" fillId="13" borderId="0" xfId="21" quotePrefix="1" applyNumberFormat="1" applyFont="1" applyFill="1" applyBorder="1" applyAlignment="1">
      <alignment horizontal="left" vertical="center"/>
    </xf>
    <xf numFmtId="20" fontId="1" fillId="13" borderId="0" xfId="21" applyNumberFormat="1" applyFont="1" applyFill="1" applyBorder="1" applyAlignment="1">
      <alignment horizontal="left" vertical="center"/>
    </xf>
    <xf numFmtId="20" fontId="1" fillId="13" borderId="0" xfId="21" applyNumberFormat="1" applyFont="1" applyFill="1" applyAlignment="1">
      <alignment horizontal="left" vertical="center"/>
    </xf>
    <xf numFmtId="0" fontId="26" fillId="5" borderId="66" xfId="33" applyFont="1" applyFill="1" applyBorder="1"/>
    <xf numFmtId="0" fontId="26" fillId="0" borderId="66" xfId="33" applyFont="1" applyFill="1" applyBorder="1"/>
    <xf numFmtId="0" fontId="22" fillId="10" borderId="25" xfId="22" applyFont="1" applyFill="1" applyBorder="1" applyAlignment="1"/>
    <xf numFmtId="0" fontId="1" fillId="5" borderId="10" xfId="14" applyFont="1" applyFill="1" applyBorder="1" applyAlignment="1"/>
    <xf numFmtId="0" fontId="22" fillId="0" borderId="0" xfId="22" applyFont="1" applyBorder="1" applyAlignment="1"/>
    <xf numFmtId="0" fontId="22" fillId="0" borderId="0" xfId="22" applyFont="1" applyAlignment="1"/>
    <xf numFmtId="0" fontId="26" fillId="0" borderId="0" xfId="33" applyFont="1" applyAlignment="1"/>
    <xf numFmtId="0" fontId="15" fillId="0" borderId="0" xfId="22" applyFont="1" applyAlignment="1"/>
    <xf numFmtId="0" fontId="22" fillId="4" borderId="6" xfId="22" applyFont="1" applyFill="1" applyBorder="1" applyAlignment="1"/>
    <xf numFmtId="0" fontId="22" fillId="4" borderId="7" xfId="22" applyFont="1" applyFill="1" applyBorder="1" applyAlignment="1"/>
    <xf numFmtId="0" fontId="22" fillId="4" borderId="8" xfId="22" applyFont="1" applyFill="1" applyBorder="1" applyAlignment="1"/>
    <xf numFmtId="0" fontId="1" fillId="0" borderId="11" xfId="14" applyFont="1" applyBorder="1" applyAlignment="1"/>
    <xf numFmtId="0" fontId="1" fillId="0" borderId="124" xfId="14" applyFont="1" applyBorder="1" applyAlignment="1"/>
    <xf numFmtId="0" fontId="1" fillId="0" borderId="45" xfId="14" applyFont="1" applyBorder="1" applyAlignment="1"/>
    <xf numFmtId="0" fontId="0" fillId="0" borderId="0" xfId="0" applyBorder="1" applyAlignment="1"/>
    <xf numFmtId="0" fontId="1" fillId="0" borderId="84" xfId="14" applyFont="1" applyBorder="1" applyAlignment="1"/>
    <xf numFmtId="0" fontId="22" fillId="11" borderId="9" xfId="22" applyFont="1" applyFill="1" applyBorder="1" applyAlignment="1"/>
    <xf numFmtId="0" fontId="20" fillId="11" borderId="9" xfId="22" applyFont="1" applyFill="1" applyBorder="1" applyAlignment="1"/>
    <xf numFmtId="0" fontId="20" fillId="0" borderId="18" xfId="22" applyFont="1" applyBorder="1" applyAlignment="1"/>
    <xf numFmtId="0" fontId="22" fillId="0" borderId="18" xfId="22" applyFont="1" applyBorder="1" applyAlignment="1"/>
    <xf numFmtId="0" fontId="22" fillId="0" borderId="0" xfId="22" applyFont="1" applyFill="1" applyAlignment="1"/>
    <xf numFmtId="0" fontId="20" fillId="0" borderId="24" xfId="22" applyFont="1" applyFill="1" applyBorder="1" applyAlignment="1"/>
    <xf numFmtId="0" fontId="22" fillId="0" borderId="25" xfId="22" applyFont="1" applyBorder="1" applyAlignment="1"/>
    <xf numFmtId="0" fontId="22" fillId="0" borderId="30" xfId="22" applyFont="1" applyBorder="1" applyAlignment="1"/>
    <xf numFmtId="0" fontId="22" fillId="0" borderId="33" xfId="22" applyFont="1" applyBorder="1" applyAlignment="1"/>
    <xf numFmtId="0" fontId="1" fillId="0" borderId="117" xfId="14" applyFont="1" applyBorder="1" applyAlignment="1"/>
    <xf numFmtId="0" fontId="30" fillId="0" borderId="118" xfId="33" applyFont="1" applyFill="1" applyBorder="1" applyAlignment="1"/>
    <xf numFmtId="0" fontId="30" fillId="0" borderId="118" xfId="0" applyFont="1" applyBorder="1" applyAlignment="1"/>
    <xf numFmtId="0" fontId="32" fillId="0" borderId="118" xfId="14" applyFont="1" applyBorder="1" applyAlignment="1">
      <alignment horizontal="center"/>
    </xf>
    <xf numFmtId="0" fontId="20" fillId="0" borderId="29" xfId="22" applyFont="1" applyBorder="1" applyAlignment="1"/>
    <xf numFmtId="0" fontId="22" fillId="0" borderId="29" xfId="22" applyFont="1" applyBorder="1" applyAlignment="1"/>
    <xf numFmtId="0" fontId="1" fillId="0" borderId="24" xfId="5" applyFont="1" applyBorder="1" applyAlignment="1"/>
    <xf numFmtId="0" fontId="30" fillId="0" borderId="75" xfId="5" applyFont="1" applyFill="1" applyBorder="1" applyAlignment="1">
      <alignment horizontal="right"/>
    </xf>
    <xf numFmtId="0" fontId="20" fillId="0" borderId="20" xfId="22" applyFont="1" applyBorder="1" applyAlignment="1"/>
    <xf numFmtId="0" fontId="16" fillId="5" borderId="25" xfId="22" applyFont="1" applyFill="1" applyBorder="1" applyAlignment="1"/>
    <xf numFmtId="0" fontId="20" fillId="0" borderId="80" xfId="22" applyFont="1" applyFill="1" applyBorder="1" applyAlignment="1"/>
    <xf numFmtId="0" fontId="20" fillId="11" borderId="0" xfId="22" applyFont="1" applyFill="1" applyBorder="1" applyAlignment="1"/>
    <xf numFmtId="0" fontId="20" fillId="0" borderId="0" xfId="22" applyFont="1" applyBorder="1" applyAlignment="1"/>
    <xf numFmtId="0" fontId="22" fillId="0" borderId="28" xfId="22" applyFont="1" applyBorder="1" applyAlignment="1"/>
    <xf numFmtId="0" fontId="16" fillId="7" borderId="25" xfId="22" applyFont="1" applyFill="1" applyBorder="1" applyAlignment="1"/>
    <xf numFmtId="0" fontId="16" fillId="7" borderId="93" xfId="22" applyFont="1" applyFill="1" applyBorder="1" applyAlignment="1"/>
    <xf numFmtId="0" fontId="22" fillId="0" borderId="20" xfId="22" applyFont="1" applyBorder="1" applyAlignment="1"/>
    <xf numFmtId="0" fontId="1" fillId="0" borderId="18" xfId="22" applyFont="1" applyFill="1" applyBorder="1" applyAlignment="1"/>
    <xf numFmtId="0" fontId="22" fillId="0" borderId="101" xfId="22" applyFont="1" applyBorder="1" applyAlignment="1"/>
    <xf numFmtId="0" fontId="22" fillId="0" borderId="99" xfId="22" applyFont="1" applyBorder="1" applyAlignment="1"/>
    <xf numFmtId="0" fontId="22" fillId="12" borderId="23" xfId="22" applyFont="1" applyFill="1" applyBorder="1" applyAlignment="1"/>
    <xf numFmtId="0" fontId="16" fillId="12" borderId="22" xfId="22" applyFont="1" applyFill="1" applyBorder="1" applyAlignment="1"/>
    <xf numFmtId="0" fontId="22" fillId="0" borderId="45" xfId="22" applyFont="1" applyFill="1" applyBorder="1" applyAlignment="1"/>
    <xf numFmtId="0" fontId="29" fillId="0" borderId="0" xfId="33" applyFont="1" applyFill="1" applyBorder="1" applyAlignment="1"/>
    <xf numFmtId="0" fontId="16" fillId="5" borderId="93" xfId="22" applyFont="1" applyFill="1" applyBorder="1" applyAlignment="1"/>
    <xf numFmtId="0" fontId="29" fillId="0" borderId="24" xfId="33" applyFont="1" applyFill="1" applyBorder="1" applyAlignment="1"/>
    <xf numFmtId="0" fontId="29" fillId="0" borderId="109" xfId="33" applyFont="1" applyFill="1" applyBorder="1" applyAlignment="1"/>
    <xf numFmtId="0" fontId="30" fillId="0" borderId="18" xfId="22" applyFont="1" applyFill="1" applyBorder="1" applyAlignment="1"/>
    <xf numFmtId="0" fontId="22" fillId="0" borderId="127" xfId="22" applyFont="1" applyBorder="1" applyAlignment="1"/>
    <xf numFmtId="0" fontId="20" fillId="0" borderId="25" xfId="1" applyFont="1" applyFill="1" applyBorder="1" applyAlignment="1"/>
    <xf numFmtId="0" fontId="16" fillId="9" borderId="47" xfId="22" applyFont="1" applyFill="1" applyBorder="1" applyAlignment="1"/>
    <xf numFmtId="0" fontId="20" fillId="0" borderId="82" xfId="22" applyFont="1" applyFill="1" applyBorder="1" applyAlignment="1"/>
    <xf numFmtId="0" fontId="20" fillId="0" borderId="99" xfId="22" applyFont="1" applyBorder="1" applyAlignment="1"/>
    <xf numFmtId="0" fontId="16" fillId="0" borderId="18" xfId="22" applyFont="1" applyFill="1" applyBorder="1" applyAlignment="1"/>
    <xf numFmtId="0" fontId="22" fillId="0" borderId="42" xfId="22" applyFont="1" applyFill="1" applyBorder="1" applyAlignment="1"/>
    <xf numFmtId="0" fontId="20" fillId="0" borderId="36" xfId="22" applyFont="1" applyFill="1" applyBorder="1" applyAlignment="1"/>
    <xf numFmtId="0" fontId="22" fillId="0" borderId="127" xfId="22" applyFont="1" applyFill="1" applyBorder="1" applyAlignment="1"/>
    <xf numFmtId="0" fontId="20" fillId="0" borderId="25" xfId="22" applyFont="1" applyBorder="1" applyAlignment="1"/>
    <xf numFmtId="0" fontId="22" fillId="24" borderId="0" xfId="22" applyFont="1" applyFill="1" applyBorder="1" applyAlignment="1"/>
    <xf numFmtId="0" fontId="21" fillId="24" borderId="0" xfId="33" applyFill="1" applyBorder="1" applyAlignment="1"/>
    <xf numFmtId="0" fontId="1" fillId="7" borderId="18" xfId="22" applyFont="1" applyFill="1" applyBorder="1" applyAlignment="1"/>
    <xf numFmtId="0" fontId="22" fillId="7" borderId="25" xfId="22" applyFont="1" applyFill="1" applyBorder="1" applyAlignment="1"/>
    <xf numFmtId="0" fontId="22" fillId="5" borderId="45" xfId="22" applyFont="1" applyFill="1" applyBorder="1" applyAlignment="1"/>
    <xf numFmtId="0" fontId="22" fillId="5" borderId="127" xfId="22" applyFont="1" applyFill="1" applyBorder="1" applyAlignment="1"/>
    <xf numFmtId="0" fontId="22" fillId="9" borderId="25" xfId="14" applyFont="1" applyFill="1" applyBorder="1" applyAlignment="1"/>
    <xf numFmtId="0" fontId="22" fillId="9" borderId="81" xfId="14" applyFont="1" applyFill="1" applyBorder="1" applyAlignment="1"/>
    <xf numFmtId="0" fontId="22" fillId="5" borderId="81" xfId="22" applyFont="1" applyFill="1" applyBorder="1" applyAlignment="1"/>
    <xf numFmtId="0" fontId="22" fillId="5" borderId="25" xfId="14" applyFont="1" applyFill="1" applyBorder="1" applyAlignment="1"/>
    <xf numFmtId="0" fontId="23" fillId="7" borderId="30" xfId="33" applyFont="1" applyFill="1" applyBorder="1" applyAlignment="1"/>
    <xf numFmtId="0" fontId="22" fillId="7" borderId="93" xfId="22" applyFont="1" applyFill="1" applyBorder="1" applyAlignment="1"/>
    <xf numFmtId="0" fontId="22" fillId="0" borderId="93" xfId="22" applyFont="1" applyFill="1" applyBorder="1" applyAlignment="1"/>
    <xf numFmtId="0" fontId="22" fillId="9" borderId="25" xfId="22" applyFont="1" applyFill="1" applyBorder="1" applyAlignment="1"/>
    <xf numFmtId="0" fontId="16" fillId="0" borderId="80" xfId="22" applyFont="1" applyFill="1" applyBorder="1" applyAlignment="1"/>
    <xf numFmtId="0" fontId="30" fillId="0" borderId="110" xfId="22" applyFont="1" applyFill="1" applyBorder="1" applyAlignment="1"/>
    <xf numFmtId="0" fontId="30" fillId="0" borderId="25" xfId="22" applyFont="1" applyFill="1" applyBorder="1" applyAlignment="1"/>
    <xf numFmtId="0" fontId="22" fillId="12" borderId="113" xfId="14" applyFont="1" applyFill="1" applyBorder="1" applyAlignment="1"/>
    <xf numFmtId="0" fontId="0" fillId="0" borderId="24" xfId="0" applyBorder="1" applyAlignment="1"/>
    <xf numFmtId="0" fontId="35" fillId="0" borderId="130" xfId="22" applyFont="1" applyFill="1" applyBorder="1" applyAlignment="1">
      <alignment horizontal="right"/>
    </xf>
    <xf numFmtId="0" fontId="16" fillId="0" borderId="130" xfId="22" applyFont="1" applyFill="1" applyBorder="1" applyAlignment="1"/>
    <xf numFmtId="0" fontId="16" fillId="5" borderId="130" xfId="22" applyFont="1" applyFill="1" applyBorder="1" applyAlignment="1"/>
    <xf numFmtId="0" fontId="22" fillId="0" borderId="130" xfId="22" applyFont="1" applyFill="1" applyBorder="1" applyAlignment="1"/>
    <xf numFmtId="0" fontId="22" fillId="7" borderId="110" xfId="22" applyFont="1" applyFill="1" applyBorder="1" applyAlignment="1"/>
    <xf numFmtId="0" fontId="1" fillId="0" borderId="131" xfId="5" applyFont="1" applyFill="1" applyBorder="1" applyAlignment="1"/>
    <xf numFmtId="0" fontId="16" fillId="12" borderId="46" xfId="5" applyFont="1" applyFill="1" applyBorder="1" applyAlignment="1"/>
    <xf numFmtId="0" fontId="1" fillId="0" borderId="28" xfId="5" applyFont="1" applyFill="1" applyBorder="1" applyAlignment="1"/>
    <xf numFmtId="0" fontId="16" fillId="12" borderId="132" xfId="5" applyFont="1" applyFill="1" applyBorder="1" applyAlignment="1"/>
    <xf numFmtId="0" fontId="16" fillId="12" borderId="70" xfId="5" applyFont="1" applyFill="1" applyBorder="1" applyAlignment="1"/>
    <xf numFmtId="0" fontId="30" fillId="0" borderId="133" xfId="5" applyFont="1" applyFill="1" applyBorder="1" applyAlignment="1">
      <alignment horizontal="right"/>
    </xf>
    <xf numFmtId="0" fontId="1" fillId="0" borderId="134" xfId="5" applyFont="1" applyFill="1" applyBorder="1" applyAlignment="1"/>
    <xf numFmtId="0" fontId="16" fillId="12" borderId="120" xfId="14" applyFont="1" applyFill="1" applyBorder="1" applyAlignment="1"/>
    <xf numFmtId="0" fontId="16" fillId="0" borderId="93" xfId="22" applyFont="1" applyFill="1" applyBorder="1" applyAlignment="1"/>
    <xf numFmtId="0" fontId="22" fillId="12" borderId="70" xfId="14" applyFont="1" applyFill="1" applyBorder="1" applyAlignment="1"/>
    <xf numFmtId="0" fontId="20" fillId="0" borderId="99" xfId="14" applyFont="1" applyFill="1" applyBorder="1" applyAlignment="1"/>
    <xf numFmtId="0" fontId="22" fillId="0" borderId="130" xfId="14" applyFont="1" applyFill="1" applyBorder="1" applyAlignment="1"/>
    <xf numFmtId="0" fontId="20" fillId="0" borderId="101" xfId="14" applyFont="1" applyFill="1" applyBorder="1" applyAlignment="1"/>
    <xf numFmtId="0" fontId="16" fillId="0" borderId="130" xfId="14" applyFont="1" applyFill="1" applyBorder="1" applyAlignment="1"/>
    <xf numFmtId="0" fontId="16" fillId="12" borderId="70" xfId="14" applyFont="1" applyFill="1" applyBorder="1" applyAlignment="1"/>
    <xf numFmtId="0" fontId="20" fillId="0" borderId="99" xfId="2" applyFont="1" applyFill="1" applyBorder="1" applyAlignment="1"/>
    <xf numFmtId="0" fontId="34" fillId="14" borderId="70" xfId="14" applyFont="1" applyFill="1" applyBorder="1" applyAlignment="1"/>
    <xf numFmtId="0" fontId="22" fillId="6" borderId="130" xfId="14" applyFont="1" applyFill="1" applyBorder="1" applyAlignment="1"/>
    <xf numFmtId="0" fontId="16" fillId="6" borderId="130" xfId="14" applyFont="1" applyFill="1" applyBorder="1" applyAlignment="1"/>
    <xf numFmtId="0" fontId="22" fillId="0" borderId="130" xfId="22" applyFont="1" applyBorder="1" applyAlignment="1"/>
    <xf numFmtId="0" fontId="22" fillId="0" borderId="136" xfId="22" applyFont="1" applyBorder="1" applyAlignment="1"/>
    <xf numFmtId="0" fontId="22" fillId="0" borderId="20" xfId="22" applyFont="1" applyFill="1" applyBorder="1" applyAlignment="1"/>
    <xf numFmtId="0" fontId="29" fillId="0" borderId="99" xfId="33" applyFont="1" applyFill="1" applyBorder="1" applyAlignment="1"/>
    <xf numFmtId="0" fontId="29" fillId="0" borderId="130" xfId="22" applyFont="1" applyFill="1" applyBorder="1" applyAlignment="1">
      <alignment horizontal="right"/>
    </xf>
    <xf numFmtId="0" fontId="22" fillId="9" borderId="130" xfId="22" applyFont="1" applyFill="1" applyBorder="1" applyAlignment="1"/>
    <xf numFmtId="0" fontId="1" fillId="0" borderId="137" xfId="14" applyFont="1" applyFill="1" applyBorder="1" applyAlignment="1"/>
    <xf numFmtId="0" fontId="22" fillId="12" borderId="138" xfId="14" applyFont="1" applyFill="1" applyBorder="1" applyAlignment="1"/>
    <xf numFmtId="0" fontId="22" fillId="12" borderId="140" xfId="14" applyFont="1" applyFill="1" applyBorder="1" applyAlignment="1"/>
    <xf numFmtId="0" fontId="1" fillId="0" borderId="24" xfId="14" applyFont="1" applyFill="1" applyBorder="1" applyAlignment="1"/>
    <xf numFmtId="0" fontId="16" fillId="0" borderId="41" xfId="14" applyFont="1" applyFill="1" applyBorder="1" applyAlignment="1"/>
    <xf numFmtId="0" fontId="16" fillId="5" borderId="41" xfId="14" applyFont="1" applyFill="1" applyBorder="1" applyAlignment="1"/>
    <xf numFmtId="0" fontId="21" fillId="0" borderId="136" xfId="33" applyBorder="1" applyAlignment="1">
      <alignment horizontal="right"/>
    </xf>
    <xf numFmtId="0" fontId="20" fillId="0" borderId="142" xfId="22" applyFont="1" applyFill="1" applyBorder="1" applyAlignment="1"/>
    <xf numFmtId="0" fontId="22" fillId="12" borderId="143" xfId="22" applyFont="1" applyFill="1" applyBorder="1" applyAlignment="1"/>
    <xf numFmtId="0" fontId="20" fillId="0" borderId="144" xfId="22" applyFont="1" applyFill="1" applyBorder="1" applyAlignment="1"/>
    <xf numFmtId="0" fontId="20" fillId="0" borderId="145" xfId="22" applyFont="1" applyBorder="1" applyAlignment="1"/>
    <xf numFmtId="0" fontId="22" fillId="0" borderId="145" xfId="22" applyFont="1" applyBorder="1" applyAlignment="1"/>
    <xf numFmtId="0" fontId="16" fillId="12" borderId="143" xfId="22" applyFont="1" applyFill="1" applyBorder="1" applyAlignment="1"/>
    <xf numFmtId="0" fontId="16" fillId="12" borderId="146" xfId="22" applyFont="1" applyFill="1" applyBorder="1" applyAlignment="1"/>
    <xf numFmtId="0" fontId="20" fillId="0" borderId="147" xfId="22" applyFont="1" applyFill="1" applyBorder="1" applyAlignment="1"/>
    <xf numFmtId="0" fontId="22" fillId="0" borderId="148" xfId="22" applyFont="1" applyFill="1" applyBorder="1" applyAlignment="1"/>
    <xf numFmtId="0" fontId="20" fillId="0" borderId="149" xfId="22" applyFont="1" applyBorder="1" applyAlignment="1"/>
    <xf numFmtId="0" fontId="20" fillId="0" borderId="150" xfId="22" applyFont="1" applyBorder="1" applyAlignment="1"/>
    <xf numFmtId="0" fontId="22" fillId="0" borderId="148" xfId="22" applyFont="1" applyBorder="1" applyAlignment="1"/>
    <xf numFmtId="0" fontId="22" fillId="0" borderId="150" xfId="22" applyFont="1" applyBorder="1" applyAlignment="1"/>
    <xf numFmtId="0" fontId="1" fillId="0" borderId="150" xfId="22" applyFont="1" applyBorder="1" applyAlignment="1"/>
    <xf numFmtId="0" fontId="16" fillId="0" borderId="151" xfId="14" applyFont="1" applyFill="1" applyBorder="1" applyAlignment="1"/>
    <xf numFmtId="0" fontId="1" fillId="0" borderId="152" xfId="5" applyFont="1" applyFill="1" applyBorder="1" applyAlignment="1"/>
    <xf numFmtId="0" fontId="16" fillId="12" borderId="153" xfId="5" applyFont="1" applyFill="1" applyBorder="1" applyAlignment="1"/>
    <xf numFmtId="0" fontId="16" fillId="12" borderId="154" xfId="5" applyFont="1" applyFill="1" applyBorder="1" applyAlignment="1"/>
    <xf numFmtId="0" fontId="1" fillId="0" borderId="147" xfId="5" applyFont="1" applyBorder="1" applyAlignment="1"/>
    <xf numFmtId="0" fontId="1" fillId="0" borderId="151" xfId="5" applyFont="1" applyFill="1" applyBorder="1" applyAlignment="1"/>
    <xf numFmtId="0" fontId="21" fillId="0" borderId="149" xfId="33" applyFill="1" applyBorder="1" applyAlignment="1"/>
    <xf numFmtId="0" fontId="30" fillId="0" borderId="149" xfId="5" applyFont="1" applyFill="1" applyBorder="1" applyAlignment="1"/>
    <xf numFmtId="0" fontId="30" fillId="0" borderId="155" xfId="5" applyFont="1" applyFill="1" applyBorder="1" applyAlignment="1"/>
    <xf numFmtId="0" fontId="1" fillId="0" borderId="155" xfId="5" applyFont="1" applyFill="1" applyBorder="1" applyAlignment="1"/>
    <xf numFmtId="0" fontId="30" fillId="0" borderId="155" xfId="5" applyFont="1" applyFill="1" applyBorder="1" applyAlignment="1">
      <alignment horizontal="center"/>
    </xf>
    <xf numFmtId="0" fontId="21" fillId="0" borderId="151" xfId="33" applyBorder="1" applyAlignment="1">
      <alignment horizontal="right"/>
    </xf>
    <xf numFmtId="0" fontId="1" fillId="0" borderId="147" xfId="5" applyFont="1" applyFill="1" applyBorder="1" applyAlignment="1"/>
    <xf numFmtId="0" fontId="30" fillId="0" borderId="151" xfId="33" applyFont="1" applyFill="1" applyBorder="1" applyAlignment="1"/>
    <xf numFmtId="0" fontId="22" fillId="0" borderId="157" xfId="22" applyFont="1" applyFill="1" applyBorder="1" applyAlignment="1"/>
    <xf numFmtId="0" fontId="29" fillId="0" borderId="145" xfId="33" applyFont="1" applyFill="1" applyBorder="1" applyAlignment="1"/>
    <xf numFmtId="0" fontId="0" fillId="0" borderId="0" xfId="14" applyFont="1" applyFill="1" applyBorder="1" applyAlignment="1">
      <alignment vertical="center"/>
    </xf>
    <xf numFmtId="0" fontId="0" fillId="0" borderId="0" xfId="0" applyBorder="1" applyAlignment="1">
      <alignment vertical="center"/>
    </xf>
    <xf numFmtId="0" fontId="0" fillId="0" borderId="0" xfId="0" applyFill="1" applyBorder="1" applyAlignment="1">
      <alignment vertical="center"/>
    </xf>
    <xf numFmtId="0" fontId="17" fillId="0" borderId="0" xfId="14" applyFont="1" applyFill="1" applyBorder="1" applyAlignment="1">
      <alignment vertical="center"/>
    </xf>
    <xf numFmtId="0" fontId="16" fillId="0" borderId="0" xfId="22" applyFont="1" applyFill="1" applyBorder="1" applyAlignment="1">
      <alignment vertical="center"/>
    </xf>
    <xf numFmtId="0" fontId="0" fillId="0" borderId="0" xfId="22" applyFont="1" applyFill="1" applyBorder="1" applyAlignment="1">
      <alignment vertical="center"/>
    </xf>
    <xf numFmtId="0" fontId="0" fillId="0" borderId="0" xfId="22" applyFont="1" applyBorder="1" applyAlignment="1">
      <alignment vertical="center"/>
    </xf>
    <xf numFmtId="169" fontId="17" fillId="0" borderId="0" xfId="0" applyNumberFormat="1" applyFont="1" applyFill="1" applyAlignment="1"/>
    <xf numFmtId="170" fontId="43" fillId="0" borderId="0" xfId="22" applyNumberFormat="1" applyFont="1" applyFill="1" applyBorder="1" applyAlignment="1">
      <alignment horizontal="center" wrapText="1"/>
    </xf>
    <xf numFmtId="0" fontId="0" fillId="0" borderId="58" xfId="0" applyFill="1" applyBorder="1" applyAlignment="1">
      <alignment horizontal="center"/>
    </xf>
    <xf numFmtId="0" fontId="0" fillId="0" borderId="58" xfId="0" applyBorder="1" applyAlignment="1">
      <alignment horizontal="center"/>
    </xf>
    <xf numFmtId="0" fontId="0" fillId="18" borderId="58" xfId="0" applyFill="1" applyBorder="1" applyAlignment="1">
      <alignment horizontal="center"/>
    </xf>
    <xf numFmtId="0" fontId="17" fillId="0" borderId="0" xfId="0" applyNumberFormat="1" applyFont="1" applyFill="1" applyAlignment="1">
      <alignment horizontal="center"/>
    </xf>
    <xf numFmtId="169" fontId="0" fillId="0" borderId="0" xfId="0" applyNumberFormat="1" applyFill="1" applyAlignment="1">
      <alignment horizontal="right"/>
    </xf>
    <xf numFmtId="0" fontId="0" fillId="26" borderId="58" xfId="22" applyNumberFormat="1" applyFont="1" applyFill="1" applyBorder="1" applyAlignment="1">
      <alignment horizontal="center"/>
    </xf>
    <xf numFmtId="0" fontId="0" fillId="26" borderId="58" xfId="0" applyFill="1" applyBorder="1" applyAlignment="1">
      <alignment horizontal="center"/>
    </xf>
    <xf numFmtId="167" fontId="1" fillId="23" borderId="0" xfId="32" applyNumberFormat="1" applyFont="1" applyFill="1" applyAlignment="1">
      <alignment horizontal="center"/>
    </xf>
    <xf numFmtId="167" fontId="0" fillId="23" borderId="0" xfId="0" applyNumberFormat="1" applyFill="1" applyAlignment="1">
      <alignment horizontal="center"/>
    </xf>
    <xf numFmtId="0" fontId="1" fillId="23" borderId="58" xfId="22" applyFont="1" applyFill="1" applyBorder="1" applyAlignment="1">
      <alignment horizontal="center"/>
    </xf>
    <xf numFmtId="0" fontId="0" fillId="23" borderId="58" xfId="0" applyFill="1" applyBorder="1" applyAlignment="1">
      <alignment horizontal="center"/>
    </xf>
    <xf numFmtId="0" fontId="0" fillId="27" borderId="58" xfId="22" applyNumberFormat="1" applyFont="1" applyFill="1" applyBorder="1" applyAlignment="1">
      <alignment horizontal="center"/>
    </xf>
    <xf numFmtId="167" fontId="1" fillId="21" borderId="0" xfId="14" applyNumberFormat="1" applyFont="1" applyFill="1" applyAlignment="1">
      <alignment horizontal="center"/>
    </xf>
    <xf numFmtId="167" fontId="1" fillId="21" borderId="0" xfId="32" applyNumberFormat="1" applyFont="1" applyFill="1" applyAlignment="1">
      <alignment horizontal="center"/>
    </xf>
    <xf numFmtId="0" fontId="1" fillId="21" borderId="58" xfId="22" applyFont="1" applyFill="1" applyBorder="1" applyAlignment="1">
      <alignment horizontal="center"/>
    </xf>
    <xf numFmtId="0" fontId="31" fillId="0" borderId="0" xfId="0" applyFont="1" applyFill="1"/>
    <xf numFmtId="0" fontId="1" fillId="0" borderId="57" xfId="14" applyFont="1" applyBorder="1" applyAlignment="1">
      <alignment horizontal="center"/>
    </xf>
    <xf numFmtId="0" fontId="4" fillId="21" borderId="58" xfId="22" applyFont="1" applyFill="1" applyBorder="1" applyAlignment="1">
      <alignment horizontal="center" vertical="center"/>
    </xf>
    <xf numFmtId="0" fontId="22" fillId="12" borderId="153" xfId="22" applyFont="1" applyFill="1" applyBorder="1" applyAlignment="1"/>
    <xf numFmtId="0" fontId="22" fillId="12" borderId="141" xfId="22" applyFont="1" applyFill="1" applyBorder="1" applyAlignment="1"/>
    <xf numFmtId="0" fontId="0" fillId="0" borderId="18" xfId="0" applyBorder="1" applyAlignment="1"/>
    <xf numFmtId="0" fontId="0" fillId="0" borderId="137" xfId="0" applyBorder="1" applyAlignment="1"/>
    <xf numFmtId="0" fontId="1" fillId="0" borderId="24" xfId="22" applyFont="1" applyFill="1" applyBorder="1" applyAlignment="1"/>
    <xf numFmtId="0" fontId="16" fillId="5" borderId="0" xfId="22" applyFont="1" applyFill="1" applyBorder="1" applyAlignment="1"/>
    <xf numFmtId="0" fontId="22" fillId="24" borderId="25" xfId="22" applyFont="1" applyFill="1" applyBorder="1" applyAlignment="1"/>
    <xf numFmtId="0" fontId="20" fillId="0" borderId="156" xfId="22" applyFont="1" applyFill="1" applyBorder="1" applyAlignment="1"/>
    <xf numFmtId="0" fontId="22" fillId="0" borderId="159" xfId="22" applyFont="1" applyFill="1" applyBorder="1" applyAlignment="1"/>
    <xf numFmtId="0" fontId="29" fillId="0" borderId="156" xfId="33" applyFont="1" applyFill="1" applyBorder="1" applyAlignment="1"/>
    <xf numFmtId="0" fontId="0" fillId="0" borderId="102" xfId="0" applyBorder="1" applyAlignment="1"/>
    <xf numFmtId="0" fontId="22" fillId="0" borderId="110" xfId="14" applyFont="1" applyFill="1" applyBorder="1" applyAlignment="1"/>
    <xf numFmtId="0" fontId="20" fillId="0" borderId="159" xfId="22" applyFont="1" applyFill="1" applyBorder="1" applyAlignment="1"/>
    <xf numFmtId="0" fontId="16" fillId="0" borderId="159" xfId="22" applyFont="1" applyFill="1" applyBorder="1" applyAlignment="1"/>
    <xf numFmtId="0" fontId="22" fillId="0" borderId="159" xfId="22" applyFont="1" applyBorder="1" applyAlignment="1"/>
    <xf numFmtId="0" fontId="22" fillId="0" borderId="156" xfId="22" applyFont="1" applyBorder="1" applyAlignment="1"/>
    <xf numFmtId="0" fontId="21" fillId="7" borderId="158" xfId="33" applyFill="1" applyBorder="1"/>
    <xf numFmtId="0" fontId="25" fillId="0" borderId="0" xfId="14" applyFont="1" applyBorder="1"/>
    <xf numFmtId="0" fontId="16" fillId="4" borderId="56" xfId="8" applyFont="1" applyFill="1" applyBorder="1" applyAlignment="1"/>
    <xf numFmtId="0" fontId="47" fillId="5" borderId="51" xfId="2" applyNumberFormat="1" applyFont="1" applyFill="1" applyBorder="1" applyAlignment="1" applyProtection="1">
      <alignment horizontal="center" vertical="top" textRotation="90" wrapText="1"/>
    </xf>
    <xf numFmtId="0" fontId="58" fillId="0" borderId="0" xfId="14" applyFont="1" applyAlignment="1">
      <alignment horizontal="right"/>
    </xf>
    <xf numFmtId="0" fontId="53" fillId="0" borderId="0" xfId="0" applyFont="1" applyFill="1" applyAlignment="1">
      <alignment horizontal="right" vertical="center"/>
    </xf>
    <xf numFmtId="0" fontId="53" fillId="0" borderId="0" xfId="0" applyFont="1" applyAlignment="1">
      <alignment vertical="center"/>
    </xf>
    <xf numFmtId="0" fontId="53" fillId="0" borderId="0" xfId="0" applyFont="1" applyFill="1" applyAlignment="1">
      <alignment horizontal="right"/>
    </xf>
    <xf numFmtId="0" fontId="38" fillId="4" borderId="0" xfId="8" applyFont="1" applyFill="1" applyAlignment="1"/>
    <xf numFmtId="0" fontId="39" fillId="4" borderId="0" xfId="8" applyFont="1" applyFill="1" applyAlignment="1"/>
    <xf numFmtId="0" fontId="57" fillId="4" borderId="0" xfId="8" applyFont="1" applyFill="1" applyAlignment="1"/>
    <xf numFmtId="0" fontId="59" fillId="4" borderId="0" xfId="8" applyFont="1" applyFill="1" applyAlignment="1"/>
    <xf numFmtId="0" fontId="27" fillId="4" borderId="0" xfId="8" applyFont="1" applyFill="1" applyAlignment="1"/>
    <xf numFmtId="0" fontId="1" fillId="5" borderId="25" xfId="33" applyFont="1" applyFill="1" applyBorder="1" applyAlignment="1"/>
    <xf numFmtId="0" fontId="21" fillId="5" borderId="93" xfId="33" applyFill="1" applyBorder="1" applyAlignment="1"/>
    <xf numFmtId="0" fontId="21" fillId="7" borderId="162" xfId="33" applyFill="1" applyBorder="1"/>
    <xf numFmtId="0" fontId="60" fillId="0" borderId="89" xfId="22" applyFont="1" applyFill="1" applyBorder="1" applyAlignment="1">
      <alignment horizontal="right"/>
    </xf>
    <xf numFmtId="0" fontId="60" fillId="0" borderId="0" xfId="0" applyFont="1" applyAlignment="1">
      <alignment horizontal="right"/>
    </xf>
    <xf numFmtId="0" fontId="61" fillId="0" borderId="0" xfId="22" applyFont="1" applyAlignment="1">
      <alignment horizontal="right"/>
    </xf>
    <xf numFmtId="0" fontId="62" fillId="0" borderId="61" xfId="22" applyFont="1" applyBorder="1" applyAlignment="1">
      <alignment horizontal="right"/>
    </xf>
    <xf numFmtId="0" fontId="62" fillId="0" borderId="0" xfId="22" applyFont="1" applyAlignment="1">
      <alignment horizontal="right"/>
    </xf>
    <xf numFmtId="0" fontId="61" fillId="0" borderId="0" xfId="0" applyFont="1" applyAlignment="1">
      <alignment horizontal="right"/>
    </xf>
    <xf numFmtId="0" fontId="63" fillId="0" borderId="65" xfId="0" applyFont="1" applyBorder="1" applyAlignment="1">
      <alignment horizontal="right"/>
    </xf>
    <xf numFmtId="0" fontId="63" fillId="0" borderId="0" xfId="22" applyFont="1" applyAlignment="1">
      <alignment horizontal="right"/>
    </xf>
    <xf numFmtId="0" fontId="1" fillId="0" borderId="60" xfId="22" applyFont="1" applyBorder="1"/>
    <xf numFmtId="0" fontId="1" fillId="0" borderId="164" xfId="22" applyFont="1" applyBorder="1"/>
    <xf numFmtId="0" fontId="1" fillId="0" borderId="165" xfId="22" applyFont="1" applyBorder="1"/>
    <xf numFmtId="0" fontId="1" fillId="0" borderId="166" xfId="22" applyFont="1" applyBorder="1"/>
    <xf numFmtId="0" fontId="1" fillId="0" borderId="167" xfId="22" applyFont="1" applyBorder="1" applyAlignment="1">
      <alignment horizontal="left"/>
    </xf>
    <xf numFmtId="0" fontId="1" fillId="0" borderId="167" xfId="22" applyFont="1" applyBorder="1"/>
    <xf numFmtId="0" fontId="1" fillId="0" borderId="164" xfId="22" applyFont="1" applyBorder="1" applyAlignment="1">
      <alignment horizontal="left"/>
    </xf>
    <xf numFmtId="0" fontId="1" fillId="0" borderId="165" xfId="22" applyFont="1" applyBorder="1" applyAlignment="1">
      <alignment horizontal="left"/>
    </xf>
    <xf numFmtId="0" fontId="0" fillId="0" borderId="168" xfId="22" applyFont="1" applyBorder="1"/>
    <xf numFmtId="0" fontId="21" fillId="5" borderId="58" xfId="33" applyFill="1" applyBorder="1"/>
    <xf numFmtId="0" fontId="1" fillId="8" borderId="58" xfId="21" applyNumberFormat="1" applyFont="1" applyFill="1" applyBorder="1" applyAlignment="1">
      <alignment horizontal="left"/>
    </xf>
    <xf numFmtId="49" fontId="1" fillId="8" borderId="58" xfId="5" applyNumberFormat="1" applyFont="1" applyFill="1" applyBorder="1"/>
    <xf numFmtId="0" fontId="1" fillId="8" borderId="58" xfId="21" applyFont="1" applyFill="1" applyBorder="1"/>
    <xf numFmtId="0" fontId="1" fillId="8" borderId="58" xfId="21" applyFont="1" applyFill="1" applyBorder="1" applyAlignment="1"/>
    <xf numFmtId="0" fontId="26" fillId="8" borderId="58" xfId="33" applyFont="1" applyFill="1" applyBorder="1"/>
    <xf numFmtId="0" fontId="23" fillId="8" borderId="58" xfId="33" applyFont="1" applyFill="1" applyBorder="1" applyAlignment="1"/>
    <xf numFmtId="0" fontId="1" fillId="8" borderId="58" xfId="6" applyFont="1" applyFill="1" applyBorder="1" applyAlignment="1">
      <alignment horizontal="left"/>
    </xf>
    <xf numFmtId="166" fontId="1" fillId="8" borderId="58" xfId="21" applyNumberFormat="1" applyFont="1" applyFill="1" applyBorder="1" applyAlignment="1">
      <alignment horizontal="center"/>
    </xf>
    <xf numFmtId="167" fontId="1" fillId="8" borderId="58" xfId="21" applyNumberFormat="1" applyFont="1" applyFill="1" applyBorder="1" applyAlignment="1">
      <alignment horizontal="center"/>
    </xf>
    <xf numFmtId="165" fontId="1" fillId="0" borderId="0" xfId="19" applyNumberFormat="1" applyFont="1" applyAlignment="1">
      <alignment horizontal="right"/>
    </xf>
    <xf numFmtId="0" fontId="1" fillId="0" borderId="0" xfId="14" applyFont="1" applyFill="1" applyAlignment="1">
      <alignment vertical="center" wrapText="1"/>
    </xf>
    <xf numFmtId="0" fontId="1" fillId="17" borderId="167" xfId="22" applyFont="1" applyFill="1" applyBorder="1" applyAlignment="1">
      <alignment horizontal="left"/>
    </xf>
    <xf numFmtId="0" fontId="1" fillId="17" borderId="0" xfId="22" applyFont="1" applyFill="1" applyBorder="1" applyAlignment="1">
      <alignment horizontal="left"/>
    </xf>
    <xf numFmtId="0" fontId="1" fillId="17" borderId="164" xfId="22" applyFont="1" applyFill="1" applyBorder="1" applyAlignment="1">
      <alignment horizontal="left"/>
    </xf>
    <xf numFmtId="0" fontId="16" fillId="13" borderId="170" xfId="21" quotePrefix="1" applyNumberFormat="1" applyFont="1" applyFill="1" applyBorder="1" applyAlignment="1">
      <alignment horizontal="left" vertical="center"/>
    </xf>
    <xf numFmtId="20" fontId="1" fillId="13" borderId="170" xfId="21" applyNumberFormat="1" applyFont="1" applyFill="1" applyBorder="1" applyAlignment="1">
      <alignment horizontal="left" vertical="center"/>
    </xf>
    <xf numFmtId="0" fontId="1" fillId="0" borderId="170" xfId="21" applyFont="1" applyFill="1" applyBorder="1" applyAlignment="1">
      <alignment vertical="center"/>
    </xf>
    <xf numFmtId="0" fontId="24" fillId="0" borderId="170" xfId="21" applyFont="1" applyFill="1" applyBorder="1" applyAlignment="1">
      <alignment vertical="center"/>
    </xf>
    <xf numFmtId="0" fontId="1" fillId="0" borderId="170" xfId="21" applyFont="1" applyFill="1" applyBorder="1" applyAlignment="1"/>
    <xf numFmtId="165" fontId="1" fillId="0" borderId="170" xfId="21" applyNumberFormat="1" applyFont="1" applyFill="1" applyBorder="1" applyAlignment="1">
      <alignment horizontal="center" vertical="center"/>
    </xf>
    <xf numFmtId="167" fontId="1" fillId="0" borderId="170" xfId="21" applyNumberFormat="1" applyFont="1" applyFill="1" applyBorder="1" applyAlignment="1">
      <alignment horizontal="center" vertical="center"/>
    </xf>
    <xf numFmtId="0" fontId="22" fillId="0" borderId="144" xfId="22" applyFont="1" applyFill="1" applyBorder="1" applyAlignment="1"/>
    <xf numFmtId="0" fontId="29" fillId="0" borderId="144" xfId="33" applyFont="1" applyFill="1" applyBorder="1" applyAlignment="1"/>
    <xf numFmtId="0" fontId="22" fillId="0" borderId="171" xfId="22" applyFont="1" applyFill="1" applyBorder="1" applyAlignment="1"/>
    <xf numFmtId="49" fontId="22" fillId="11" borderId="144" xfId="5" applyNumberFormat="1" applyFont="1" applyFill="1" applyBorder="1" applyAlignment="1"/>
    <xf numFmtId="0" fontId="22" fillId="11" borderId="144" xfId="22" applyFont="1" applyFill="1" applyBorder="1" applyAlignment="1"/>
    <xf numFmtId="0" fontId="20" fillId="11" borderId="144" xfId="22" applyFont="1" applyFill="1" applyBorder="1" applyAlignment="1"/>
    <xf numFmtId="0" fontId="22" fillId="13" borderId="144" xfId="22" applyFont="1" applyFill="1" applyBorder="1" applyAlignment="1"/>
    <xf numFmtId="0" fontId="23" fillId="5" borderId="12" xfId="33" applyFont="1" applyFill="1" applyBorder="1" applyAlignment="1"/>
    <xf numFmtId="0" fontId="0" fillId="0" borderId="0" xfId="0" applyFill="1" applyAlignment="1">
      <alignment vertical="center"/>
    </xf>
    <xf numFmtId="0" fontId="27" fillId="0" borderId="58" xfId="14" applyFont="1" applyBorder="1" applyAlignment="1"/>
    <xf numFmtId="0" fontId="0" fillId="0" borderId="58" xfId="14" applyFont="1" applyBorder="1" applyAlignment="1">
      <alignment vertical="center"/>
    </xf>
    <xf numFmtId="0" fontId="18" fillId="0" borderId="103" xfId="14" applyFont="1" applyFill="1" applyBorder="1"/>
    <xf numFmtId="0" fontId="18" fillId="0" borderId="58" xfId="14" applyFont="1" applyFill="1" applyBorder="1" applyAlignment="1">
      <alignment horizontal="center"/>
    </xf>
    <xf numFmtId="0" fontId="18" fillId="0" borderId="104" xfId="14" applyFont="1" applyFill="1" applyBorder="1"/>
    <xf numFmtId="0" fontId="17" fillId="0" borderId="0" xfId="14" quotePrefix="1" applyFont="1" applyFill="1" applyAlignment="1">
      <alignment horizontal="center"/>
    </xf>
    <xf numFmtId="169" fontId="17" fillId="0" borderId="0" xfId="14" applyNumberFormat="1" applyFont="1" applyFill="1" applyAlignment="1">
      <alignment horizontal="center" vertical="center"/>
    </xf>
    <xf numFmtId="169" fontId="17" fillId="0" borderId="0" xfId="14" quotePrefix="1" applyNumberFormat="1" applyFont="1" applyFill="1" applyAlignment="1">
      <alignment horizontal="center" vertical="center"/>
    </xf>
    <xf numFmtId="0" fontId="17" fillId="0" borderId="0" xfId="14" quotePrefix="1" applyFont="1"/>
    <xf numFmtId="0" fontId="17" fillId="0" borderId="0" xfId="14" applyFont="1"/>
    <xf numFmtId="0" fontId="0" fillId="17" borderId="59" xfId="22" applyFont="1" applyFill="1" applyBorder="1"/>
    <xf numFmtId="0" fontId="0" fillId="17" borderId="91" xfId="22" applyFont="1" applyFill="1" applyBorder="1"/>
    <xf numFmtId="165" fontId="0" fillId="0" borderId="0" xfId="19" applyNumberFormat="1" applyFont="1" applyAlignment="1">
      <alignment horizontal="center"/>
    </xf>
    <xf numFmtId="0" fontId="60" fillId="0" borderId="89" xfId="22" quotePrefix="1" applyFont="1" applyFill="1" applyBorder="1" applyAlignment="1">
      <alignment horizontal="right"/>
    </xf>
    <xf numFmtId="0" fontId="64" fillId="0" borderId="89" xfId="22" quotePrefix="1" applyFont="1" applyFill="1" applyBorder="1" applyAlignment="1">
      <alignment horizontal="right"/>
    </xf>
    <xf numFmtId="0" fontId="62" fillId="0" borderId="61" xfId="22" quotePrefix="1" applyFont="1" applyBorder="1" applyAlignment="1">
      <alignment horizontal="right"/>
    </xf>
    <xf numFmtId="0" fontId="64" fillId="0" borderId="0" xfId="0" applyFont="1" applyAlignment="1">
      <alignment horizontal="right"/>
    </xf>
    <xf numFmtId="0" fontId="65" fillId="0" borderId="61" xfId="22" quotePrefix="1" applyFont="1" applyBorder="1" applyAlignment="1">
      <alignment horizontal="right"/>
    </xf>
    <xf numFmtId="0" fontId="65" fillId="0" borderId="0" xfId="22" applyFont="1" applyAlignment="1">
      <alignment horizontal="right"/>
    </xf>
    <xf numFmtId="0" fontId="65" fillId="0" borderId="0" xfId="22" applyFont="1" applyBorder="1" applyAlignment="1">
      <alignment horizontal="right"/>
    </xf>
    <xf numFmtId="0" fontId="66" fillId="0" borderId="0" xfId="22" applyFont="1" applyBorder="1" applyAlignment="1">
      <alignment horizontal="right"/>
    </xf>
    <xf numFmtId="0" fontId="66" fillId="0" borderId="65" xfId="22" quotePrefix="1" applyFont="1" applyBorder="1" applyAlignment="1">
      <alignment horizontal="right"/>
    </xf>
    <xf numFmtId="0" fontId="67" fillId="0" borderId="0" xfId="22" applyFont="1" applyAlignment="1">
      <alignment horizontal="right"/>
    </xf>
    <xf numFmtId="0" fontId="67" fillId="0" borderId="61" xfId="22" quotePrefix="1" applyFont="1" applyBorder="1" applyAlignment="1">
      <alignment horizontal="right"/>
    </xf>
    <xf numFmtId="0" fontId="68" fillId="0" borderId="65" xfId="0" quotePrefix="1" applyFont="1" applyBorder="1" applyAlignment="1">
      <alignment horizontal="right"/>
    </xf>
    <xf numFmtId="0" fontId="68" fillId="0" borderId="0" xfId="22" applyFont="1" applyAlignment="1">
      <alignment horizontal="right"/>
    </xf>
    <xf numFmtId="0" fontId="69" fillId="0" borderId="61" xfId="22" quotePrefix="1" applyFont="1" applyBorder="1" applyAlignment="1">
      <alignment horizontal="right"/>
    </xf>
    <xf numFmtId="0" fontId="69" fillId="0" borderId="0" xfId="22" applyFont="1" applyAlignment="1">
      <alignment horizontal="right"/>
    </xf>
    <xf numFmtId="0" fontId="70" fillId="24" borderId="29" xfId="33" applyFont="1" applyFill="1" applyBorder="1" applyAlignment="1"/>
    <xf numFmtId="0" fontId="0" fillId="5" borderId="172" xfId="21" applyNumberFormat="1" applyFont="1" applyFill="1" applyBorder="1" applyAlignment="1">
      <alignment horizontal="left"/>
    </xf>
    <xf numFmtId="49" fontId="0" fillId="5" borderId="172" xfId="5" applyNumberFormat="1" applyFont="1" applyFill="1" applyBorder="1"/>
    <xf numFmtId="0" fontId="1" fillId="0" borderId="163" xfId="21" applyFont="1" applyFill="1" applyBorder="1"/>
    <xf numFmtId="0" fontId="1" fillId="0" borderId="163" xfId="21" applyFont="1" applyFill="1" applyBorder="1" applyAlignment="1"/>
    <xf numFmtId="0" fontId="26" fillId="5" borderId="175" xfId="33" applyFont="1" applyFill="1" applyBorder="1"/>
    <xf numFmtId="0" fontId="23" fillId="0" borderId="176" xfId="33" applyFont="1" applyFill="1" applyBorder="1" applyAlignment="1"/>
    <xf numFmtId="0" fontId="1" fillId="0" borderId="176" xfId="6" applyFont="1" applyFill="1" applyBorder="1" applyAlignment="1">
      <alignment horizontal="left"/>
    </xf>
    <xf numFmtId="166" fontId="1" fillId="0" borderId="176" xfId="21" applyNumberFormat="1" applyFont="1" applyFill="1" applyBorder="1" applyAlignment="1">
      <alignment horizontal="center"/>
    </xf>
    <xf numFmtId="167" fontId="1" fillId="0" borderId="176" xfId="21" applyNumberFormat="1" applyFont="1" applyFill="1" applyBorder="1" applyAlignment="1">
      <alignment horizontal="center"/>
    </xf>
    <xf numFmtId="0" fontId="20" fillId="0" borderId="145" xfId="22" applyFont="1" applyFill="1" applyBorder="1" applyAlignment="1"/>
    <xf numFmtId="0" fontId="14" fillId="14" borderId="177" xfId="22" applyFont="1" applyFill="1" applyBorder="1" applyAlignment="1"/>
    <xf numFmtId="0" fontId="16" fillId="12" borderId="178" xfId="22" applyFont="1" applyFill="1" applyBorder="1" applyAlignment="1"/>
    <xf numFmtId="0" fontId="1" fillId="0" borderId="103" xfId="22" applyFont="1" applyFill="1" applyBorder="1" applyAlignment="1"/>
    <xf numFmtId="0" fontId="1" fillId="0" borderId="104" xfId="22" applyFont="1" applyBorder="1" applyAlignment="1">
      <alignment vertical="center"/>
    </xf>
    <xf numFmtId="0" fontId="1" fillId="3" borderId="104" xfId="22" applyFont="1" applyFill="1" applyBorder="1" applyAlignment="1">
      <alignment vertical="center"/>
    </xf>
    <xf numFmtId="0" fontId="0" fillId="3" borderId="104" xfId="0" applyFill="1" applyBorder="1"/>
    <xf numFmtId="0" fontId="0" fillId="3" borderId="105" xfId="0" applyFill="1" applyBorder="1"/>
    <xf numFmtId="0" fontId="1" fillId="4" borderId="104" xfId="22" applyFont="1" applyFill="1" applyBorder="1" applyAlignment="1">
      <alignment vertical="center"/>
    </xf>
    <xf numFmtId="0" fontId="0" fillId="4" borderId="104" xfId="0" applyFill="1" applyBorder="1"/>
    <xf numFmtId="0" fontId="0" fillId="4" borderId="105" xfId="0" applyFill="1" applyBorder="1"/>
    <xf numFmtId="0" fontId="1" fillId="28" borderId="104" xfId="22" applyFont="1" applyFill="1" applyBorder="1" applyAlignment="1">
      <alignment vertical="center"/>
    </xf>
    <xf numFmtId="0" fontId="0" fillId="28" borderId="104" xfId="0" applyFill="1" applyBorder="1"/>
    <xf numFmtId="0" fontId="0" fillId="28" borderId="105" xfId="0" applyFill="1" applyBorder="1"/>
    <xf numFmtId="0" fontId="0" fillId="0" borderId="58" xfId="0" applyFont="1" applyBorder="1" applyAlignment="1">
      <alignment horizontal="center"/>
    </xf>
    <xf numFmtId="0" fontId="14" fillId="18" borderId="58" xfId="0" applyFont="1" applyFill="1" applyBorder="1" applyAlignment="1">
      <alignment horizontal="center"/>
    </xf>
    <xf numFmtId="0" fontId="16" fillId="0" borderId="0" xfId="0" applyFont="1" applyAlignment="1">
      <alignment horizontal="center"/>
    </xf>
    <xf numFmtId="0" fontId="0" fillId="0" borderId="58" xfId="0" applyFont="1" applyBorder="1"/>
    <xf numFmtId="0" fontId="0" fillId="0" borderId="58" xfId="0" applyFont="1" applyFill="1" applyBorder="1"/>
    <xf numFmtId="0" fontId="14" fillId="18" borderId="58" xfId="0" applyFont="1" applyFill="1" applyBorder="1"/>
    <xf numFmtId="0" fontId="0" fillId="18" borderId="58" xfId="0" applyFont="1" applyFill="1" applyBorder="1" applyAlignment="1">
      <alignment horizontal="center"/>
    </xf>
    <xf numFmtId="0" fontId="0" fillId="0" borderId="58" xfId="0" applyFont="1" applyFill="1" applyBorder="1" applyAlignment="1">
      <alignment horizontal="center"/>
    </xf>
    <xf numFmtId="167" fontId="16" fillId="0" borderId="58" xfId="8" applyNumberFormat="1" applyFont="1" applyFill="1" applyBorder="1" applyAlignment="1">
      <alignment horizontal="center"/>
    </xf>
    <xf numFmtId="0" fontId="16" fillId="0" borderId="58" xfId="0" applyNumberFormat="1" applyFont="1" applyFill="1" applyBorder="1" applyAlignment="1">
      <alignment horizontal="center"/>
    </xf>
    <xf numFmtId="0" fontId="0" fillId="0" borderId="0" xfId="0" applyFont="1" applyFill="1" applyAlignment="1">
      <alignment horizontal="center"/>
    </xf>
    <xf numFmtId="0" fontId="0" fillId="3" borderId="58" xfId="0" applyFont="1" applyFill="1" applyBorder="1" applyAlignment="1">
      <alignment horizontal="center"/>
    </xf>
    <xf numFmtId="0" fontId="0" fillId="8" borderId="58" xfId="0" applyFont="1" applyFill="1" applyBorder="1" applyAlignment="1">
      <alignment horizontal="center"/>
    </xf>
    <xf numFmtId="0" fontId="0" fillId="19" borderId="58" xfId="0" applyFont="1" applyFill="1" applyBorder="1" applyAlignment="1">
      <alignment horizontal="center"/>
    </xf>
    <xf numFmtId="0" fontId="16" fillId="8" borderId="58" xfId="0" applyFont="1" applyFill="1" applyBorder="1" applyAlignment="1">
      <alignment horizontal="center"/>
    </xf>
    <xf numFmtId="0" fontId="16" fillId="19" borderId="58" xfId="0" applyFont="1" applyFill="1" applyBorder="1" applyAlignment="1">
      <alignment horizontal="center"/>
    </xf>
    <xf numFmtId="0" fontId="0" fillId="13" borderId="0" xfId="0" applyFill="1"/>
    <xf numFmtId="0" fontId="0" fillId="8" borderId="58" xfId="0" quotePrefix="1" applyFont="1" applyFill="1" applyBorder="1" applyAlignment="1">
      <alignment horizontal="center"/>
    </xf>
    <xf numFmtId="0" fontId="0" fillId="29" borderId="0" xfId="0" applyFill="1"/>
    <xf numFmtId="0" fontId="16" fillId="0" borderId="58" xfId="0" applyFont="1" applyFill="1" applyBorder="1" applyAlignment="1">
      <alignment horizontal="center"/>
    </xf>
    <xf numFmtId="49" fontId="1" fillId="9" borderId="58" xfId="5" applyNumberFormat="1" applyFont="1" applyFill="1" applyBorder="1"/>
    <xf numFmtId="49" fontId="1" fillId="0" borderId="66" xfId="5" applyNumberFormat="1" applyFont="1" applyFill="1" applyBorder="1"/>
    <xf numFmtId="0" fontId="27" fillId="0" borderId="58" xfId="14" quotePrefix="1" applyFont="1" applyFill="1" applyBorder="1" applyAlignment="1">
      <alignment horizontal="center"/>
    </xf>
    <xf numFmtId="0" fontId="16" fillId="0" borderId="0" xfId="14" applyFont="1" applyAlignment="1"/>
    <xf numFmtId="0" fontId="21" fillId="9" borderId="175" xfId="33" applyFill="1" applyBorder="1" applyAlignment="1">
      <alignment vertical="center"/>
    </xf>
    <xf numFmtId="0" fontId="27" fillId="0" borderId="105" xfId="14" applyFont="1" applyBorder="1" applyAlignment="1">
      <alignment horizontal="right"/>
    </xf>
    <xf numFmtId="0" fontId="27" fillId="0" borderId="58" xfId="14" quotePrefix="1" applyFont="1" applyBorder="1" applyAlignment="1">
      <alignment horizontal="center"/>
    </xf>
    <xf numFmtId="0" fontId="27" fillId="3" borderId="0" xfId="14" applyFont="1" applyFill="1" applyAlignment="1">
      <alignment horizontal="center"/>
    </xf>
    <xf numFmtId="0" fontId="27" fillId="3" borderId="0" xfId="14" quotePrefix="1" applyFont="1" applyFill="1" applyAlignment="1">
      <alignment horizontal="center"/>
    </xf>
    <xf numFmtId="0" fontId="18" fillId="3" borderId="58" xfId="14" applyFont="1" applyFill="1" applyBorder="1" applyAlignment="1">
      <alignment horizontal="center"/>
    </xf>
    <xf numFmtId="0" fontId="27" fillId="3" borderId="103" xfId="14" applyFont="1" applyFill="1" applyBorder="1"/>
    <xf numFmtId="0" fontId="27" fillId="3" borderId="104" xfId="14" applyFont="1" applyFill="1" applyBorder="1"/>
    <xf numFmtId="0" fontId="27" fillId="3" borderId="105" xfId="14" applyFont="1" applyFill="1" applyBorder="1"/>
    <xf numFmtId="0" fontId="18" fillId="3" borderId="104" xfId="14" applyFont="1" applyFill="1" applyBorder="1"/>
    <xf numFmtId="0" fontId="27" fillId="3" borderId="58" xfId="14" applyFont="1" applyFill="1" applyBorder="1" applyAlignment="1">
      <alignment horizontal="center"/>
    </xf>
    <xf numFmtId="0" fontId="0" fillId="0" borderId="2" xfId="14" applyFont="1" applyBorder="1"/>
    <xf numFmtId="0" fontId="16" fillId="23" borderId="58" xfId="0" applyNumberFormat="1" applyFont="1" applyFill="1" applyBorder="1" applyAlignment="1">
      <alignment horizontal="center" vertical="center"/>
    </xf>
    <xf numFmtId="0" fontId="16" fillId="9" borderId="58" xfId="0" applyNumberFormat="1" applyFont="1" applyFill="1" applyBorder="1" applyAlignment="1">
      <alignment horizontal="center" vertical="center"/>
    </xf>
    <xf numFmtId="0" fontId="21" fillId="5" borderId="181" xfId="33" applyFill="1" applyBorder="1"/>
    <xf numFmtId="0" fontId="27" fillId="0" borderId="0" xfId="14" applyFont="1" applyFill="1" applyAlignment="1">
      <alignment horizontal="center"/>
    </xf>
    <xf numFmtId="0" fontId="18" fillId="0" borderId="104" xfId="14" applyFont="1" applyBorder="1" applyAlignment="1">
      <alignment horizontal="center"/>
    </xf>
    <xf numFmtId="0" fontId="18" fillId="0" borderId="58" xfId="14" quotePrefix="1" applyFont="1" applyBorder="1" applyAlignment="1">
      <alignment horizontal="center"/>
    </xf>
    <xf numFmtId="0" fontId="1" fillId="0" borderId="0" xfId="14" applyFont="1" applyAlignment="1">
      <alignment horizontal="right"/>
    </xf>
    <xf numFmtId="0" fontId="27" fillId="0" borderId="103" xfId="14" quotePrefix="1" applyFont="1" applyFill="1" applyBorder="1" applyAlignment="1">
      <alignment horizontal="right"/>
    </xf>
    <xf numFmtId="0" fontId="27" fillId="0" borderId="103" xfId="14" applyFont="1" applyFill="1" applyBorder="1" applyAlignment="1">
      <alignment horizontal="right"/>
    </xf>
    <xf numFmtId="0" fontId="72" fillId="0" borderId="9" xfId="33" applyFont="1" applyBorder="1" applyAlignment="1"/>
    <xf numFmtId="0" fontId="73" fillId="0" borderId="18" xfId="22" applyFont="1" applyFill="1" applyBorder="1" applyAlignment="1"/>
    <xf numFmtId="0" fontId="72" fillId="0" borderId="18" xfId="33" applyFont="1" applyBorder="1" applyAlignment="1"/>
    <xf numFmtId="0" fontId="74" fillId="0" borderId="29" xfId="22" applyFont="1" applyFill="1" applyBorder="1" applyAlignment="1"/>
    <xf numFmtId="0" fontId="74" fillId="0" borderId="18" xfId="22" applyFont="1" applyFill="1" applyBorder="1" applyAlignment="1"/>
    <xf numFmtId="0" fontId="74" fillId="0" borderId="42" xfId="22" applyFont="1" applyFill="1" applyBorder="1" applyAlignment="1"/>
    <xf numFmtId="0" fontId="74" fillId="5" borderId="29" xfId="33" applyFont="1" applyFill="1" applyBorder="1" applyAlignment="1"/>
    <xf numFmtId="0" fontId="74" fillId="5" borderId="18" xfId="14" applyFont="1" applyFill="1" applyBorder="1" applyAlignment="1"/>
    <xf numFmtId="0" fontId="75" fillId="5" borderId="12" xfId="33" applyFont="1" applyFill="1" applyBorder="1" applyAlignment="1"/>
    <xf numFmtId="0" fontId="75" fillId="5" borderId="30" xfId="33" applyFont="1" applyFill="1" applyBorder="1" applyAlignment="1"/>
    <xf numFmtId="0" fontId="74" fillId="24" borderId="48" xfId="33" applyFont="1" applyFill="1" applyBorder="1" applyAlignment="1">
      <alignment vertical="top"/>
    </xf>
    <xf numFmtId="0" fontId="74" fillId="24" borderId="18" xfId="33" applyFont="1" applyFill="1" applyBorder="1" applyAlignment="1">
      <alignment vertical="top"/>
    </xf>
    <xf numFmtId="0" fontId="75" fillId="25" borderId="80" xfId="33" applyFont="1" applyFill="1" applyBorder="1" applyAlignment="1"/>
    <xf numFmtId="0" fontId="74" fillId="7" borderId="15" xfId="33" applyFont="1" applyFill="1" applyBorder="1" applyAlignment="1"/>
    <xf numFmtId="0" fontId="74" fillId="7" borderId="18" xfId="22" applyFont="1" applyFill="1" applyBorder="1" applyAlignment="1"/>
    <xf numFmtId="0" fontId="75" fillId="7" borderId="30" xfId="33" applyFont="1" applyFill="1" applyBorder="1" applyAlignment="1"/>
    <xf numFmtId="0" fontId="75" fillId="0" borderId="116" xfId="33" applyFont="1" applyFill="1" applyBorder="1" applyAlignment="1"/>
    <xf numFmtId="0" fontId="74" fillId="0" borderId="0" xfId="22" applyFont="1" applyFill="1" applyBorder="1" applyAlignment="1"/>
    <xf numFmtId="0" fontId="75" fillId="0" borderId="159" xfId="33" applyFont="1" applyFill="1" applyBorder="1" applyAlignment="1"/>
    <xf numFmtId="0" fontId="74" fillId="9" borderId="29" xfId="33" applyFont="1" applyFill="1" applyBorder="1" applyAlignment="1"/>
    <xf numFmtId="0" fontId="74" fillId="9" borderId="18" xfId="22" applyFont="1" applyFill="1" applyBorder="1" applyAlignment="1"/>
    <xf numFmtId="0" fontId="75" fillId="9" borderId="80" xfId="33" applyFont="1" applyFill="1" applyBorder="1" applyAlignment="1"/>
    <xf numFmtId="0" fontId="74" fillId="5" borderId="24" xfId="33" applyFont="1" applyFill="1" applyBorder="1" applyAlignment="1"/>
    <xf numFmtId="0" fontId="74" fillId="5" borderId="10" xfId="14" applyFont="1" applyFill="1" applyBorder="1" applyAlignment="1"/>
    <xf numFmtId="0" fontId="75" fillId="5" borderId="129" xfId="33" applyFont="1" applyFill="1" applyBorder="1" applyAlignment="1"/>
    <xf numFmtId="0" fontId="74" fillId="10" borderId="29" xfId="33" applyFont="1" applyFill="1" applyBorder="1" applyAlignment="1"/>
    <xf numFmtId="0" fontId="74" fillId="10" borderId="0" xfId="33" applyFont="1" applyFill="1" applyBorder="1" applyAlignment="1"/>
    <xf numFmtId="0" fontId="74" fillId="0" borderId="0" xfId="0" applyFont="1" applyAlignment="1"/>
    <xf numFmtId="0" fontId="75" fillId="5" borderId="13" xfId="33" applyFont="1" applyFill="1" applyBorder="1" applyAlignment="1"/>
    <xf numFmtId="0" fontId="1" fillId="9" borderId="160" xfId="22" applyFont="1" applyFill="1" applyBorder="1" applyAlignment="1"/>
    <xf numFmtId="0" fontId="23" fillId="9" borderId="128" xfId="33" applyFont="1" applyFill="1" applyBorder="1" applyAlignment="1"/>
    <xf numFmtId="0" fontId="1" fillId="9" borderId="18" xfId="22" applyFont="1" applyFill="1" applyBorder="1" applyAlignment="1"/>
    <xf numFmtId="0" fontId="23" fillId="9" borderId="18" xfId="33" applyFont="1" applyFill="1" applyBorder="1" applyAlignment="1"/>
    <xf numFmtId="0" fontId="1" fillId="9" borderId="18" xfId="0" applyFont="1" applyFill="1" applyBorder="1" applyAlignment="1"/>
    <xf numFmtId="0" fontId="1" fillId="9" borderId="0" xfId="22" applyFont="1" applyFill="1" applyBorder="1" applyAlignment="1"/>
    <xf numFmtId="0" fontId="23" fillId="5" borderId="29" xfId="33" applyFont="1" applyFill="1" applyBorder="1" applyAlignment="1"/>
    <xf numFmtId="0" fontId="23" fillId="0" borderId="109" xfId="33" applyFont="1" applyFill="1" applyBorder="1" applyAlignment="1"/>
    <xf numFmtId="0" fontId="32" fillId="0" borderId="116" xfId="22" applyFont="1" applyFill="1" applyBorder="1" applyAlignment="1"/>
    <xf numFmtId="0" fontId="1" fillId="7" borderId="109" xfId="33" applyFont="1" applyFill="1" applyBorder="1" applyAlignment="1"/>
    <xf numFmtId="0" fontId="1" fillId="7" borderId="18" xfId="33" applyFont="1" applyFill="1" applyBorder="1" applyAlignment="1"/>
    <xf numFmtId="0" fontId="23" fillId="7" borderId="114" xfId="33" applyFont="1" applyFill="1" applyBorder="1" applyAlignment="1"/>
    <xf numFmtId="0" fontId="23" fillId="5" borderId="18" xfId="14" applyFont="1" applyFill="1" applyBorder="1" applyAlignment="1"/>
    <xf numFmtId="0" fontId="23" fillId="7" borderId="29" xfId="33" applyFont="1" applyFill="1" applyBorder="1" applyAlignment="1"/>
    <xf numFmtId="0" fontId="23" fillId="0" borderId="129" xfId="33" applyFont="1" applyFill="1" applyBorder="1" applyAlignment="1"/>
    <xf numFmtId="0" fontId="23" fillId="0" borderId="18" xfId="33" applyFont="1" applyFill="1" applyBorder="1" applyAlignment="1"/>
    <xf numFmtId="0" fontId="1" fillId="0" borderId="18" xfId="0" applyFont="1" applyBorder="1" applyAlignment="1"/>
    <xf numFmtId="0" fontId="23" fillId="0" borderId="156" xfId="33" applyFont="1" applyFill="1" applyBorder="1" applyAlignment="1"/>
    <xf numFmtId="0" fontId="1" fillId="24" borderId="18" xfId="22" applyFont="1" applyFill="1" applyBorder="1" applyAlignment="1"/>
    <xf numFmtId="0" fontId="23" fillId="24" borderId="24" xfId="33" applyFont="1" applyFill="1" applyBorder="1" applyAlignment="1"/>
    <xf numFmtId="0" fontId="23" fillId="7" borderId="18" xfId="33" applyFont="1" applyFill="1" applyBorder="1" applyAlignment="1"/>
    <xf numFmtId="0" fontId="23" fillId="9" borderId="29" xfId="33" applyFont="1" applyFill="1" applyBorder="1" applyAlignment="1"/>
    <xf numFmtId="0" fontId="23" fillId="9" borderId="99" xfId="33" applyFont="1" applyFill="1" applyBorder="1" applyAlignment="1"/>
    <xf numFmtId="0" fontId="1" fillId="0" borderId="0" xfId="33" applyFont="1" applyFill="1" applyBorder="1" applyAlignment="1"/>
    <xf numFmtId="0" fontId="31" fillId="0" borderId="28" xfId="33" applyFont="1" applyBorder="1" applyAlignment="1"/>
    <xf numFmtId="0" fontId="31" fillId="0" borderId="30" xfId="33" applyFont="1" applyBorder="1" applyAlignment="1"/>
    <xf numFmtId="0" fontId="31" fillId="0" borderId="102" xfId="33" applyFont="1" applyBorder="1" applyAlignment="1"/>
    <xf numFmtId="0" fontId="23" fillId="5" borderId="135" xfId="33" applyFont="1" applyFill="1" applyBorder="1" applyAlignment="1"/>
    <xf numFmtId="0" fontId="23" fillId="6" borderId="28" xfId="33" applyFont="1" applyFill="1" applyBorder="1" applyAlignment="1"/>
    <xf numFmtId="0" fontId="1" fillId="6" borderId="18" xfId="14" applyFont="1" applyFill="1" applyBorder="1" applyAlignment="1"/>
    <xf numFmtId="0" fontId="23" fillId="6" borderId="99" xfId="33" applyFont="1" applyFill="1" applyBorder="1" applyAlignment="1"/>
    <xf numFmtId="0" fontId="23" fillId="0" borderId="0" xfId="33" applyFont="1" applyFill="1" applyBorder="1" applyAlignment="1"/>
    <xf numFmtId="0" fontId="1" fillId="0" borderId="159" xfId="22" applyFont="1" applyFill="1" applyBorder="1" applyAlignment="1"/>
    <xf numFmtId="0" fontId="23" fillId="5" borderId="18" xfId="33" applyFont="1" applyFill="1" applyBorder="1" applyAlignment="1"/>
    <xf numFmtId="0" fontId="1" fillId="0" borderId="116" xfId="22" applyFont="1" applyFill="1" applyBorder="1" applyAlignment="1"/>
    <xf numFmtId="0" fontId="1" fillId="6" borderId="99" xfId="14" applyFont="1" applyFill="1" applyBorder="1" applyAlignment="1"/>
    <xf numFmtId="0" fontId="31" fillId="0" borderId="26" xfId="33" applyFont="1" applyBorder="1" applyAlignment="1"/>
    <xf numFmtId="0" fontId="16" fillId="0" borderId="24" xfId="22" applyFont="1" applyFill="1" applyBorder="1" applyAlignment="1"/>
    <xf numFmtId="0" fontId="31" fillId="0" borderId="99" xfId="33" applyFont="1" applyBorder="1" applyAlignment="1"/>
    <xf numFmtId="0" fontId="23" fillId="5" borderId="9" xfId="33" applyFont="1" applyFill="1" applyBorder="1" applyAlignment="1"/>
    <xf numFmtId="0" fontId="1" fillId="5" borderId="0" xfId="14" applyFont="1" applyFill="1" applyBorder="1" applyAlignment="1"/>
    <xf numFmtId="0" fontId="23" fillId="5" borderId="71" xfId="33" applyFont="1" applyFill="1" applyBorder="1" applyAlignment="1"/>
    <xf numFmtId="0" fontId="23" fillId="5" borderId="121" xfId="33" applyFont="1" applyFill="1" applyBorder="1" applyAlignment="1"/>
    <xf numFmtId="0" fontId="23" fillId="5" borderId="125" xfId="33" applyFont="1" applyFill="1" applyBorder="1" applyAlignment="1"/>
    <xf numFmtId="0" fontId="23" fillId="0" borderId="121" xfId="33" applyFont="1" applyFill="1" applyBorder="1" applyAlignment="1"/>
    <xf numFmtId="0" fontId="1" fillId="0" borderId="12" xfId="14" applyFont="1" applyFill="1" applyBorder="1" applyAlignment="1"/>
    <xf numFmtId="0" fontId="23" fillId="0" borderId="126" xfId="33" applyFont="1" applyFill="1" applyBorder="1" applyAlignment="1"/>
    <xf numFmtId="0" fontId="31" fillId="0" borderId="10" xfId="33" applyFont="1" applyFill="1" applyBorder="1" applyAlignment="1"/>
    <xf numFmtId="0" fontId="16" fillId="0" borderId="10" xfId="22" applyFont="1" applyFill="1" applyBorder="1" applyAlignment="1"/>
    <xf numFmtId="0" fontId="31" fillId="0" borderId="10" xfId="33" applyFont="1" applyBorder="1" applyAlignment="1"/>
    <xf numFmtId="0" fontId="23" fillId="5" borderId="49" xfId="33" applyFont="1" applyFill="1" applyBorder="1" applyAlignment="1"/>
    <xf numFmtId="0" fontId="23" fillId="5" borderId="123" xfId="33" applyFont="1" applyFill="1" applyBorder="1" applyAlignment="1"/>
    <xf numFmtId="0" fontId="1" fillId="0" borderId="139" xfId="14" applyFont="1" applyBorder="1" applyAlignment="1"/>
    <xf numFmtId="0" fontId="1" fillId="5" borderId="24" xfId="14" applyFont="1" applyFill="1" applyBorder="1" applyAlignment="1"/>
    <xf numFmtId="0" fontId="23" fillId="5" borderId="92" xfId="33" applyFont="1" applyFill="1" applyBorder="1" applyAlignment="1"/>
    <xf numFmtId="0" fontId="23" fillId="7" borderId="119" xfId="33" applyFont="1" applyFill="1" applyBorder="1" applyAlignment="1"/>
    <xf numFmtId="0" fontId="23" fillId="7" borderId="24" xfId="33" applyFont="1" applyFill="1" applyBorder="1" applyAlignment="1"/>
    <xf numFmtId="0" fontId="1" fillId="7" borderId="24" xfId="0" applyFont="1" applyFill="1" applyBorder="1" applyAlignment="1"/>
    <xf numFmtId="0" fontId="1" fillId="7" borderId="123" xfId="0" applyFont="1" applyFill="1" applyBorder="1" applyAlignment="1"/>
    <xf numFmtId="0" fontId="75" fillId="0" borderId="161" xfId="33" applyFont="1" applyFill="1" applyBorder="1" applyAlignment="1">
      <alignment horizontal="right"/>
    </xf>
    <xf numFmtId="0" fontId="78" fillId="0" borderId="66" xfId="33" applyFont="1" applyFill="1" applyBorder="1"/>
    <xf numFmtId="0" fontId="77" fillId="5" borderId="66" xfId="33" applyFont="1" applyFill="1" applyBorder="1"/>
    <xf numFmtId="0" fontId="77" fillId="7" borderId="66" xfId="33" applyFont="1" applyFill="1" applyBorder="1"/>
    <xf numFmtId="0" fontId="77" fillId="9" borderId="66" xfId="33" applyFont="1" applyFill="1" applyBorder="1" applyAlignment="1">
      <alignment vertical="center"/>
    </xf>
    <xf numFmtId="0" fontId="77" fillId="10" borderId="66" xfId="33" applyFont="1" applyFill="1" applyBorder="1"/>
    <xf numFmtId="0" fontId="23" fillId="9" borderId="175" xfId="33" applyFont="1" applyFill="1" applyBorder="1" applyAlignment="1"/>
    <xf numFmtId="0" fontId="1" fillId="9" borderId="175" xfId="6" applyFont="1" applyFill="1" applyBorder="1" applyAlignment="1">
      <alignment horizontal="left"/>
    </xf>
    <xf numFmtId="166" fontId="1" fillId="9" borderId="175" xfId="21" applyNumberFormat="1" applyFont="1" applyFill="1" applyBorder="1" applyAlignment="1">
      <alignment horizontal="center"/>
    </xf>
    <xf numFmtId="167" fontId="1" fillId="9" borderId="175" xfId="21" applyNumberFormat="1" applyFont="1" applyFill="1" applyBorder="1" applyAlignment="1">
      <alignment horizontal="center" vertical="center"/>
    </xf>
    <xf numFmtId="0" fontId="23" fillId="5" borderId="181" xfId="33" applyFont="1" applyFill="1" applyBorder="1" applyAlignment="1"/>
    <xf numFmtId="0" fontId="1" fillId="5" borderId="181" xfId="6" applyFont="1" applyFill="1" applyBorder="1" applyAlignment="1">
      <alignment horizontal="left"/>
    </xf>
    <xf numFmtId="166" fontId="1" fillId="5" borderId="181" xfId="21" applyNumberFormat="1" applyFont="1" applyFill="1" applyBorder="1" applyAlignment="1">
      <alignment horizontal="center"/>
    </xf>
    <xf numFmtId="167" fontId="1" fillId="5" borderId="181" xfId="21" applyNumberFormat="1" applyFont="1" applyFill="1" applyBorder="1" applyAlignment="1">
      <alignment horizontal="center" vertical="center"/>
    </xf>
    <xf numFmtId="0" fontId="1" fillId="9" borderId="175" xfId="21" applyNumberFormat="1" applyFont="1" applyFill="1" applyBorder="1" applyAlignment="1">
      <alignment horizontal="left"/>
    </xf>
    <xf numFmtId="49" fontId="1" fillId="9" borderId="180" xfId="5" applyNumberFormat="1" applyFont="1" applyFill="1" applyBorder="1"/>
    <xf numFmtId="0" fontId="1" fillId="9" borderId="174" xfId="21" applyFont="1" applyFill="1" applyBorder="1"/>
    <xf numFmtId="0" fontId="1" fillId="9" borderId="175" xfId="21" applyFont="1" applyFill="1" applyBorder="1" applyAlignment="1">
      <alignment vertical="center"/>
    </xf>
    <xf numFmtId="0" fontId="1" fillId="5" borderId="181" xfId="21" applyNumberFormat="1" applyFont="1" applyFill="1" applyBorder="1" applyAlignment="1">
      <alignment horizontal="left"/>
    </xf>
    <xf numFmtId="49" fontId="1" fillId="5" borderId="181" xfId="5" applyNumberFormat="1" applyFont="1" applyFill="1" applyBorder="1"/>
    <xf numFmtId="0" fontId="1" fillId="5" borderId="181" xfId="21" applyFont="1" applyFill="1" applyBorder="1"/>
    <xf numFmtId="0" fontId="1" fillId="5" borderId="181" xfId="21" applyFont="1" applyFill="1" applyBorder="1" applyAlignment="1"/>
    <xf numFmtId="0" fontId="23" fillId="0" borderId="2" xfId="33" applyFont="1" applyFill="1" applyBorder="1" applyAlignment="1"/>
    <xf numFmtId="0" fontId="1" fillId="0" borderId="2" xfId="6" applyFont="1" applyFill="1" applyBorder="1" applyAlignment="1">
      <alignment horizontal="left"/>
    </xf>
    <xf numFmtId="166" fontId="1" fillId="0" borderId="2" xfId="21" applyNumberFormat="1" applyFont="1" applyFill="1" applyBorder="1" applyAlignment="1">
      <alignment horizontal="center"/>
    </xf>
    <xf numFmtId="167" fontId="1" fillId="0" borderId="66" xfId="21" applyNumberFormat="1" applyFont="1" applyFill="1" applyBorder="1" applyAlignment="1">
      <alignment horizontal="center"/>
    </xf>
    <xf numFmtId="0" fontId="23" fillId="5" borderId="5" xfId="33" applyFont="1" applyFill="1" applyBorder="1" applyAlignment="1"/>
    <xf numFmtId="0" fontId="1" fillId="5" borderId="5" xfId="6" applyFont="1" applyFill="1" applyBorder="1" applyAlignment="1">
      <alignment horizontal="left"/>
    </xf>
    <xf numFmtId="166" fontId="1" fillId="5" borderId="5" xfId="21" applyNumberFormat="1" applyFont="1" applyFill="1" applyBorder="1" applyAlignment="1">
      <alignment horizontal="center"/>
    </xf>
    <xf numFmtId="167" fontId="1" fillId="5" borderId="5" xfId="21" applyNumberFormat="1" applyFont="1" applyFill="1" applyBorder="1" applyAlignment="1">
      <alignment horizontal="center"/>
    </xf>
    <xf numFmtId="0" fontId="23" fillId="5" borderId="112" xfId="33" applyFont="1" applyFill="1" applyBorder="1" applyAlignment="1"/>
    <xf numFmtId="0" fontId="1" fillId="5" borderId="112" xfId="6" applyFont="1" applyFill="1" applyBorder="1" applyAlignment="1">
      <alignment horizontal="left"/>
    </xf>
    <xf numFmtId="166" fontId="1" fillId="5" borderId="112" xfId="21" applyNumberFormat="1" applyFont="1" applyFill="1" applyBorder="1" applyAlignment="1">
      <alignment horizontal="center"/>
    </xf>
    <xf numFmtId="167" fontId="1" fillId="5" borderId="112" xfId="21" applyNumberFormat="1" applyFont="1" applyFill="1" applyBorder="1" applyAlignment="1">
      <alignment horizontal="center"/>
    </xf>
    <xf numFmtId="0" fontId="23" fillId="6" borderId="112" xfId="33" applyFont="1" applyFill="1" applyBorder="1" applyAlignment="1"/>
    <xf numFmtId="0" fontId="1" fillId="6" borderId="112" xfId="6" applyFont="1" applyFill="1" applyBorder="1" applyAlignment="1">
      <alignment horizontal="left"/>
    </xf>
    <xf numFmtId="166" fontId="1" fillId="6" borderId="112" xfId="21" applyNumberFormat="1" applyFont="1" applyFill="1" applyBorder="1" applyAlignment="1">
      <alignment horizontal="center"/>
    </xf>
    <xf numFmtId="167" fontId="1" fillId="6" borderId="112" xfId="21" applyNumberFormat="1" applyFont="1" applyFill="1" applyBorder="1" applyAlignment="1">
      <alignment horizontal="center"/>
    </xf>
    <xf numFmtId="0" fontId="23" fillId="6" borderId="115" xfId="33" applyFont="1" applyFill="1" applyBorder="1" applyAlignment="1"/>
    <xf numFmtId="0" fontId="1" fillId="6" borderId="115" xfId="6" applyFont="1" applyFill="1" applyBorder="1" applyAlignment="1">
      <alignment horizontal="left"/>
    </xf>
    <xf numFmtId="166" fontId="1" fillId="6" borderId="115" xfId="21" applyNumberFormat="1" applyFont="1" applyFill="1" applyBorder="1" applyAlignment="1">
      <alignment horizontal="center"/>
    </xf>
    <xf numFmtId="167" fontId="1" fillId="6" borderId="115" xfId="21" applyNumberFormat="1" applyFont="1" applyFill="1" applyBorder="1" applyAlignment="1">
      <alignment horizontal="center"/>
    </xf>
    <xf numFmtId="0" fontId="23" fillId="7" borderId="158" xfId="33" applyFont="1" applyFill="1" applyBorder="1" applyAlignment="1"/>
    <xf numFmtId="0" fontId="1" fillId="7" borderId="158" xfId="6" applyFont="1" applyFill="1" applyBorder="1" applyAlignment="1">
      <alignment horizontal="left"/>
    </xf>
    <xf numFmtId="166" fontId="1" fillId="7" borderId="158" xfId="21" applyNumberFormat="1" applyFont="1" applyFill="1" applyBorder="1" applyAlignment="1">
      <alignment horizontal="center"/>
    </xf>
    <xf numFmtId="167" fontId="1" fillId="7" borderId="158" xfId="21" applyNumberFormat="1" applyFont="1" applyFill="1" applyBorder="1" applyAlignment="1">
      <alignment horizontal="center"/>
    </xf>
    <xf numFmtId="0" fontId="23" fillId="7" borderId="163" xfId="33" applyFont="1" applyFill="1" applyBorder="1" applyAlignment="1"/>
    <xf numFmtId="0" fontId="1" fillId="7" borderId="163" xfId="6" applyFont="1" applyFill="1" applyBorder="1" applyAlignment="1">
      <alignment horizontal="left"/>
    </xf>
    <xf numFmtId="166" fontId="1" fillId="7" borderId="163" xfId="21" applyNumberFormat="1" applyFont="1" applyFill="1" applyBorder="1" applyAlignment="1">
      <alignment horizontal="center"/>
    </xf>
    <xf numFmtId="167" fontId="1" fillId="7" borderId="163" xfId="21" applyNumberFormat="1" applyFont="1" applyFill="1" applyBorder="1" applyAlignment="1">
      <alignment horizontal="center"/>
    </xf>
    <xf numFmtId="0" fontId="23" fillId="5" borderId="58" xfId="33" applyFont="1" applyFill="1" applyBorder="1" applyAlignment="1"/>
    <xf numFmtId="0" fontId="1" fillId="5" borderId="58" xfId="6" applyFont="1" applyFill="1" applyBorder="1" applyAlignment="1">
      <alignment horizontal="left"/>
    </xf>
    <xf numFmtId="166" fontId="1" fillId="5" borderId="58" xfId="21" applyNumberFormat="1" applyFont="1" applyFill="1" applyBorder="1" applyAlignment="1">
      <alignment horizontal="center"/>
    </xf>
    <xf numFmtId="167" fontId="1" fillId="5" borderId="58" xfId="21" applyNumberFormat="1" applyFont="1" applyFill="1" applyBorder="1" applyAlignment="1">
      <alignment horizontal="center"/>
    </xf>
    <xf numFmtId="0" fontId="23" fillId="9" borderId="115" xfId="33" applyFont="1" applyFill="1" applyBorder="1" applyAlignment="1"/>
    <xf numFmtId="0" fontId="1" fillId="9" borderId="115" xfId="6" applyFont="1" applyFill="1" applyBorder="1" applyAlignment="1">
      <alignment horizontal="left"/>
    </xf>
    <xf numFmtId="166" fontId="1" fillId="9" borderId="115" xfId="21" applyNumberFormat="1" applyFont="1" applyFill="1" applyBorder="1" applyAlignment="1">
      <alignment horizontal="center"/>
    </xf>
    <xf numFmtId="167" fontId="1" fillId="9" borderId="115" xfId="21" applyNumberFormat="1" applyFont="1" applyFill="1" applyBorder="1" applyAlignment="1">
      <alignment horizontal="center"/>
    </xf>
    <xf numFmtId="0" fontId="1" fillId="5" borderId="2" xfId="21" applyNumberFormat="1" applyFont="1" applyFill="1" applyBorder="1" applyAlignment="1">
      <alignment horizontal="left"/>
    </xf>
    <xf numFmtId="49" fontId="1" fillId="5" borderId="2" xfId="5" applyNumberFormat="1" applyFont="1" applyFill="1" applyBorder="1"/>
    <xf numFmtId="0" fontId="1" fillId="0" borderId="66" xfId="21" applyNumberFormat="1" applyFont="1" applyFill="1" applyBorder="1" applyAlignment="1">
      <alignment horizontal="left"/>
    </xf>
    <xf numFmtId="0" fontId="1" fillId="0" borderId="66" xfId="21" applyFont="1" applyFill="1" applyBorder="1"/>
    <xf numFmtId="0" fontId="1" fillId="5" borderId="5" xfId="21" applyNumberFormat="1" applyFont="1" applyFill="1" applyBorder="1" applyAlignment="1">
      <alignment horizontal="left"/>
    </xf>
    <xf numFmtId="49" fontId="1" fillId="5" borderId="5" xfId="5" applyNumberFormat="1" applyFont="1" applyFill="1" applyBorder="1"/>
    <xf numFmtId="0" fontId="1" fillId="5" borderId="5" xfId="21" applyFont="1" applyFill="1" applyBorder="1"/>
    <xf numFmtId="0" fontId="1" fillId="5" borderId="5" xfId="21" applyFont="1" applyFill="1" applyBorder="1" applyAlignment="1"/>
    <xf numFmtId="0" fontId="1" fillId="5" borderId="5" xfId="21" applyNumberFormat="1" applyFont="1" applyFill="1" applyBorder="1" applyAlignment="1">
      <alignment horizontal="left" vertical="center"/>
    </xf>
    <xf numFmtId="0" fontId="1" fillId="5" borderId="112" xfId="21" applyNumberFormat="1" applyFont="1" applyFill="1" applyBorder="1" applyAlignment="1">
      <alignment horizontal="left"/>
    </xf>
    <xf numFmtId="49" fontId="1" fillId="5" borderId="112" xfId="5" applyNumberFormat="1" applyFont="1" applyFill="1" applyBorder="1"/>
    <xf numFmtId="0" fontId="1" fillId="5" borderId="112" xfId="21" applyFont="1" applyFill="1" applyBorder="1"/>
    <xf numFmtId="0" fontId="1" fillId="5" borderId="112" xfId="21" applyFont="1" applyFill="1" applyBorder="1" applyAlignment="1"/>
    <xf numFmtId="0" fontId="1" fillId="6" borderId="112" xfId="21" applyNumberFormat="1" applyFont="1" applyFill="1" applyBorder="1" applyAlignment="1">
      <alignment horizontal="left"/>
    </xf>
    <xf numFmtId="49" fontId="1" fillId="6" borderId="112" xfId="5" applyNumberFormat="1" applyFont="1" applyFill="1" applyBorder="1"/>
    <xf numFmtId="0" fontId="1" fillId="6" borderId="112" xfId="21" applyFont="1" applyFill="1" applyBorder="1"/>
    <xf numFmtId="0" fontId="1" fillId="6" borderId="112" xfId="21" applyFont="1" applyFill="1" applyBorder="1" applyAlignment="1"/>
    <xf numFmtId="0" fontId="1" fillId="6" borderId="115" xfId="21" applyNumberFormat="1" applyFont="1" applyFill="1" applyBorder="1" applyAlignment="1">
      <alignment horizontal="left"/>
    </xf>
    <xf numFmtId="49" fontId="1" fillId="6" borderId="115" xfId="5" applyNumberFormat="1" applyFont="1" applyFill="1" applyBorder="1"/>
    <xf numFmtId="0" fontId="1" fillId="6" borderId="115" xfId="21" applyFont="1" applyFill="1" applyBorder="1"/>
    <xf numFmtId="0" fontId="1" fillId="6" borderId="115" xfId="21" applyFont="1" applyFill="1" applyBorder="1" applyAlignment="1"/>
    <xf numFmtId="0" fontId="1" fillId="0" borderId="112" xfId="21" applyNumberFormat="1" applyFont="1" applyFill="1" applyBorder="1" applyAlignment="1">
      <alignment horizontal="center"/>
    </xf>
    <xf numFmtId="0" fontId="1" fillId="7" borderId="158" xfId="21" applyNumberFormat="1" applyFont="1" applyFill="1" applyBorder="1" applyAlignment="1">
      <alignment horizontal="left"/>
    </xf>
    <xf numFmtId="49" fontId="1" fillId="7" borderId="158" xfId="5" applyNumberFormat="1" applyFont="1" applyFill="1" applyBorder="1"/>
    <xf numFmtId="0" fontId="1" fillId="7" borderId="158" xfId="21" applyFont="1" applyFill="1" applyBorder="1"/>
    <xf numFmtId="0" fontId="1" fillId="7" borderId="158" xfId="21" applyFont="1" applyFill="1" applyBorder="1" applyAlignment="1"/>
    <xf numFmtId="0" fontId="1" fillId="5" borderId="58" xfId="21" applyNumberFormat="1" applyFont="1" applyFill="1" applyBorder="1" applyAlignment="1">
      <alignment horizontal="left"/>
    </xf>
    <xf numFmtId="49" fontId="1" fillId="5" borderId="58" xfId="5" applyNumberFormat="1" applyFont="1" applyFill="1" applyBorder="1"/>
    <xf numFmtId="0" fontId="1" fillId="5" borderId="58" xfId="21" applyFont="1" applyFill="1" applyBorder="1"/>
    <xf numFmtId="0" fontId="1" fillId="5" borderId="58" xfId="21" applyFont="1" applyFill="1" applyBorder="1" applyAlignment="1"/>
    <xf numFmtId="0" fontId="1" fillId="9" borderId="58" xfId="21" applyNumberFormat="1" applyFont="1" applyFill="1" applyBorder="1" applyAlignment="1">
      <alignment horizontal="left"/>
    </xf>
    <xf numFmtId="0" fontId="1" fillId="9" borderId="58" xfId="21" applyFont="1" applyFill="1" applyBorder="1"/>
    <xf numFmtId="0" fontId="1" fillId="9" borderId="58" xfId="21" applyFont="1" applyFill="1" applyBorder="1" applyAlignment="1"/>
    <xf numFmtId="0" fontId="21" fillId="9" borderId="169" xfId="33" applyFill="1" applyBorder="1" applyAlignment="1">
      <alignment vertical="center"/>
    </xf>
    <xf numFmtId="0" fontId="23" fillId="9" borderId="102" xfId="33" applyFont="1" applyFill="1" applyBorder="1" applyAlignment="1"/>
    <xf numFmtId="0" fontId="0" fillId="15" borderId="0" xfId="0" applyFont="1" applyFill="1" applyAlignment="1"/>
    <xf numFmtId="0" fontId="1" fillId="0" borderId="182" xfId="5" applyFont="1" applyFill="1" applyBorder="1" applyAlignment="1"/>
    <xf numFmtId="0" fontId="1" fillId="0" borderId="72" xfId="14" applyFont="1" applyFill="1" applyBorder="1" applyAlignment="1"/>
    <xf numFmtId="0" fontId="1" fillId="0" borderId="183" xfId="5" applyFont="1" applyFill="1" applyBorder="1" applyAlignment="1"/>
    <xf numFmtId="0" fontId="1" fillId="0" borderId="185" xfId="5" applyFont="1" applyFill="1" applyBorder="1" applyAlignment="1"/>
    <xf numFmtId="0" fontId="0" fillId="0" borderId="185" xfId="0" applyBorder="1"/>
    <xf numFmtId="0" fontId="0" fillId="0" borderId="186" xfId="0" applyBorder="1"/>
    <xf numFmtId="0" fontId="1" fillId="0" borderId="187" xfId="5" applyFont="1" applyFill="1" applyBorder="1" applyAlignment="1">
      <alignment vertical="top"/>
    </xf>
    <xf numFmtId="0" fontId="16" fillId="0" borderId="188" xfId="5" applyFont="1" applyFill="1" applyBorder="1" applyAlignment="1"/>
    <xf numFmtId="0" fontId="79" fillId="0" borderId="188" xfId="33" applyFont="1" applyFill="1" applyBorder="1" applyAlignment="1">
      <alignment horizontal="center" vertical="top"/>
    </xf>
    <xf numFmtId="0" fontId="80" fillId="0" borderId="188" xfId="33" applyFont="1" applyFill="1" applyBorder="1" applyAlignment="1">
      <alignment horizontal="right" vertical="top"/>
    </xf>
    <xf numFmtId="0" fontId="27" fillId="0" borderId="76" xfId="5" applyFont="1" applyFill="1" applyBorder="1" applyAlignment="1">
      <alignment horizontal="right"/>
    </xf>
    <xf numFmtId="0" fontId="16" fillId="5" borderId="186" xfId="5" applyFont="1" applyFill="1" applyBorder="1" applyAlignment="1"/>
    <xf numFmtId="0" fontId="1" fillId="0" borderId="189" xfId="5" applyFont="1" applyFill="1" applyBorder="1" applyAlignment="1"/>
    <xf numFmtId="0" fontId="16" fillId="0" borderId="79" xfId="5" applyFont="1" applyFill="1" applyBorder="1" applyAlignment="1"/>
    <xf numFmtId="0" fontId="0" fillId="0" borderId="189" xfId="0" applyBorder="1"/>
    <xf numFmtId="0" fontId="0" fillId="0" borderId="190" xfId="0" applyBorder="1"/>
    <xf numFmtId="0" fontId="0" fillId="0" borderId="79" xfId="0" applyBorder="1"/>
    <xf numFmtId="0" fontId="1" fillId="0" borderId="191" xfId="5" applyFont="1" applyFill="1" applyBorder="1" applyAlignment="1">
      <alignment vertical="top"/>
    </xf>
    <xf numFmtId="0" fontId="1" fillId="0" borderId="192" xfId="5" applyFont="1" applyFill="1" applyBorder="1" applyAlignment="1">
      <alignment horizontal="right" vertical="top"/>
    </xf>
    <xf numFmtId="0" fontId="81" fillId="0" borderId="192" xfId="33" applyFont="1" applyFill="1" applyBorder="1" applyAlignment="1">
      <alignment horizontal="center" vertical="top"/>
    </xf>
    <xf numFmtId="0" fontId="29" fillId="0" borderId="192" xfId="33" applyFont="1" applyFill="1" applyBorder="1" applyAlignment="1">
      <alignment horizontal="right" vertical="top"/>
    </xf>
    <xf numFmtId="0" fontId="16" fillId="0" borderId="192" xfId="5" applyFont="1" applyFill="1" applyBorder="1" applyAlignment="1"/>
    <xf numFmtId="0" fontId="1" fillId="5" borderId="190" xfId="5" applyFont="1" applyFill="1" applyBorder="1" applyAlignment="1"/>
    <xf numFmtId="0" fontId="31" fillId="0" borderId="183" xfId="33" applyFont="1" applyFill="1" applyBorder="1" applyAlignment="1">
      <alignment vertical="top"/>
    </xf>
    <xf numFmtId="0" fontId="16" fillId="12" borderId="193" xfId="5" applyFont="1" applyFill="1" applyBorder="1" applyAlignment="1"/>
    <xf numFmtId="0" fontId="31" fillId="0" borderId="72" xfId="33" applyFont="1" applyFill="1" applyBorder="1" applyAlignment="1"/>
    <xf numFmtId="0" fontId="16" fillId="0" borderId="185" xfId="5" applyFont="1" applyFill="1" applyBorder="1" applyAlignment="1"/>
    <xf numFmtId="0" fontId="16" fillId="0" borderId="45" xfId="5" applyFont="1" applyFill="1" applyBorder="1" applyAlignment="1"/>
    <xf numFmtId="0" fontId="1" fillId="0" borderId="79" xfId="5" applyFont="1" applyFill="1" applyBorder="1" applyAlignment="1"/>
    <xf numFmtId="0" fontId="21" fillId="0" borderId="189" xfId="33" applyFill="1" applyBorder="1" applyAlignment="1"/>
    <xf numFmtId="0" fontId="1" fillId="0" borderId="194" xfId="5" applyFont="1" applyFill="1" applyBorder="1" applyAlignment="1"/>
    <xf numFmtId="0" fontId="23" fillId="0" borderId="72" xfId="33" applyFont="1" applyFill="1" applyBorder="1" applyAlignment="1"/>
    <xf numFmtId="0" fontId="16" fillId="0" borderId="186" xfId="5" applyFont="1" applyFill="1" applyBorder="1" applyAlignment="1"/>
    <xf numFmtId="0" fontId="21" fillId="0" borderId="185" xfId="33" applyFill="1" applyBorder="1" applyAlignment="1"/>
    <xf numFmtId="0" fontId="1" fillId="0" borderId="186" xfId="5" applyFont="1" applyFill="1" applyBorder="1" applyAlignment="1"/>
    <xf numFmtId="0" fontId="23" fillId="5" borderId="196" xfId="33" applyFont="1" applyFill="1" applyBorder="1" applyAlignment="1"/>
    <xf numFmtId="0" fontId="1" fillId="5" borderId="197" xfId="5" applyFont="1" applyFill="1" applyBorder="1" applyAlignment="1"/>
    <xf numFmtId="0" fontId="0" fillId="0" borderId="198" xfId="5" applyFont="1" applyFill="1" applyBorder="1" applyAlignment="1"/>
    <xf numFmtId="0" fontId="1" fillId="0" borderId="199" xfId="5" applyFont="1" applyFill="1" applyBorder="1" applyAlignment="1"/>
    <xf numFmtId="0" fontId="1" fillId="0" borderId="190" xfId="5" applyFont="1" applyFill="1" applyBorder="1" applyAlignment="1"/>
    <xf numFmtId="0" fontId="21" fillId="0" borderId="79" xfId="33" applyFill="1" applyBorder="1" applyAlignment="1"/>
    <xf numFmtId="0" fontId="21" fillId="5" borderId="179" xfId="33" applyFont="1" applyFill="1" applyBorder="1"/>
    <xf numFmtId="0" fontId="21" fillId="5" borderId="66" xfId="33" applyFont="1" applyFill="1" applyBorder="1"/>
    <xf numFmtId="0" fontId="1" fillId="9" borderId="173" xfId="21" applyNumberFormat="1" applyFont="1" applyFill="1" applyBorder="1" applyAlignment="1">
      <alignment horizontal="left"/>
    </xf>
    <xf numFmtId="49" fontId="1" fillId="9" borderId="200" xfId="5" applyNumberFormat="1" applyFont="1" applyFill="1" applyBorder="1"/>
    <xf numFmtId="0" fontId="1" fillId="9" borderId="173" xfId="21" applyFont="1" applyFill="1" applyBorder="1"/>
    <xf numFmtId="0" fontId="1" fillId="9" borderId="173" xfId="21" applyFont="1" applyFill="1" applyBorder="1" applyAlignment="1">
      <alignment vertical="center"/>
    </xf>
    <xf numFmtId="0" fontId="21" fillId="9" borderId="173" xfId="33" applyFill="1" applyBorder="1" applyAlignment="1">
      <alignment vertical="center"/>
    </xf>
    <xf numFmtId="0" fontId="23" fillId="9" borderId="173" xfId="33" applyFont="1" applyFill="1" applyBorder="1" applyAlignment="1"/>
    <xf numFmtId="0" fontId="1" fillId="9" borderId="173" xfId="6" applyFont="1" applyFill="1" applyBorder="1" applyAlignment="1">
      <alignment horizontal="left"/>
    </xf>
    <xf numFmtId="166" fontId="1" fillId="9" borderId="173" xfId="21" applyNumberFormat="1" applyFont="1" applyFill="1" applyBorder="1" applyAlignment="1">
      <alignment horizontal="center"/>
    </xf>
    <xf numFmtId="167" fontId="1" fillId="9" borderId="173" xfId="21" applyNumberFormat="1" applyFont="1" applyFill="1" applyBorder="1" applyAlignment="1">
      <alignment horizontal="center" vertical="center"/>
    </xf>
    <xf numFmtId="0" fontId="77" fillId="0" borderId="201" xfId="33" applyFont="1" applyFill="1" applyBorder="1"/>
    <xf numFmtId="0" fontId="82" fillId="0" borderId="173" xfId="21" applyNumberFormat="1" applyFont="1" applyFill="1" applyBorder="1" applyAlignment="1">
      <alignment horizontal="left"/>
    </xf>
    <xf numFmtId="49" fontId="82" fillId="0" borderId="173" xfId="5" applyNumberFormat="1" applyFont="1" applyFill="1" applyBorder="1"/>
    <xf numFmtId="0" fontId="82" fillId="0" borderId="201" xfId="21" applyFont="1" applyFill="1" applyBorder="1"/>
    <xf numFmtId="0" fontId="82" fillId="0" borderId="201" xfId="21" applyFont="1" applyFill="1" applyBorder="1" applyAlignment="1"/>
    <xf numFmtId="0" fontId="82" fillId="7" borderId="66" xfId="21" applyNumberFormat="1" applyFont="1" applyFill="1" applyBorder="1" applyAlignment="1">
      <alignment horizontal="left"/>
    </xf>
    <xf numFmtId="49" fontId="82" fillId="7" borderId="66" xfId="5" applyNumberFormat="1" applyFont="1" applyFill="1" applyBorder="1"/>
    <xf numFmtId="0" fontId="82" fillId="7" borderId="1" xfId="21" applyFont="1" applyFill="1" applyBorder="1"/>
    <xf numFmtId="0" fontId="82" fillId="7" borderId="1" xfId="21" applyFont="1" applyFill="1" applyBorder="1" applyAlignment="1"/>
    <xf numFmtId="0" fontId="82" fillId="9" borderId="66" xfId="21" applyNumberFormat="1" applyFont="1" applyFill="1" applyBorder="1" applyAlignment="1">
      <alignment horizontal="left"/>
    </xf>
    <xf numFmtId="49" fontId="82" fillId="9" borderId="58" xfId="5" applyNumberFormat="1" applyFont="1" applyFill="1" applyBorder="1"/>
    <xf numFmtId="0" fontId="82" fillId="9" borderId="66" xfId="21" applyFont="1" applyFill="1" applyBorder="1"/>
    <xf numFmtId="0" fontId="82" fillId="9" borderId="66" xfId="21" applyFont="1" applyFill="1" applyBorder="1" applyAlignment="1">
      <alignment vertical="center"/>
    </xf>
    <xf numFmtId="0" fontId="82" fillId="0" borderId="66" xfId="21" applyNumberFormat="1" applyFont="1" applyFill="1" applyBorder="1" applyAlignment="1">
      <alignment horizontal="left"/>
    </xf>
    <xf numFmtId="49" fontId="82" fillId="0" borderId="66" xfId="5" applyNumberFormat="1" applyFont="1" applyFill="1" applyBorder="1"/>
    <xf numFmtId="0" fontId="82" fillId="0" borderId="66" xfId="21" applyFont="1" applyFill="1" applyBorder="1" applyAlignment="1">
      <alignment vertical="center"/>
    </xf>
    <xf numFmtId="0" fontId="82" fillId="5" borderId="66" xfId="21" applyNumberFormat="1" applyFont="1" applyFill="1" applyBorder="1" applyAlignment="1">
      <alignment horizontal="left"/>
    </xf>
    <xf numFmtId="49" fontId="82" fillId="5" borderId="66" xfId="5" applyNumberFormat="1" applyFont="1" applyFill="1" applyBorder="1"/>
    <xf numFmtId="0" fontId="82" fillId="5" borderId="66" xfId="21" applyFont="1" applyFill="1" applyBorder="1"/>
    <xf numFmtId="0" fontId="82" fillId="5" borderId="66" xfId="21" applyFont="1" applyFill="1" applyBorder="1" applyAlignment="1"/>
    <xf numFmtId="0" fontId="82" fillId="10" borderId="66" xfId="21" applyNumberFormat="1" applyFont="1" applyFill="1" applyBorder="1" applyAlignment="1">
      <alignment horizontal="left"/>
    </xf>
    <xf numFmtId="49" fontId="82" fillId="10" borderId="66" xfId="5" applyNumberFormat="1" applyFont="1" applyFill="1" applyBorder="1"/>
    <xf numFmtId="0" fontId="82" fillId="10" borderId="66" xfId="21" applyFont="1" applyFill="1" applyBorder="1"/>
    <xf numFmtId="0" fontId="82" fillId="10" borderId="66" xfId="21" applyFont="1" applyFill="1" applyBorder="1" applyAlignment="1"/>
    <xf numFmtId="49" fontId="1" fillId="5" borderId="179" xfId="5" applyNumberFormat="1" applyFont="1" applyFill="1" applyBorder="1"/>
    <xf numFmtId="0" fontId="1" fillId="5" borderId="179" xfId="21" applyFont="1" applyFill="1" applyBorder="1"/>
    <xf numFmtId="0" fontId="1" fillId="5" borderId="179" xfId="21" applyFont="1" applyFill="1" applyBorder="1" applyAlignment="1"/>
    <xf numFmtId="49" fontId="1" fillId="5" borderId="66" xfId="5" applyNumberFormat="1" applyFont="1" applyFill="1" applyBorder="1"/>
    <xf numFmtId="0" fontId="1" fillId="5" borderId="66" xfId="21" applyFont="1" applyFill="1" applyBorder="1"/>
    <xf numFmtId="0" fontId="1" fillId="5" borderId="66" xfId="21" applyFont="1" applyFill="1" applyBorder="1" applyAlignment="1"/>
    <xf numFmtId="0" fontId="83" fillId="0" borderId="201" xfId="33" applyFont="1" applyFill="1" applyBorder="1" applyAlignment="1"/>
    <xf numFmtId="0" fontId="82" fillId="0" borderId="201" xfId="6" applyFont="1" applyFill="1" applyBorder="1" applyAlignment="1">
      <alignment horizontal="left"/>
    </xf>
    <xf numFmtId="166" fontId="82" fillId="0" borderId="201" xfId="21" applyNumberFormat="1" applyFont="1" applyFill="1" applyBorder="1" applyAlignment="1">
      <alignment horizontal="center"/>
    </xf>
    <xf numFmtId="167" fontId="82" fillId="0" borderId="173" xfId="21" applyNumberFormat="1" applyFont="1" applyFill="1" applyBorder="1" applyAlignment="1">
      <alignment horizontal="center" vertical="center"/>
    </xf>
    <xf numFmtId="0" fontId="83" fillId="7" borderId="66" xfId="33" applyFont="1" applyFill="1" applyBorder="1" applyAlignment="1"/>
    <xf numFmtId="0" fontId="82" fillId="7" borderId="66" xfId="6" applyFont="1" applyFill="1" applyBorder="1" applyAlignment="1">
      <alignment horizontal="left"/>
    </xf>
    <xf numFmtId="166" fontId="82" fillId="7" borderId="66" xfId="21" applyNumberFormat="1" applyFont="1" applyFill="1" applyBorder="1" applyAlignment="1">
      <alignment horizontal="center"/>
    </xf>
    <xf numFmtId="167" fontId="82" fillId="5" borderId="66" xfId="21" applyNumberFormat="1" applyFont="1" applyFill="1" applyBorder="1" applyAlignment="1">
      <alignment horizontal="center" vertical="center"/>
    </xf>
    <xf numFmtId="0" fontId="83" fillId="9" borderId="66" xfId="33" applyFont="1" applyFill="1" applyBorder="1" applyAlignment="1"/>
    <xf numFmtId="0" fontId="82" fillId="9" borderId="66" xfId="6" applyFont="1" applyFill="1" applyBorder="1" applyAlignment="1">
      <alignment horizontal="left"/>
    </xf>
    <xf numFmtId="166" fontId="82" fillId="9" borderId="66" xfId="21" applyNumberFormat="1" applyFont="1" applyFill="1" applyBorder="1" applyAlignment="1">
      <alignment horizontal="center"/>
    </xf>
    <xf numFmtId="167" fontId="82" fillId="9" borderId="66" xfId="21" applyNumberFormat="1" applyFont="1" applyFill="1" applyBorder="1" applyAlignment="1">
      <alignment horizontal="center" vertical="center"/>
    </xf>
    <xf numFmtId="0" fontId="82" fillId="0" borderId="66" xfId="21" applyFont="1" applyFill="1" applyBorder="1" applyAlignment="1"/>
    <xf numFmtId="165" fontId="82" fillId="0" borderId="66" xfId="21" applyNumberFormat="1" applyFont="1" applyFill="1" applyBorder="1" applyAlignment="1">
      <alignment horizontal="center" vertical="center"/>
    </xf>
    <xf numFmtId="167" fontId="82" fillId="0" borderId="66" xfId="21" applyNumberFormat="1" applyFont="1" applyFill="1" applyBorder="1" applyAlignment="1">
      <alignment horizontal="center" vertical="center"/>
    </xf>
    <xf numFmtId="0" fontId="83" fillId="5" borderId="66" xfId="33" applyFont="1" applyFill="1" applyBorder="1" applyAlignment="1"/>
    <xf numFmtId="0" fontId="82" fillId="5" borderId="66" xfId="6" applyFont="1" applyFill="1" applyBorder="1" applyAlignment="1">
      <alignment horizontal="left"/>
    </xf>
    <xf numFmtId="166" fontId="82" fillId="5" borderId="66" xfId="21" applyNumberFormat="1" applyFont="1" applyFill="1" applyBorder="1" applyAlignment="1">
      <alignment horizontal="center"/>
    </xf>
    <xf numFmtId="0" fontId="83" fillId="10" borderId="66" xfId="33" applyFont="1" applyFill="1" applyBorder="1" applyAlignment="1"/>
    <xf numFmtId="0" fontId="82" fillId="10" borderId="66" xfId="6" applyFont="1" applyFill="1" applyBorder="1" applyAlignment="1">
      <alignment horizontal="left"/>
    </xf>
    <xf numFmtId="166" fontId="82" fillId="10" borderId="66" xfId="21" applyNumberFormat="1" applyFont="1" applyFill="1" applyBorder="1" applyAlignment="1">
      <alignment horizontal="center"/>
    </xf>
    <xf numFmtId="167" fontId="82" fillId="10" borderId="66" xfId="21" applyNumberFormat="1" applyFont="1" applyFill="1" applyBorder="1" applyAlignment="1">
      <alignment horizontal="center" vertical="center"/>
    </xf>
    <xf numFmtId="0" fontId="23" fillId="5" borderId="179" xfId="33" applyFont="1" applyFill="1" applyBorder="1" applyAlignment="1"/>
    <xf numFmtId="0" fontId="1" fillId="5" borderId="179" xfId="6" applyFont="1" applyFill="1" applyBorder="1" applyAlignment="1">
      <alignment horizontal="left"/>
    </xf>
    <xf numFmtId="166" fontId="1" fillId="5" borderId="179" xfId="21" applyNumberFormat="1" applyFont="1" applyFill="1" applyBorder="1" applyAlignment="1">
      <alignment horizontal="center"/>
    </xf>
    <xf numFmtId="167" fontId="1" fillId="5" borderId="179" xfId="21" applyNumberFormat="1" applyFont="1" applyFill="1" applyBorder="1" applyAlignment="1">
      <alignment horizontal="center" vertical="center"/>
    </xf>
    <xf numFmtId="0" fontId="23" fillId="5" borderId="66" xfId="33" applyFont="1" applyFill="1" applyBorder="1" applyAlignment="1"/>
    <xf numFmtId="0" fontId="1" fillId="5" borderId="66" xfId="6" applyFont="1" applyFill="1" applyBorder="1" applyAlignment="1">
      <alignment horizontal="left"/>
    </xf>
    <xf numFmtId="166" fontId="1" fillId="5" borderId="66" xfId="21" applyNumberFormat="1" applyFont="1" applyFill="1" applyBorder="1" applyAlignment="1">
      <alignment horizontal="center"/>
    </xf>
    <xf numFmtId="167" fontId="1" fillId="5" borderId="66" xfId="21" applyNumberFormat="1" applyFont="1" applyFill="1" applyBorder="1" applyAlignment="1">
      <alignment horizontal="center" vertical="center"/>
    </xf>
    <xf numFmtId="0" fontId="0" fillId="5" borderId="179" xfId="21" applyNumberFormat="1" applyFont="1" applyFill="1" applyBorder="1" applyAlignment="1">
      <alignment horizontal="left"/>
    </xf>
    <xf numFmtId="0" fontId="0" fillId="0" borderId="5" xfId="8" applyFont="1" applyFill="1" applyBorder="1" applyAlignment="1"/>
    <xf numFmtId="0" fontId="0" fillId="0" borderId="4" xfId="8" applyFont="1" applyFill="1" applyBorder="1" applyAlignment="1"/>
    <xf numFmtId="0" fontId="20" fillId="0" borderId="182" xfId="22" applyFont="1" applyBorder="1" applyAlignment="1"/>
    <xf numFmtId="0" fontId="22" fillId="0" borderId="182" xfId="22" applyFont="1" applyBorder="1" applyAlignment="1"/>
    <xf numFmtId="0" fontId="0" fillId="7" borderId="10" xfId="0" applyFill="1" applyBorder="1" applyAlignment="1"/>
    <xf numFmtId="0" fontId="0" fillId="7" borderId="20" xfId="0" applyFill="1" applyBorder="1" applyAlignment="1"/>
    <xf numFmtId="0" fontId="1" fillId="0" borderId="20" xfId="14" applyFont="1" applyBorder="1" applyAlignment="1"/>
    <xf numFmtId="0" fontId="20" fillId="0" borderId="202" xfId="22" applyFont="1" applyFill="1" applyBorder="1" applyAlignment="1"/>
    <xf numFmtId="0" fontId="22" fillId="12" borderId="203" xfId="22" applyFont="1" applyFill="1" applyBorder="1" applyAlignment="1"/>
    <xf numFmtId="0" fontId="20" fillId="0" borderId="9" xfId="22" applyFont="1" applyFill="1" applyBorder="1" applyAlignment="1"/>
    <xf numFmtId="0" fontId="20" fillId="0" borderId="204" xfId="22" applyFont="1" applyBorder="1" applyAlignment="1"/>
    <xf numFmtId="0" fontId="22" fillId="0" borderId="204" xfId="22" applyFont="1" applyBorder="1" applyAlignment="1"/>
    <xf numFmtId="0" fontId="22" fillId="12" borderId="205" xfId="14" applyFont="1" applyFill="1" applyBorder="1" applyAlignment="1"/>
    <xf numFmtId="0" fontId="22" fillId="12" borderId="203" xfId="14" applyFont="1" applyFill="1" applyBorder="1" applyAlignment="1"/>
    <xf numFmtId="0" fontId="31" fillId="0" borderId="204" xfId="33" applyFont="1" applyFill="1" applyBorder="1" applyAlignment="1"/>
    <xf numFmtId="0" fontId="22" fillId="12" borderId="206" xfId="14" applyFont="1" applyFill="1" applyBorder="1" applyAlignment="1"/>
    <xf numFmtId="0" fontId="0" fillId="0" borderId="128" xfId="0" applyBorder="1" applyAlignment="1"/>
    <xf numFmtId="0" fontId="22" fillId="0" borderId="207" xfId="22" applyFont="1" applyFill="1" applyBorder="1" applyAlignment="1"/>
    <xf numFmtId="0" fontId="20" fillId="0" borderId="184" xfId="22" applyFont="1" applyFill="1" applyBorder="1" applyAlignment="1"/>
    <xf numFmtId="0" fontId="16" fillId="12" borderId="208" xfId="22" applyFont="1" applyFill="1" applyBorder="1" applyAlignment="1"/>
    <xf numFmtId="0" fontId="23" fillId="5" borderId="184" xfId="33" applyFont="1" applyFill="1" applyBorder="1" applyAlignment="1"/>
    <xf numFmtId="0" fontId="23" fillId="7" borderId="209" xfId="33" applyFont="1" applyFill="1" applyBorder="1" applyAlignment="1"/>
    <xf numFmtId="0" fontId="22" fillId="7" borderId="207" xfId="22" applyFont="1" applyFill="1" applyBorder="1" applyAlignment="1"/>
    <xf numFmtId="0" fontId="16" fillId="17" borderId="9" xfId="22" applyFont="1" applyFill="1" applyBorder="1" applyAlignment="1"/>
    <xf numFmtId="0" fontId="0" fillId="17" borderId="9" xfId="0" applyFont="1" applyFill="1" applyBorder="1" applyAlignment="1"/>
    <xf numFmtId="0" fontId="0" fillId="5" borderId="9" xfId="0" applyFont="1" applyFill="1" applyBorder="1" applyAlignment="1"/>
    <xf numFmtId="0" fontId="0" fillId="0" borderId="9" xfId="0" applyFont="1" applyFill="1" applyBorder="1" applyAlignment="1"/>
    <xf numFmtId="0" fontId="20" fillId="0" borderId="209" xfId="22" applyFont="1" applyFill="1" applyBorder="1" applyAlignment="1"/>
    <xf numFmtId="0" fontId="20" fillId="0" borderId="210" xfId="22" applyFont="1" applyFill="1" applyBorder="1" applyAlignment="1"/>
    <xf numFmtId="0" fontId="22" fillId="0" borderId="209" xfId="22" applyFont="1" applyFill="1" applyBorder="1" applyAlignment="1"/>
    <xf numFmtId="0" fontId="22" fillId="0" borderId="210" xfId="22" applyFont="1" applyFill="1" applyBorder="1" applyAlignment="1"/>
    <xf numFmtId="0" fontId="75" fillId="25" borderId="209" xfId="33" applyFont="1" applyFill="1" applyBorder="1" applyAlignment="1"/>
    <xf numFmtId="0" fontId="77" fillId="0" borderId="109" xfId="33" applyFont="1" applyBorder="1" applyAlignment="1"/>
    <xf numFmtId="0" fontId="75" fillId="0" borderId="0" xfId="33" applyFont="1" applyBorder="1" applyAlignment="1"/>
    <xf numFmtId="0" fontId="22" fillId="13" borderId="9" xfId="22" applyFont="1" applyFill="1" applyBorder="1" applyAlignment="1"/>
    <xf numFmtId="0" fontId="22" fillId="0" borderId="9" xfId="22" applyFont="1" applyFill="1" applyBorder="1" applyAlignment="1"/>
    <xf numFmtId="0" fontId="1" fillId="0" borderId="9" xfId="22" applyFont="1" applyFill="1" applyBorder="1" applyAlignment="1"/>
    <xf numFmtId="0" fontId="16" fillId="11" borderId="195" xfId="5" quotePrefix="1" applyNumberFormat="1" applyFont="1" applyFill="1" applyBorder="1" applyAlignment="1"/>
    <xf numFmtId="0" fontId="16" fillId="11" borderId="195" xfId="5" applyFont="1" applyFill="1" applyBorder="1" applyAlignment="1"/>
    <xf numFmtId="0" fontId="1" fillId="11" borderId="195" xfId="5" applyFont="1" applyFill="1" applyBorder="1" applyAlignment="1"/>
    <xf numFmtId="0" fontId="1" fillId="13" borderId="195" xfId="5" applyFont="1" applyFill="1" applyBorder="1" applyAlignment="1"/>
    <xf numFmtId="0" fontId="1" fillId="0" borderId="195" xfId="5" applyFont="1" applyFill="1" applyBorder="1" applyAlignment="1"/>
    <xf numFmtId="0" fontId="1" fillId="0" borderId="195" xfId="5" applyFont="1" applyBorder="1" applyAlignment="1">
      <alignment vertical="top"/>
    </xf>
    <xf numFmtId="0" fontId="20" fillId="0" borderId="207" xfId="22" applyFont="1" applyBorder="1" applyAlignment="1"/>
    <xf numFmtId="0" fontId="77" fillId="0" borderId="209" xfId="33" applyFont="1" applyFill="1" applyBorder="1" applyAlignment="1"/>
    <xf numFmtId="0" fontId="77" fillId="0" borderId="210" xfId="33" applyFont="1" applyBorder="1" applyAlignment="1"/>
    <xf numFmtId="0" fontId="74" fillId="0" borderId="210" xfId="0" applyFont="1" applyBorder="1" applyAlignment="1"/>
    <xf numFmtId="0" fontId="0" fillId="0" borderId="207" xfId="0" applyBorder="1" applyAlignment="1"/>
    <xf numFmtId="0" fontId="22" fillId="10" borderId="207" xfId="22" applyFont="1" applyFill="1" applyBorder="1" applyAlignment="1"/>
    <xf numFmtId="0" fontId="23" fillId="5" borderId="195" xfId="33" applyFont="1" applyFill="1" applyBorder="1" applyAlignment="1"/>
    <xf numFmtId="0" fontId="84" fillId="0" borderId="24" xfId="33" applyFont="1" applyFill="1" applyBorder="1" applyAlignment="1"/>
    <xf numFmtId="0" fontId="84" fillId="0" borderId="183" xfId="33" applyFont="1" applyFill="1" applyBorder="1" applyAlignment="1">
      <alignment vertical="top"/>
    </xf>
    <xf numFmtId="0" fontId="1" fillId="7" borderId="115" xfId="21" applyNumberFormat="1" applyFont="1" applyFill="1" applyBorder="1" applyAlignment="1">
      <alignment horizontal="left"/>
    </xf>
    <xf numFmtId="49" fontId="1" fillId="7" borderId="115" xfId="5" applyNumberFormat="1" applyFont="1" applyFill="1" applyBorder="1"/>
    <xf numFmtId="0" fontId="1" fillId="7" borderId="115" xfId="21" applyFont="1" applyFill="1" applyBorder="1"/>
    <xf numFmtId="0" fontId="1" fillId="7" borderId="115" xfId="21" applyFont="1" applyFill="1" applyBorder="1" applyAlignment="1">
      <alignment vertical="center"/>
    </xf>
    <xf numFmtId="0" fontId="21" fillId="7" borderId="115" xfId="33" applyFill="1" applyBorder="1"/>
    <xf numFmtId="0" fontId="23" fillId="7" borderId="115" xfId="33" applyFont="1" applyFill="1" applyBorder="1" applyAlignment="1"/>
    <xf numFmtId="0" fontId="1" fillId="7" borderId="115" xfId="6" applyFont="1" applyFill="1" applyBorder="1" applyAlignment="1">
      <alignment horizontal="left"/>
    </xf>
    <xf numFmtId="166" fontId="1" fillId="7" borderId="115" xfId="21" applyNumberFormat="1" applyFont="1" applyFill="1" applyBorder="1" applyAlignment="1">
      <alignment horizontal="center"/>
    </xf>
    <xf numFmtId="167" fontId="1" fillId="7" borderId="115" xfId="21" applyNumberFormat="1" applyFont="1" applyFill="1" applyBorder="1" applyAlignment="1">
      <alignment horizontal="center" vertical="center"/>
    </xf>
    <xf numFmtId="0" fontId="1" fillId="5" borderId="115" xfId="21" applyNumberFormat="1" applyFont="1" applyFill="1" applyBorder="1" applyAlignment="1">
      <alignment horizontal="left"/>
    </xf>
    <xf numFmtId="49" fontId="1" fillId="5" borderId="115" xfId="5" applyNumberFormat="1" applyFont="1" applyFill="1" applyBorder="1"/>
    <xf numFmtId="0" fontId="1" fillId="5" borderId="115" xfId="21" applyFont="1" applyFill="1" applyBorder="1"/>
    <xf numFmtId="0" fontId="1" fillId="5" borderId="115" xfId="21" applyFont="1" applyFill="1" applyBorder="1" applyAlignment="1"/>
    <xf numFmtId="0" fontId="21" fillId="5" borderId="115" xfId="33" applyFill="1" applyBorder="1"/>
    <xf numFmtId="0" fontId="23" fillId="5" borderId="115" xfId="33" applyFont="1" applyFill="1" applyBorder="1" applyAlignment="1"/>
    <xf numFmtId="0" fontId="1" fillId="5" borderId="115" xfId="6" applyFont="1" applyFill="1" applyBorder="1" applyAlignment="1">
      <alignment horizontal="left"/>
    </xf>
    <xf numFmtId="166" fontId="1" fillId="5" borderId="115" xfId="21" applyNumberFormat="1" applyFont="1" applyFill="1" applyBorder="1" applyAlignment="1">
      <alignment horizontal="center"/>
    </xf>
    <xf numFmtId="167" fontId="1" fillId="5" borderId="115" xfId="21" applyNumberFormat="1" applyFont="1" applyFill="1" applyBorder="1" applyAlignment="1">
      <alignment horizontal="center" vertical="center"/>
    </xf>
    <xf numFmtId="0" fontId="1" fillId="7" borderId="115" xfId="21" applyFont="1" applyFill="1" applyBorder="1" applyAlignment="1"/>
    <xf numFmtId="14" fontId="1" fillId="7" borderId="115" xfId="21" applyNumberFormat="1" applyFont="1" applyFill="1" applyBorder="1" applyAlignment="1">
      <alignment horizontal="left"/>
    </xf>
    <xf numFmtId="167" fontId="1" fillId="7" borderId="115" xfId="21" applyNumberFormat="1" applyFont="1" applyFill="1" applyBorder="1" applyAlignment="1">
      <alignment horizontal="center"/>
    </xf>
    <xf numFmtId="14" fontId="1" fillId="24" borderId="115" xfId="21" applyNumberFormat="1" applyFont="1" applyFill="1" applyBorder="1" applyAlignment="1">
      <alignment horizontal="left"/>
    </xf>
    <xf numFmtId="49" fontId="1" fillId="24" borderId="115" xfId="5" applyNumberFormat="1" applyFont="1" applyFill="1" applyBorder="1"/>
    <xf numFmtId="0" fontId="71" fillId="24" borderId="115" xfId="21" applyFont="1" applyFill="1" applyBorder="1"/>
    <xf numFmtId="0" fontId="1" fillId="24" borderId="115" xfId="21" applyFont="1" applyFill="1" applyBorder="1" applyAlignment="1"/>
    <xf numFmtId="0" fontId="21" fillId="24" borderId="115" xfId="33" applyFill="1" applyBorder="1" applyAlignment="1"/>
    <xf numFmtId="0" fontId="23" fillId="24" borderId="115" xfId="33" applyFont="1" applyFill="1" applyBorder="1" applyAlignment="1"/>
    <xf numFmtId="0" fontId="1" fillId="24" borderId="115" xfId="6" applyFont="1" applyFill="1" applyBorder="1" applyAlignment="1">
      <alignment horizontal="left"/>
    </xf>
    <xf numFmtId="166" fontId="1" fillId="24" borderId="115" xfId="21" applyNumberFormat="1" applyFont="1" applyFill="1" applyBorder="1" applyAlignment="1">
      <alignment horizontal="center"/>
    </xf>
    <xf numFmtId="167" fontId="1" fillId="24" borderId="115" xfId="21" applyNumberFormat="1" applyFont="1" applyFill="1" applyBorder="1" applyAlignment="1">
      <alignment horizontal="center"/>
    </xf>
    <xf numFmtId="0" fontId="71" fillId="0" borderId="115" xfId="21" applyFont="1" applyFill="1" applyBorder="1"/>
    <xf numFmtId="0" fontId="21" fillId="0" borderId="115" xfId="33" applyFill="1" applyBorder="1" applyAlignment="1"/>
    <xf numFmtId="167" fontId="1" fillId="0" borderId="115" xfId="21" applyNumberFormat="1" applyFont="1" applyFill="1" applyBorder="1" applyAlignment="1">
      <alignment horizontal="center"/>
    </xf>
    <xf numFmtId="14" fontId="0" fillId="0" borderId="115" xfId="21" applyNumberFormat="1" applyFont="1" applyFill="1" applyBorder="1" applyAlignment="1">
      <alignment horizontal="left"/>
    </xf>
    <xf numFmtId="49" fontId="0" fillId="0" borderId="115" xfId="5" applyNumberFormat="1" applyFont="1" applyFill="1" applyBorder="1"/>
    <xf numFmtId="0" fontId="0" fillId="0" borderId="115" xfId="21" applyFont="1" applyFill="1" applyBorder="1" applyAlignment="1"/>
    <xf numFmtId="166" fontId="0" fillId="0" borderId="115" xfId="21" applyNumberFormat="1" applyFont="1" applyFill="1" applyBorder="1" applyAlignment="1">
      <alignment horizontal="center"/>
    </xf>
    <xf numFmtId="169" fontId="1" fillId="0" borderId="0" xfId="22" applyNumberFormat="1" applyFont="1" applyFill="1" applyBorder="1" applyAlignment="1">
      <alignment horizontal="center" vertical="center" wrapText="1"/>
    </xf>
    <xf numFmtId="0" fontId="0" fillId="0" borderId="0" xfId="0" applyFill="1" applyAlignment="1">
      <alignment horizontal="center"/>
    </xf>
    <xf numFmtId="169" fontId="0" fillId="0" borderId="0" xfId="0" applyNumberFormat="1" applyFill="1" applyAlignment="1">
      <alignment horizontal="center"/>
    </xf>
    <xf numFmtId="16" fontId="0" fillId="0" borderId="58" xfId="22" quotePrefix="1" applyNumberFormat="1" applyFont="1" applyFill="1" applyBorder="1" applyAlignment="1">
      <alignment horizontal="center" vertical="center"/>
    </xf>
    <xf numFmtId="0" fontId="0" fillId="0" borderId="58" xfId="22" quotePrefix="1" applyNumberFormat="1" applyFont="1" applyFill="1" applyBorder="1" applyAlignment="1">
      <alignment horizontal="center" vertical="center"/>
    </xf>
    <xf numFmtId="0" fontId="85" fillId="24" borderId="29" xfId="33" applyFont="1" applyFill="1" applyBorder="1" applyAlignment="1"/>
    <xf numFmtId="0" fontId="0" fillId="24" borderId="18" xfId="22" applyFont="1" applyFill="1" applyBorder="1" applyAlignment="1"/>
    <xf numFmtId="0" fontId="22" fillId="4" borderId="6" xfId="22" applyFont="1" applyFill="1" applyBorder="1" applyAlignment="1"/>
    <xf numFmtId="0" fontId="22" fillId="4" borderId="7" xfId="22" applyFont="1" applyFill="1" applyBorder="1" applyAlignment="1"/>
    <xf numFmtId="0" fontId="1" fillId="0" borderId="18" xfId="8" applyFont="1" applyFill="1" applyBorder="1" applyAlignment="1">
      <alignment textRotation="90"/>
    </xf>
    <xf numFmtId="0" fontId="0" fillId="0" borderId="0" xfId="8" applyFont="1" applyFill="1" applyBorder="1" applyAlignment="1">
      <alignment textRotation="90"/>
    </xf>
    <xf numFmtId="0" fontId="1" fillId="0" borderId="0" xfId="8" applyFont="1" applyFill="1" applyBorder="1" applyAlignment="1">
      <alignment textRotation="90"/>
    </xf>
    <xf numFmtId="0" fontId="1" fillId="0" borderId="0" xfId="8" applyFont="1" applyFill="1" applyAlignment="1">
      <alignment textRotation="90"/>
    </xf>
    <xf numFmtId="0" fontId="86" fillId="0" borderId="18" xfId="33" applyFont="1" applyFill="1" applyBorder="1" applyAlignment="1"/>
  </cellXfs>
  <cellStyles count="36">
    <cellStyle name="Hyperlink" xfId="33" builtinId="8"/>
    <cellStyle name="Hyperlink 2" xfId="1"/>
    <cellStyle name="Hyperlink 2 2" xfId="2"/>
    <cellStyle name="Hyperlink 3" xfId="3"/>
    <cellStyle name="Hyperlink 3 2" xfId="4"/>
    <cellStyle name="Normal" xfId="0" builtinId="0"/>
    <cellStyle name="Normal 2" xfId="5"/>
    <cellStyle name="Normal 2 2" xfId="6"/>
    <cellStyle name="Normal 2 2 2" xfId="7"/>
    <cellStyle name="Normal 2 2 2 2" xfId="8"/>
    <cellStyle name="Normal 2 2 3" xfId="9"/>
    <cellStyle name="Normal 2 2 4" xfId="10"/>
    <cellStyle name="Normal 2 3" xfId="11"/>
    <cellStyle name="Normal 2 3 2" xfId="12"/>
    <cellStyle name="Normal 2 4" xfId="13"/>
    <cellStyle name="Normal 2 4 2" xfId="32"/>
    <cellStyle name="Normal 2 5" xfId="14"/>
    <cellStyle name="Normal 2 5 2 2" xfId="34"/>
    <cellStyle name="Normal 3" xfId="15"/>
    <cellStyle name="Normal 3 2" xfId="16"/>
    <cellStyle name="Normal 3 3" xfId="17"/>
    <cellStyle name="Normal 3 4" xfId="18"/>
    <cellStyle name="Normal 4" xfId="19"/>
    <cellStyle name="Normal 4 2" xfId="20"/>
    <cellStyle name="Normal 4 3" xfId="21"/>
    <cellStyle name="Normal 5" xfId="22"/>
    <cellStyle name="Normal 5 3 2" xfId="35"/>
    <cellStyle name="Normal 6" xfId="23"/>
    <cellStyle name="Normal 6 2" xfId="24"/>
    <cellStyle name="Normal 6 2 2" xfId="25"/>
    <cellStyle name="Normal 6 3" xfId="26"/>
    <cellStyle name="Normal 6 4" xfId="27"/>
    <cellStyle name="Normal 7" xfId="28"/>
    <cellStyle name="Normal 8" xfId="29"/>
    <cellStyle name="Normal 9" xfId="30"/>
    <cellStyle name="WinCalendar_BlankCells_35" xfId="31"/>
  </cellStyles>
  <dxfs count="4841">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ont>
        <b/>
        <i val="0"/>
      </font>
    </dxf>
    <dxf>
      <font>
        <b/>
        <i val="0"/>
      </font>
    </dxf>
    <dxf>
      <font>
        <b/>
        <i val="0"/>
      </font>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b/>
        <i val="0"/>
      </font>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ont>
        <b/>
        <i val="0"/>
      </font>
    </dxf>
    <dxf>
      <fill>
        <patternFill>
          <bgColor theme="0" tint="-4.9989318521683403E-2"/>
        </patternFill>
      </fill>
    </dxf>
    <dxf>
      <fill>
        <patternFill>
          <bgColor theme="0" tint="-4.9989318521683403E-2"/>
        </patternFill>
      </fill>
    </dxf>
    <dxf>
      <font>
        <b/>
        <i val="0"/>
      </font>
    </dxf>
    <dxf>
      <font>
        <b/>
        <i val="0"/>
      </font>
    </dxf>
    <dxf>
      <font>
        <b/>
        <i val="0"/>
      </font>
    </dxf>
    <dxf>
      <font>
        <b/>
        <i val="0"/>
      </font>
    </dxf>
    <dxf>
      <font>
        <b/>
        <i val="0"/>
      </font>
    </dxf>
    <dxf>
      <fill>
        <patternFill>
          <bgColor theme="0" tint="-4.9989318521683403E-2"/>
        </patternFill>
      </fill>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ont>
        <b/>
        <i val="0"/>
      </font>
    </dxf>
    <dxf>
      <fill>
        <patternFill>
          <bgColor theme="0" tint="-4.9989318521683403E-2"/>
        </patternFill>
      </fill>
    </dxf>
    <dxf>
      <fill>
        <patternFill>
          <bgColor theme="0" tint="-4.9989318521683403E-2"/>
        </patternFill>
      </fill>
    </dxf>
    <dxf>
      <font>
        <b/>
        <i val="0"/>
      </font>
    </dxf>
    <dxf>
      <font>
        <b/>
        <i val="0"/>
      </font>
    </dxf>
    <dxf>
      <font>
        <b/>
        <i val="0"/>
      </font>
    </dxf>
    <dxf>
      <font>
        <b/>
        <i val="0"/>
      </font>
    </dxf>
    <dxf>
      <font>
        <b/>
        <i val="0"/>
      </font>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ont>
        <color theme="1"/>
      </font>
      <fill>
        <patternFill patternType="none">
          <bgColor auto="1"/>
        </patternFill>
      </fill>
    </dxf>
    <dxf>
      <font>
        <color rgb="FF9C0006"/>
      </font>
      <fill>
        <patternFill>
          <bgColor rgb="FFFFC7CE"/>
        </patternFill>
      </fill>
    </dxf>
    <dxf>
      <font>
        <color theme="1"/>
      </font>
      <fill>
        <patternFill patternType="none">
          <bgColor auto="1"/>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color rgb="FF0070C0"/>
      </font>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FF0000"/>
        </patternFill>
      </fill>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0070C0"/>
      </font>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FF0000"/>
        </patternFill>
      </fill>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0070C0"/>
      </font>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FF0000"/>
        </patternFill>
      </fill>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0070C0"/>
      </font>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FF0000"/>
        </patternFill>
      </fill>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color rgb="FF0070C0"/>
      </font>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0070C0"/>
      </font>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FF0000"/>
        </patternFill>
      </fill>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0070C0"/>
      </font>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FF0000"/>
        </patternFill>
      </fill>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color rgb="FF0070C0"/>
      </font>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0070C0"/>
      </font>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FF0000"/>
        </patternFill>
      </fill>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b/>
        <i val="0"/>
      </font>
    </dxf>
    <dxf>
      <font>
        <b/>
        <i val="0"/>
      </font>
    </dxf>
    <dxf>
      <font>
        <b/>
        <i val="0"/>
      </font>
    </dxf>
    <dxf>
      <font>
        <b/>
        <i val="0"/>
      </font>
    </dxf>
    <dxf>
      <font>
        <b/>
        <i val="0"/>
      </font>
    </dxf>
    <dxf>
      <font>
        <b/>
        <i val="0"/>
      </font>
    </dxf>
    <dxf>
      <font>
        <b/>
        <i val="0"/>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b/>
        <i val="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b/>
        <i val="0"/>
      </font>
    </dxf>
    <dxf>
      <font>
        <b/>
        <i val="0"/>
      </font>
    </dxf>
    <dxf>
      <font>
        <b/>
        <i val="0"/>
      </font>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ill>
        <patternFill>
          <bgColor theme="0" tint="-4.9989318521683403E-2"/>
        </patternFill>
      </fill>
    </dxf>
    <dxf>
      <fill>
        <patternFill>
          <bgColor theme="0" tint="-4.9989318521683403E-2"/>
        </patternFill>
      </fill>
    </dxf>
    <dxf>
      <font>
        <b/>
        <i val="0"/>
      </font>
    </dxf>
    <dxf>
      <font>
        <b/>
        <i val="0"/>
      </font>
    </dxf>
    <dxf>
      <font>
        <b/>
        <i val="0"/>
      </font>
    </dxf>
    <dxf>
      <font>
        <b/>
        <i val="0"/>
      </font>
    </dxf>
    <dxf>
      <font>
        <b/>
        <i val="0"/>
      </font>
    </dxf>
    <dxf>
      <font>
        <b/>
        <i val="0"/>
      </font>
    </dxf>
    <dxf>
      <fill>
        <patternFill>
          <bgColor theme="0" tint="-4.9989318521683403E-2"/>
        </patternFill>
      </fill>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color rgb="FF0070C0"/>
      </font>
    </dxf>
    <dxf>
      <font>
        <b/>
        <i val="0"/>
      </font>
    </dxf>
    <dxf>
      <font>
        <b/>
        <i val="0"/>
      </font>
    </dxf>
    <dxf>
      <font>
        <color rgb="FF0070C0"/>
      </font>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b/>
        <i val="0"/>
      </font>
    </dxf>
    <dxf>
      <fill>
        <patternFill>
          <bgColor rgb="FFFFFF99"/>
        </patternFill>
      </fill>
    </dxf>
    <dxf>
      <fill>
        <patternFill>
          <bgColor theme="0" tint="-0.14996795556505021"/>
        </patternFill>
      </fill>
    </dxf>
    <dxf>
      <fill>
        <patternFill>
          <bgColor rgb="FFFFCC99"/>
        </patternFill>
      </fill>
    </dxf>
    <dxf>
      <font>
        <color rgb="FF0070C0"/>
      </font>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0070C0"/>
      </font>
    </dxf>
    <dxf>
      <font>
        <color rgb="FF0070C0"/>
      </font>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FF0000"/>
        </patternFill>
      </fill>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b/>
        <i val="0"/>
      </font>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ont>
        <b/>
        <i val="0"/>
      </font>
    </dxf>
    <dxf>
      <fill>
        <patternFill>
          <bgColor theme="0" tint="-4.9989318521683403E-2"/>
        </patternFill>
      </fill>
    </dxf>
    <dxf>
      <fill>
        <patternFill>
          <bgColor theme="0" tint="-4.9989318521683403E-2"/>
        </patternFill>
      </fill>
    </dxf>
    <dxf>
      <font>
        <b/>
        <i val="0"/>
      </font>
    </dxf>
    <dxf>
      <font>
        <b/>
        <i val="0"/>
      </font>
    </dxf>
    <dxf>
      <font>
        <b/>
        <i val="0"/>
      </font>
    </dxf>
    <dxf>
      <font>
        <b/>
        <i val="0"/>
      </font>
    </dxf>
    <dxf>
      <font>
        <b/>
        <i val="0"/>
      </font>
    </dxf>
    <dxf>
      <fill>
        <patternFill>
          <bgColor theme="0" tint="-4.9989318521683403E-2"/>
        </patternFill>
      </fill>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ont>
        <b/>
        <i val="0"/>
      </font>
    </dxf>
    <dxf>
      <fill>
        <patternFill>
          <bgColor theme="0" tint="-4.9989318521683403E-2"/>
        </patternFill>
      </fill>
    </dxf>
    <dxf>
      <fill>
        <patternFill>
          <bgColor theme="0" tint="-4.9989318521683403E-2"/>
        </patternFill>
      </fill>
    </dxf>
    <dxf>
      <font>
        <b/>
        <i val="0"/>
      </font>
    </dxf>
    <dxf>
      <font>
        <b/>
        <i val="0"/>
      </font>
    </dxf>
    <dxf>
      <font>
        <b/>
        <i val="0"/>
      </font>
    </dxf>
    <dxf>
      <font>
        <b/>
        <i val="0"/>
      </font>
    </dxf>
    <dxf>
      <font>
        <b/>
        <i val="0"/>
      </font>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ont>
        <color theme="1"/>
      </font>
      <fill>
        <patternFill patternType="none">
          <bgColor auto="1"/>
        </patternFill>
      </fill>
    </dxf>
    <dxf>
      <font>
        <color rgb="FF9C0006"/>
      </font>
      <fill>
        <patternFill>
          <bgColor rgb="FFFFC7CE"/>
        </patternFill>
      </fill>
    </dxf>
    <dxf>
      <font>
        <color theme="1"/>
      </font>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0070C0"/>
      </font>
    </dxf>
    <dxf>
      <font>
        <color rgb="FF0070C0"/>
      </font>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FF0000"/>
        </patternFill>
      </fill>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b/>
        <i val="0"/>
        <color rgb="FFFF0000"/>
      </font>
    </dxf>
    <dxf>
      <font>
        <b/>
        <i val="0"/>
        <color rgb="FFFF0000"/>
      </font>
    </dxf>
    <dxf>
      <font>
        <b/>
        <i val="0"/>
      </font>
    </dxf>
    <dxf>
      <fill>
        <patternFill>
          <bgColor theme="0" tint="-4.9989318521683403E-2"/>
        </patternFill>
      </fill>
    </dxf>
    <dxf>
      <font>
        <b/>
        <i val="0"/>
      </font>
    </dxf>
    <dxf>
      <fill>
        <patternFill>
          <bgColor theme="0" tint="-4.9989318521683403E-2"/>
        </patternFill>
      </fill>
    </dxf>
    <dxf>
      <font>
        <b/>
        <i val="0"/>
      </font>
    </dxf>
    <dxf>
      <font>
        <color rgb="FF9C0006"/>
      </font>
      <fill>
        <patternFill>
          <bgColor rgb="FFFFC7CE"/>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ont>
        <b/>
        <i val="0"/>
      </font>
    </dxf>
    <dxf>
      <font>
        <b/>
        <i val="0"/>
      </font>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theme="0" tint="-4.9989318521683403E-2"/>
        </patternFill>
      </fill>
    </dxf>
    <dxf>
      <font>
        <b/>
        <i val="0"/>
      </font>
    </dxf>
    <dxf>
      <font>
        <b/>
        <i val="0"/>
      </font>
    </dxf>
    <dxf>
      <font>
        <b/>
        <i val="0"/>
      </font>
    </dxf>
    <dxf>
      <font>
        <b/>
        <i val="0"/>
      </font>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ont>
        <color rgb="FF9C0006"/>
      </font>
      <fill>
        <patternFill>
          <bgColor rgb="FFFFC7CE"/>
        </patternFill>
      </fill>
    </dxf>
    <dxf>
      <fill>
        <patternFill>
          <bgColor theme="0" tint="-4.9989318521683403E-2"/>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color rgb="FF9C0006"/>
      </font>
      <fill>
        <patternFill>
          <bgColor rgb="FFFFC7CE"/>
        </patternFill>
      </fill>
    </dxf>
    <dxf>
      <font>
        <color theme="1"/>
      </font>
      <fill>
        <patternFill patternType="none">
          <bgColor auto="1"/>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ill>
        <patternFill>
          <bgColor theme="0" tint="-4.9989318521683403E-2"/>
        </patternFill>
      </fill>
    </dxf>
    <dxf>
      <font>
        <b/>
        <i val="0"/>
      </font>
    </dxf>
    <dxf>
      <font>
        <b/>
        <i val="0"/>
      </font>
    </dxf>
    <dxf>
      <font>
        <color rgb="FF9C0006"/>
      </font>
      <fill>
        <patternFill>
          <bgColor rgb="FFFFC7CE"/>
        </patternFill>
      </fill>
    </dxf>
    <dxf>
      <font>
        <color theme="1"/>
      </font>
      <fill>
        <patternFill patternType="none">
          <bgColor auto="1"/>
        </patternFill>
      </fill>
    </dxf>
    <dxf>
      <font>
        <b/>
        <i val="0"/>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color rgb="FFFF0000"/>
      </font>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dxf>
    <dxf>
      <font>
        <color theme="1"/>
      </font>
    </dxf>
    <dxf>
      <font>
        <color theme="1"/>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rgb="FF0070C0"/>
      </font>
    </dxf>
    <dxf>
      <font>
        <b/>
        <i val="0"/>
        <color rgb="FFFF0000"/>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ont>
        <b/>
        <i val="0"/>
      </font>
    </dxf>
    <dxf>
      <fill>
        <patternFill>
          <bgColor theme="0" tint="-4.9989318521683403E-2"/>
        </patternFill>
      </fill>
    </dxf>
    <dxf>
      <fill>
        <patternFill>
          <bgColor theme="0" tint="-4.9989318521683403E-2"/>
        </patternFill>
      </fill>
    </dxf>
    <dxf>
      <font>
        <b/>
        <i val="0"/>
      </font>
    </dxf>
    <dxf>
      <font>
        <b/>
        <i val="0"/>
      </font>
    </dxf>
    <dxf>
      <font>
        <b/>
        <i val="0"/>
      </font>
    </dxf>
    <dxf>
      <font>
        <b/>
        <i val="0"/>
      </font>
    </dxf>
    <dxf>
      <font>
        <b/>
        <i val="0"/>
      </font>
    </dxf>
    <dxf>
      <fill>
        <patternFill>
          <bgColor theme="0" tint="-4.9989318521683403E-2"/>
        </patternFill>
      </fill>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ont>
        <b/>
        <i val="0"/>
      </font>
    </dxf>
    <dxf>
      <fill>
        <patternFill>
          <bgColor theme="0" tint="-4.9989318521683403E-2"/>
        </patternFill>
      </fill>
    </dxf>
    <dxf>
      <fill>
        <patternFill>
          <bgColor theme="0" tint="-4.9989318521683403E-2"/>
        </patternFill>
      </fill>
    </dxf>
    <dxf>
      <font>
        <b/>
        <i val="0"/>
      </font>
    </dxf>
    <dxf>
      <font>
        <b/>
        <i val="0"/>
      </font>
    </dxf>
    <dxf>
      <font>
        <b/>
        <i val="0"/>
      </font>
    </dxf>
    <dxf>
      <font>
        <b/>
        <i val="0"/>
      </font>
    </dxf>
    <dxf>
      <font>
        <b/>
        <i val="0"/>
      </font>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ont>
        <color theme="1"/>
      </font>
      <fill>
        <patternFill patternType="none">
          <bgColor auto="1"/>
        </patternFill>
      </fill>
    </dxf>
    <dxf>
      <font>
        <color rgb="FF9C0006"/>
      </font>
      <fill>
        <patternFill>
          <bgColor rgb="FFFFC7CE"/>
        </patternFill>
      </fill>
    </dxf>
    <dxf>
      <font>
        <color theme="1"/>
      </font>
      <fill>
        <patternFill patternType="none">
          <bgColor auto="1"/>
        </patternFill>
      </fill>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0070C0"/>
      </font>
    </dxf>
    <dxf>
      <font>
        <color rgb="FF0070C0"/>
      </font>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FF0000"/>
        </patternFill>
      </fill>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b/>
        <i val="0"/>
      </font>
    </dxf>
    <dxf>
      <font>
        <b/>
        <i val="0"/>
      </font>
    </dxf>
    <dxf>
      <font>
        <b/>
        <i val="0"/>
      </font>
    </dxf>
    <dxf>
      <font>
        <b/>
        <i val="0"/>
      </font>
    </dxf>
    <dxf>
      <font>
        <b/>
        <i val="0"/>
      </font>
    </dxf>
    <dxf>
      <font>
        <b/>
        <i val="0"/>
      </font>
    </dxf>
    <dxf>
      <font>
        <b/>
        <i val="0"/>
      </font>
    </dxf>
    <dxf>
      <font>
        <b/>
        <i val="0"/>
      </font>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ill>
        <patternFill>
          <bgColor theme="0" tint="-4.9989318521683403E-2"/>
        </patternFill>
      </fill>
    </dxf>
    <dxf>
      <fill>
        <patternFill>
          <bgColor theme="0" tint="-4.9989318521683403E-2"/>
        </patternFill>
      </fill>
    </dxf>
    <dxf>
      <font>
        <b/>
        <i val="0"/>
      </font>
    </dxf>
    <dxf>
      <font>
        <b/>
        <i val="0"/>
      </font>
    </dxf>
    <dxf>
      <font>
        <b/>
        <i val="0"/>
      </font>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ont>
        <b/>
        <i val="0"/>
      </font>
    </dxf>
    <dxf>
      <fill>
        <patternFill>
          <bgColor theme="0" tint="-4.9989318521683403E-2"/>
        </patternFill>
      </fill>
    </dxf>
    <dxf>
      <fill>
        <patternFill>
          <bgColor theme="0" tint="-4.9989318521683403E-2"/>
        </patternFill>
      </fill>
    </dxf>
    <dxf>
      <font>
        <b/>
        <i val="0"/>
      </font>
    </dxf>
    <dxf>
      <font>
        <b/>
        <i val="0"/>
      </font>
    </dxf>
    <dxf>
      <font>
        <b/>
        <i val="0"/>
      </font>
    </dxf>
    <dxf>
      <font>
        <b/>
        <i val="0"/>
      </font>
    </dxf>
    <dxf>
      <font>
        <b/>
        <i val="0"/>
      </font>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ont>
        <color theme="1"/>
      </font>
      <fill>
        <patternFill patternType="none">
          <bgColor auto="1"/>
        </patternFill>
      </fill>
    </dxf>
    <dxf>
      <font>
        <color rgb="FF9C0006"/>
      </font>
      <fill>
        <patternFill>
          <bgColor rgb="FFFFC7CE"/>
        </patternFill>
      </fill>
    </dxf>
    <dxf>
      <font>
        <color theme="1"/>
      </font>
      <fill>
        <patternFill patternType="none">
          <bgColor auto="1"/>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0070C0"/>
      </font>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FF0000"/>
        </patternFill>
      </fill>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b/>
        <i val="0"/>
      </font>
    </dxf>
    <dxf>
      <font>
        <b/>
        <i val="0"/>
      </font>
    </dxf>
    <dxf>
      <font>
        <b/>
        <i val="0"/>
      </font>
    </dxf>
    <dxf>
      <font>
        <b/>
        <i val="0"/>
      </font>
    </dxf>
    <dxf>
      <font>
        <b/>
        <i val="0"/>
      </font>
    </dxf>
    <dxf>
      <font>
        <b/>
        <i val="0"/>
      </font>
    </dxf>
    <dxf>
      <font>
        <b/>
        <i val="0"/>
      </font>
    </dxf>
    <dxf>
      <font>
        <b/>
        <i val="0"/>
      </font>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ont>
        <b/>
        <i val="0"/>
      </font>
    </dxf>
    <dxf>
      <fill>
        <patternFill>
          <bgColor theme="0" tint="-4.9989318521683403E-2"/>
        </patternFill>
      </fill>
    </dxf>
    <dxf>
      <fill>
        <patternFill>
          <bgColor theme="0" tint="-4.9989318521683403E-2"/>
        </patternFill>
      </fill>
    </dxf>
    <dxf>
      <font>
        <b/>
        <i val="0"/>
      </font>
    </dxf>
    <dxf>
      <font>
        <b/>
        <i val="0"/>
      </font>
    </dxf>
    <dxf>
      <font>
        <b/>
        <i val="0"/>
      </font>
    </dxf>
    <dxf>
      <font>
        <b/>
        <i val="0"/>
      </font>
    </dxf>
    <dxf>
      <font>
        <b/>
        <i val="0"/>
      </font>
    </dxf>
    <dxf>
      <fill>
        <patternFill>
          <bgColor theme="0" tint="-4.9989318521683403E-2"/>
        </patternFill>
      </fill>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ont>
        <b/>
        <i val="0"/>
      </font>
    </dxf>
    <dxf>
      <fill>
        <patternFill>
          <bgColor theme="0" tint="-4.9989318521683403E-2"/>
        </patternFill>
      </fill>
    </dxf>
    <dxf>
      <fill>
        <patternFill>
          <bgColor theme="0" tint="-4.9989318521683403E-2"/>
        </patternFill>
      </fill>
    </dxf>
    <dxf>
      <font>
        <b/>
        <i val="0"/>
      </font>
    </dxf>
    <dxf>
      <font>
        <b/>
        <i val="0"/>
      </font>
    </dxf>
    <dxf>
      <font>
        <b/>
        <i val="0"/>
      </font>
    </dxf>
    <dxf>
      <font>
        <b/>
        <i val="0"/>
      </font>
    </dxf>
    <dxf>
      <font>
        <b/>
        <i val="0"/>
      </font>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ont>
        <color theme="1"/>
      </font>
      <fill>
        <patternFill patternType="none">
          <bgColor auto="1"/>
        </patternFill>
      </fill>
    </dxf>
    <dxf>
      <font>
        <color rgb="FF9C0006"/>
      </font>
      <fill>
        <patternFill>
          <bgColor rgb="FFFFC7CE"/>
        </patternFill>
      </fill>
    </dxf>
    <dxf>
      <font>
        <color theme="1"/>
      </font>
      <fill>
        <patternFill patternType="none">
          <bgColor auto="1"/>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ont>
        <b/>
        <i val="0"/>
      </font>
    </dxf>
    <dxf>
      <fill>
        <patternFill>
          <bgColor theme="0" tint="-4.9989318521683403E-2"/>
        </patternFill>
      </fill>
    </dxf>
    <dxf>
      <fill>
        <patternFill>
          <bgColor theme="0" tint="-4.9989318521683403E-2"/>
        </patternFill>
      </fill>
    </dxf>
    <dxf>
      <font>
        <b/>
        <i val="0"/>
      </font>
    </dxf>
    <dxf>
      <font>
        <b/>
        <i val="0"/>
      </font>
    </dxf>
    <dxf>
      <font>
        <b/>
        <i val="0"/>
      </font>
    </dxf>
    <dxf>
      <font>
        <b/>
        <i val="0"/>
      </font>
    </dxf>
    <dxf>
      <font>
        <b/>
        <i val="0"/>
      </font>
    </dxf>
    <dxf>
      <fill>
        <patternFill>
          <bgColor theme="0" tint="-4.9989318521683403E-2"/>
        </patternFill>
      </fill>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ont>
        <b/>
        <i val="0"/>
      </font>
    </dxf>
    <dxf>
      <fill>
        <patternFill>
          <bgColor theme="0" tint="-4.9989318521683403E-2"/>
        </patternFill>
      </fill>
    </dxf>
    <dxf>
      <fill>
        <patternFill>
          <bgColor theme="0" tint="-4.9989318521683403E-2"/>
        </patternFill>
      </fill>
    </dxf>
    <dxf>
      <font>
        <b/>
        <i val="0"/>
      </font>
    </dxf>
    <dxf>
      <font>
        <b/>
        <i val="0"/>
      </font>
    </dxf>
    <dxf>
      <font>
        <b/>
        <i val="0"/>
      </font>
    </dxf>
    <dxf>
      <font>
        <b/>
        <i val="0"/>
      </font>
    </dxf>
    <dxf>
      <font>
        <b/>
        <i val="0"/>
      </font>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ont>
        <color theme="1"/>
      </font>
      <fill>
        <patternFill patternType="none">
          <bgColor auto="1"/>
        </patternFill>
      </fill>
    </dxf>
    <dxf>
      <font>
        <color rgb="FF9C0006"/>
      </font>
      <fill>
        <patternFill>
          <bgColor rgb="FFFFC7CE"/>
        </patternFill>
      </fill>
    </dxf>
    <dxf>
      <font>
        <color theme="1"/>
      </font>
      <fill>
        <patternFill patternType="none">
          <bgColor auto="1"/>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ill>
        <patternFill patternType="none">
          <bgColor auto="1"/>
        </patternFill>
      </fill>
    </dxf>
    <dxf>
      <fill>
        <patternFill>
          <bgColor rgb="FFFFFF99"/>
        </patternFill>
      </fill>
    </dxf>
    <dxf>
      <fill>
        <patternFill>
          <bgColor theme="0" tint="-0.14996795556505021"/>
        </patternFill>
      </fill>
    </dxf>
    <dxf>
      <fill>
        <patternFill>
          <bgColor rgb="FFFFCC99"/>
        </patternFill>
      </fill>
    </dxf>
    <dxf>
      <font>
        <b/>
        <i val="0"/>
      </font>
    </dxf>
    <dxf>
      <font>
        <b/>
        <i val="0"/>
      </font>
    </dxf>
    <dxf>
      <font>
        <b/>
        <i val="0"/>
      </font>
    </dxf>
    <dxf>
      <font>
        <b/>
        <i val="0"/>
      </font>
    </dxf>
    <dxf>
      <font>
        <b/>
        <i val="0"/>
      </font>
    </dxf>
    <dxf>
      <font>
        <b/>
        <i val="0"/>
      </font>
    </dxf>
    <dxf>
      <font>
        <b/>
        <i val="0"/>
      </font>
    </dxf>
    <dxf>
      <font>
        <b/>
        <i val="0"/>
      </font>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ont>
        <color rgb="FF9C0006"/>
      </font>
      <fill>
        <patternFill>
          <bgColor rgb="FFFFC7CE"/>
        </patternFill>
      </fill>
    </dxf>
    <dxf>
      <font>
        <color theme="1"/>
      </font>
      <fill>
        <patternFill patternType="none">
          <bgColor auto="1"/>
        </patternFill>
      </fill>
    </dxf>
    <dxf>
      <font>
        <b/>
        <i val="0"/>
      </font>
    </dxf>
    <dxf>
      <fill>
        <patternFill>
          <bgColor theme="0" tint="-4.9989318521683403E-2"/>
        </patternFill>
      </fill>
    </dxf>
    <dxf>
      <fill>
        <patternFill>
          <bgColor theme="0" tint="-4.9989318521683403E-2"/>
        </patternFill>
      </fill>
    </dxf>
    <dxf>
      <font>
        <b/>
        <i val="0"/>
      </font>
    </dxf>
    <dxf>
      <font>
        <b/>
        <i val="0"/>
      </font>
    </dxf>
    <dxf>
      <font>
        <b/>
        <i val="0"/>
      </font>
    </dxf>
    <dxf>
      <font>
        <b/>
        <i val="0"/>
      </font>
    </dxf>
    <dxf>
      <font>
        <b/>
        <i val="0"/>
      </font>
    </dxf>
    <dxf>
      <font>
        <color rgb="FF9C0006"/>
      </font>
      <fill>
        <patternFill>
          <bgColor rgb="FFFFC7CE"/>
        </patternFill>
      </fill>
    </dxf>
    <dxf>
      <font>
        <color theme="1"/>
      </font>
      <fill>
        <patternFill patternType="none">
          <bgColor auto="1"/>
        </patternFill>
      </fill>
    </dxf>
    <dxf>
      <font>
        <b/>
        <i val="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0070C0"/>
      </font>
    </dxf>
    <dxf>
      <fill>
        <patternFill>
          <bgColor rgb="FFFF0000"/>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bgColor rgb="FFFFCCCC"/>
        </patternFill>
      </fill>
    </dxf>
    <dxf>
      <fill>
        <patternFill>
          <bgColor rgb="FFCCFFCC"/>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FF0000"/>
        </patternFill>
      </fill>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ont>
        <b/>
        <i val="0"/>
      </font>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font>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b/>
        <i val="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rgb="FF9C0006"/>
      </font>
      <fill>
        <patternFill>
          <bgColor rgb="FFFFC7CE"/>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theme="0" tint="-4.9989318521683403E-2"/>
        </patternFill>
      </fill>
    </dxf>
    <dxf>
      <font>
        <b/>
        <i val="0"/>
      </font>
    </dxf>
    <dxf>
      <font>
        <b/>
        <i val="0"/>
      </font>
    </dxf>
    <dxf>
      <fill>
        <patternFill>
          <bgColor theme="0" tint="-4.9989318521683403E-2"/>
        </patternFill>
      </fill>
    </dxf>
    <dxf>
      <font>
        <b/>
        <i val="0"/>
      </font>
    </dxf>
    <dxf>
      <font>
        <b/>
        <i val="0"/>
      </font>
    </dxf>
    <dxf>
      <fill>
        <patternFill>
          <bgColor theme="0" tint="-4.9989318521683403E-2"/>
        </patternFill>
      </fill>
    </dxf>
    <dxf>
      <font>
        <b/>
        <i val="0"/>
      </font>
    </dxf>
    <dxf>
      <font>
        <b/>
        <i val="0"/>
      </font>
    </dxf>
    <dxf>
      <fill>
        <patternFill>
          <bgColor theme="0" tint="-4.9989318521683403E-2"/>
        </patternFill>
      </fill>
    </dxf>
    <dxf>
      <font>
        <b/>
        <i val="0"/>
      </font>
    </dxf>
    <dxf>
      <font>
        <b/>
        <i val="0"/>
      </font>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ont>
        <b/>
        <i val="0"/>
      </font>
    </dxf>
    <dxf>
      <font>
        <b/>
        <i val="0"/>
      </font>
    </dxf>
    <dxf>
      <font>
        <b/>
        <i val="0"/>
      </font>
    </dxf>
    <dxf>
      <font>
        <b/>
        <i val="0"/>
      </font>
    </dxf>
    <dxf>
      <fill>
        <patternFill>
          <bgColor theme="0" tint="-4.9989318521683403E-2"/>
        </patternFill>
      </fill>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ont>
        <b/>
        <i val="0"/>
      </font>
    </dxf>
    <dxf>
      <fill>
        <patternFill>
          <bgColor theme="0" tint="-4.9989318521683403E-2"/>
        </patternFill>
      </fill>
    </dxf>
    <dxf>
      <fill>
        <patternFill>
          <bgColor theme="0" tint="-4.9989318521683403E-2"/>
        </patternFill>
      </fill>
    </dxf>
    <dxf>
      <font>
        <b/>
        <i val="0"/>
      </font>
    </dxf>
    <dxf>
      <font>
        <b/>
        <i val="0"/>
      </font>
    </dxf>
    <dxf>
      <font>
        <b/>
        <i val="0"/>
      </font>
    </dxf>
    <dxf>
      <font>
        <b/>
        <i val="0"/>
      </font>
    </dxf>
    <dxf>
      <font>
        <b/>
        <i val="0"/>
      </font>
    </dxf>
    <dxf>
      <fill>
        <patternFill>
          <bgColor theme="0" tint="-4.9989318521683403E-2"/>
        </patternFill>
      </fill>
    </dxf>
    <dxf>
      <fill>
        <patternFill>
          <bgColor theme="0" tint="-4.9989318521683403E-2"/>
        </patternFill>
      </fill>
    </dxf>
    <dxf>
      <fill>
        <patternFill>
          <bgColor theme="0" tint="-4.9989318521683403E-2"/>
        </patternFill>
      </fill>
    </dxf>
    <dxf>
      <font>
        <b/>
        <i val="0"/>
      </font>
    </dxf>
    <dxf>
      <font>
        <b/>
        <i val="0"/>
      </font>
    </dxf>
    <dxf>
      <font>
        <b/>
        <i val="0"/>
      </font>
    </dxf>
    <dxf>
      <font>
        <b/>
        <i val="0"/>
      </font>
    </dxf>
    <dxf>
      <font>
        <b/>
        <i val="0"/>
      </font>
    </dxf>
    <dxf>
      <font>
        <b/>
        <i val="0"/>
      </font>
    </dxf>
    <dxf>
      <font>
        <b/>
        <i val="0"/>
      </font>
    </dxf>
    <dxf>
      <font>
        <b/>
        <i val="0"/>
      </font>
    </dxf>
    <dxf>
      <font>
        <color rgb="FF00B050"/>
      </font>
    </dxf>
    <dxf>
      <font>
        <b/>
        <i val="0"/>
        <color rgb="FFFF0000"/>
      </font>
    </dxf>
    <dxf>
      <font>
        <color rgb="FF00B050"/>
      </font>
    </dxf>
    <dxf>
      <font>
        <b/>
        <i val="0"/>
        <color rgb="FFFF0000"/>
      </font>
    </dxf>
    <dxf>
      <font>
        <b/>
        <i val="0"/>
        <color rgb="FFFF0000"/>
      </font>
    </dxf>
    <dxf>
      <font>
        <b/>
        <i val="0"/>
        <color rgb="FFFF0000"/>
      </font>
    </dxf>
    <dxf>
      <font>
        <color rgb="FF00B050"/>
      </font>
    </dxf>
    <dxf>
      <font>
        <b/>
        <i val="0"/>
        <color rgb="FFFF0000"/>
      </font>
    </dxf>
    <dxf>
      <font>
        <color rgb="FF00B050"/>
      </font>
    </dxf>
    <dxf>
      <font>
        <b/>
        <i val="0"/>
        <color rgb="FFFF0000"/>
      </font>
    </dxf>
    <dxf>
      <font>
        <color rgb="FF00B050"/>
      </font>
    </dxf>
    <dxf>
      <font>
        <color rgb="FF9C0006"/>
      </font>
      <fill>
        <patternFill>
          <bgColor rgb="FFFFC7CE"/>
        </patternFill>
      </fill>
    </dxf>
    <dxf>
      <fill>
        <patternFill patternType="none">
          <bgColor auto="1"/>
        </patternFill>
      </fill>
    </dxf>
    <dxf>
      <font>
        <b/>
        <i val="0"/>
      </font>
      <fill>
        <patternFill>
          <bgColor rgb="FFFFFF99"/>
        </patternFill>
      </fill>
    </dxf>
    <dxf>
      <fill>
        <patternFill>
          <bgColor theme="0" tint="-0.14996795556505021"/>
        </patternFill>
      </fill>
    </dxf>
    <dxf>
      <fill>
        <patternFill>
          <bgColor rgb="FFFFCC99"/>
        </patternFill>
      </fill>
    </dxf>
    <dxf>
      <font>
        <b/>
        <i val="0"/>
      </font>
    </dxf>
    <dxf>
      <font>
        <color rgb="FF9C0006"/>
      </font>
      <fill>
        <patternFill>
          <bgColor rgb="FFFFC7CE"/>
        </patternFill>
      </fill>
    </dxf>
    <dxf>
      <font>
        <color theme="1"/>
      </font>
      <fill>
        <patternFill patternType="none">
          <bgColor auto="1"/>
        </patternFill>
      </fill>
    </dxf>
    <dxf>
      <fill>
        <patternFill>
          <bgColor theme="0" tint="-4.9989318521683403E-2"/>
        </patternFill>
      </fill>
    </dxf>
    <dxf>
      <font>
        <b/>
        <i val="0"/>
      </font>
    </dxf>
    <dxf>
      <fill>
        <patternFill>
          <bgColor theme="0" tint="-4.9989318521683403E-2"/>
        </patternFill>
      </fill>
    </dxf>
    <dxf>
      <font>
        <b/>
        <i val="0"/>
      </font>
    </dxf>
    <dxf>
      <font>
        <b/>
        <i val="0"/>
      </font>
    </dxf>
    <dxf>
      <font>
        <b/>
        <i val="0"/>
      </font>
    </dxf>
    <dxf>
      <font>
        <color rgb="FF9C0006"/>
      </font>
      <fill>
        <patternFill>
          <bgColor rgb="FFFFC7CE"/>
        </patternFill>
      </fill>
    </dxf>
    <dxf>
      <font>
        <color theme="1"/>
      </font>
      <fill>
        <patternFill patternType="none">
          <bgColor auto="1"/>
        </patternFill>
      </fill>
    </dxf>
    <dxf>
      <font>
        <b/>
        <i val="0"/>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ill>
        <patternFill>
          <bgColor theme="8" tint="0.79998168889431442"/>
        </patternFill>
      </fill>
    </dxf>
    <dxf>
      <fill>
        <patternFill>
          <bgColor theme="9" tint="0.79998168889431442"/>
        </patternFill>
      </fill>
    </dxf>
    <dxf>
      <fill>
        <patternFill>
          <bgColor theme="6" tint="0.79998168889431442"/>
        </patternFill>
      </fill>
    </dxf>
    <dxf>
      <fill>
        <patternFill>
          <bgColor theme="7" tint="0.79998168889431442"/>
        </patternFill>
      </fill>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7" tint="0.59996337778862885"/>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strike/>
        <color rgb="FF00B0F0"/>
      </font>
    </dxf>
    <dxf>
      <font>
        <color theme="0"/>
      </font>
    </dxf>
    <dxf>
      <font>
        <b/>
        <i val="0"/>
      </font>
      <fill>
        <patternFill>
          <bgColor rgb="FFFFFF99"/>
        </patternFill>
      </fill>
    </dxf>
    <dxf>
      <fill>
        <patternFill>
          <bgColor theme="0" tint="-0.14996795556505021"/>
        </patternFill>
      </fill>
    </dxf>
    <dxf>
      <fill>
        <patternFill>
          <bgColor rgb="FFFFCC99"/>
        </patternFill>
      </fill>
    </dxf>
    <dxf>
      <font>
        <b/>
        <i val="0"/>
      </font>
    </dxf>
    <dxf>
      <font>
        <color theme="4" tint="-0.24994659260841701"/>
      </font>
    </dxf>
    <dxf>
      <font>
        <color theme="0"/>
      </font>
    </dxf>
    <dxf>
      <fill>
        <patternFill>
          <bgColor rgb="FFFFFF99"/>
        </patternFill>
      </fill>
    </dxf>
    <dxf>
      <fill>
        <patternFill>
          <bgColor rgb="FFFFFF99"/>
        </patternFill>
      </fill>
    </dxf>
    <dxf>
      <fill>
        <patternFill>
          <bgColor rgb="FFFFFF99"/>
        </patternFill>
      </fill>
    </dxf>
    <dxf>
      <fill>
        <patternFill>
          <bgColor rgb="FFFFFF99"/>
        </patternFill>
      </fill>
    </dxf>
    <dxf>
      <font>
        <color rgb="FF9C0006"/>
      </font>
      <fill>
        <patternFill>
          <bgColor rgb="FFFFC7CE"/>
        </patternFill>
      </fill>
    </dxf>
    <dxf>
      <fill>
        <patternFill>
          <bgColor rgb="FFCCFFCC"/>
        </patternFill>
      </fill>
    </dxf>
    <dxf>
      <font>
        <color rgb="FFCC0000"/>
      </font>
    </dxf>
    <dxf>
      <fill>
        <patternFill>
          <bgColor rgb="FFFFFF99"/>
        </patternFill>
      </fill>
    </dxf>
    <dxf>
      <fill>
        <patternFill>
          <bgColor theme="0" tint="-0.14996795556505021"/>
        </patternFill>
      </fill>
    </dxf>
    <dxf>
      <fill>
        <patternFill>
          <bgColor rgb="FFFFCC99"/>
        </patternFill>
      </fill>
    </dxf>
    <dxf>
      <font>
        <b/>
        <i val="0"/>
      </font>
    </dxf>
    <dxf>
      <fill>
        <patternFill>
          <bgColor rgb="FFFFEFFF"/>
        </patternFill>
      </fill>
    </dxf>
    <dxf>
      <font>
        <color theme="4" tint="-0.24994659260841701"/>
      </font>
    </dxf>
    <dxf>
      <font>
        <color theme="4" tint="-0.24994659260841701"/>
      </font>
    </dxf>
    <dxf>
      <font>
        <b/>
        <i val="0"/>
      </font>
    </dxf>
    <dxf>
      <font>
        <b/>
        <i val="0"/>
      </font>
    </dxf>
    <dxf>
      <font>
        <b/>
        <i val="0"/>
      </font>
    </dxf>
    <dxf>
      <font>
        <b/>
        <i val="0"/>
      </font>
    </dxf>
    <dxf>
      <font>
        <b/>
        <i val="0"/>
      </font>
    </dxf>
    <dxf>
      <font>
        <color theme="5" tint="0.39994506668294322"/>
      </font>
    </dxf>
    <dxf>
      <font>
        <color rgb="FF0070C0"/>
      </font>
    </dxf>
    <dxf>
      <fill>
        <patternFill>
          <bgColor rgb="FFFFFF99"/>
        </patternFill>
      </fill>
    </dxf>
    <dxf>
      <fill>
        <patternFill>
          <bgColor theme="0" tint="-0.14996795556505021"/>
        </patternFill>
      </fill>
    </dxf>
    <dxf>
      <fill>
        <patternFill>
          <bgColor rgb="FFFFCC99"/>
        </patternFill>
      </fill>
    </dxf>
    <dxf>
      <font>
        <b/>
        <i val="0"/>
        <color rgb="FFFF0000"/>
      </font>
    </dxf>
  </dxfs>
  <tableStyles count="0" defaultTableStyle="TableStyleMedium2" defaultPivotStyle="PivotStyleLight16"/>
  <colors>
    <mruColors>
      <color rgb="FF99FF99"/>
      <color rgb="FFFFFFCC"/>
      <color rgb="FFFFFF99"/>
      <color rgb="FFFFEFFF"/>
      <color rgb="FFFFF3FF"/>
      <color rgb="FFFFE7FF"/>
      <color rgb="FFFFCCFF"/>
      <color rgb="FFCCFF66"/>
      <color rgb="FFFFCCCC"/>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9.png"/><Relationship Id="rId3" Type="http://schemas.openxmlformats.org/officeDocument/2006/relationships/image" Target="../media/image9.png"/><Relationship Id="rId7" Type="http://schemas.openxmlformats.org/officeDocument/2006/relationships/image" Target="../media/image13.png"/><Relationship Id="rId12" Type="http://schemas.openxmlformats.org/officeDocument/2006/relationships/image" Target="../media/image18.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11" Type="http://schemas.openxmlformats.org/officeDocument/2006/relationships/image" Target="../media/image17.png"/><Relationship Id="rId5" Type="http://schemas.openxmlformats.org/officeDocument/2006/relationships/image" Target="../media/image11.png"/><Relationship Id="rId10" Type="http://schemas.openxmlformats.org/officeDocument/2006/relationships/image" Target="../media/image16.png"/><Relationship Id="rId4" Type="http://schemas.openxmlformats.org/officeDocument/2006/relationships/image" Target="../media/image10.png"/><Relationship Id="rId9" Type="http://schemas.openxmlformats.org/officeDocument/2006/relationships/image" Target="../media/image15.png"/></Relationships>
</file>

<file path=xl/drawings/_rels/drawing3.xml.rels><?xml version="1.0" encoding="UTF-8" standalone="yes"?>
<Relationships xmlns="http://schemas.openxmlformats.org/package/2006/relationships"><Relationship Id="rId1"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editAs="oneCell">
    <xdr:from>
      <xdr:col>2</xdr:col>
      <xdr:colOff>1085850</xdr:colOff>
      <xdr:row>12</xdr:row>
      <xdr:rowOff>142876</xdr:rowOff>
    </xdr:from>
    <xdr:to>
      <xdr:col>2</xdr:col>
      <xdr:colOff>1266825</xdr:colOff>
      <xdr:row>14</xdr:row>
      <xdr:rowOff>12928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95525" y="2085976"/>
          <a:ext cx="180975" cy="193902"/>
        </a:xfrm>
        <a:prstGeom prst="rect">
          <a:avLst/>
        </a:prstGeom>
      </xdr:spPr>
    </xdr:pic>
    <xdr:clientData/>
  </xdr:twoCellAnchor>
  <xdr:oneCellAnchor>
    <xdr:from>
      <xdr:col>2</xdr:col>
      <xdr:colOff>1447800</xdr:colOff>
      <xdr:row>13</xdr:row>
      <xdr:rowOff>152400</xdr:rowOff>
    </xdr:from>
    <xdr:ext cx="180975" cy="193902"/>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57475" y="2257425"/>
          <a:ext cx="180975" cy="193902"/>
        </a:xfrm>
        <a:prstGeom prst="rect">
          <a:avLst/>
        </a:prstGeom>
      </xdr:spPr>
    </xdr:pic>
    <xdr:clientData/>
  </xdr:oneCellAnchor>
  <xdr:twoCellAnchor editAs="oneCell">
    <xdr:from>
      <xdr:col>2</xdr:col>
      <xdr:colOff>1476375</xdr:colOff>
      <xdr:row>20</xdr:row>
      <xdr:rowOff>142875</xdr:rowOff>
    </xdr:from>
    <xdr:to>
      <xdr:col>2</xdr:col>
      <xdr:colOff>1632153</xdr:colOff>
      <xdr:row>23</xdr:row>
      <xdr:rowOff>14860</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86050" y="3238500"/>
          <a:ext cx="155778" cy="195835"/>
        </a:xfrm>
        <a:prstGeom prst="rect">
          <a:avLst/>
        </a:prstGeom>
      </xdr:spPr>
    </xdr:pic>
    <xdr:clientData/>
  </xdr:twoCellAnchor>
  <xdr:twoCellAnchor editAs="oneCell">
    <xdr:from>
      <xdr:col>2</xdr:col>
      <xdr:colOff>1562100</xdr:colOff>
      <xdr:row>17</xdr:row>
      <xdr:rowOff>142875</xdr:rowOff>
    </xdr:from>
    <xdr:to>
      <xdr:col>2</xdr:col>
      <xdr:colOff>1736562</xdr:colOff>
      <xdr:row>19</xdr:row>
      <xdr:rowOff>13425</xdr:rowOff>
    </xdr:to>
    <xdr:pic>
      <xdr:nvPicPr>
        <xdr:cNvPr id="6"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71775" y="2733675"/>
          <a:ext cx="174462" cy="194400"/>
        </a:xfrm>
        <a:prstGeom prst="rect">
          <a:avLst/>
        </a:prstGeom>
      </xdr:spPr>
    </xdr:pic>
    <xdr:clientData/>
  </xdr:twoCellAnchor>
  <xdr:twoCellAnchor editAs="oneCell">
    <xdr:from>
      <xdr:col>2</xdr:col>
      <xdr:colOff>1428750</xdr:colOff>
      <xdr:row>18</xdr:row>
      <xdr:rowOff>152400</xdr:rowOff>
    </xdr:from>
    <xdr:to>
      <xdr:col>2</xdr:col>
      <xdr:colOff>1623150</xdr:colOff>
      <xdr:row>20</xdr:row>
      <xdr:rowOff>22950</xdr:rowOff>
    </xdr:to>
    <xdr:pic>
      <xdr:nvPicPr>
        <xdr:cNvPr id="7" name="Picture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38425" y="2905125"/>
          <a:ext cx="194400" cy="194400"/>
        </a:xfrm>
        <a:prstGeom prst="rect">
          <a:avLst/>
        </a:prstGeom>
      </xdr:spPr>
    </xdr:pic>
    <xdr:clientData/>
  </xdr:twoCellAnchor>
  <xdr:oneCellAnchor>
    <xdr:from>
      <xdr:col>2</xdr:col>
      <xdr:colOff>1571625</xdr:colOff>
      <xdr:row>23</xdr:row>
      <xdr:rowOff>142875</xdr:rowOff>
    </xdr:from>
    <xdr:ext cx="174462" cy="194400"/>
    <xdr:pic>
      <xdr:nvPicPr>
        <xdr:cNvPr id="9" name="Picture 8"/>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81300" y="3543300"/>
          <a:ext cx="174462" cy="194400"/>
        </a:xfrm>
        <a:prstGeom prst="rect">
          <a:avLst/>
        </a:prstGeom>
      </xdr:spPr>
    </xdr:pic>
    <xdr:clientData/>
  </xdr:oneCellAnchor>
  <xdr:oneCellAnchor>
    <xdr:from>
      <xdr:col>2</xdr:col>
      <xdr:colOff>1438275</xdr:colOff>
      <xdr:row>25</xdr:row>
      <xdr:rowOff>152400</xdr:rowOff>
    </xdr:from>
    <xdr:ext cx="194400" cy="194400"/>
    <xdr:pic>
      <xdr:nvPicPr>
        <xdr:cNvPr id="10" name="Picture 9"/>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47950" y="3895725"/>
          <a:ext cx="194400" cy="194400"/>
        </a:xfrm>
        <a:prstGeom prst="rect">
          <a:avLst/>
        </a:prstGeom>
      </xdr:spPr>
    </xdr:pic>
    <xdr:clientData/>
  </xdr:oneCellAnchor>
  <xdr:twoCellAnchor editAs="oneCell">
    <xdr:from>
      <xdr:col>2</xdr:col>
      <xdr:colOff>1485900</xdr:colOff>
      <xdr:row>30</xdr:row>
      <xdr:rowOff>133350</xdr:rowOff>
    </xdr:from>
    <xdr:to>
      <xdr:col>2</xdr:col>
      <xdr:colOff>1641678</xdr:colOff>
      <xdr:row>38</xdr:row>
      <xdr:rowOff>5335</xdr:rowOff>
    </xdr:to>
    <xdr:pic>
      <xdr:nvPicPr>
        <xdr:cNvPr id="15" name="Picture 1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95575" y="4524375"/>
          <a:ext cx="155778" cy="195835"/>
        </a:xfrm>
        <a:prstGeom prst="rect">
          <a:avLst/>
        </a:prstGeom>
      </xdr:spPr>
    </xdr:pic>
    <xdr:clientData/>
  </xdr:twoCellAnchor>
  <xdr:twoCellAnchor editAs="oneCell">
    <xdr:from>
      <xdr:col>2</xdr:col>
      <xdr:colOff>1485900</xdr:colOff>
      <xdr:row>38</xdr:row>
      <xdr:rowOff>142875</xdr:rowOff>
    </xdr:from>
    <xdr:to>
      <xdr:col>2</xdr:col>
      <xdr:colOff>1641678</xdr:colOff>
      <xdr:row>40</xdr:row>
      <xdr:rowOff>14860</xdr:rowOff>
    </xdr:to>
    <xdr:pic>
      <xdr:nvPicPr>
        <xdr:cNvPr id="16" name="Picture 1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95575" y="4857750"/>
          <a:ext cx="155778" cy="195835"/>
        </a:xfrm>
        <a:prstGeom prst="rect">
          <a:avLst/>
        </a:prstGeom>
      </xdr:spPr>
    </xdr:pic>
    <xdr:clientData/>
  </xdr:twoCellAnchor>
  <xdr:oneCellAnchor>
    <xdr:from>
      <xdr:col>2</xdr:col>
      <xdr:colOff>1438275</xdr:colOff>
      <xdr:row>41</xdr:row>
      <xdr:rowOff>142875</xdr:rowOff>
    </xdr:from>
    <xdr:ext cx="194400" cy="194400"/>
    <xdr:pic>
      <xdr:nvPicPr>
        <xdr:cNvPr id="17" name="Picture 1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47950" y="5667375"/>
          <a:ext cx="194400" cy="194400"/>
        </a:xfrm>
        <a:prstGeom prst="rect">
          <a:avLst/>
        </a:prstGeom>
      </xdr:spPr>
    </xdr:pic>
    <xdr:clientData/>
  </xdr:oneCellAnchor>
  <xdr:twoCellAnchor editAs="oneCell">
    <xdr:from>
      <xdr:col>2</xdr:col>
      <xdr:colOff>1028701</xdr:colOff>
      <xdr:row>27</xdr:row>
      <xdr:rowOff>101866</xdr:rowOff>
    </xdr:from>
    <xdr:to>
      <xdr:col>2</xdr:col>
      <xdr:colOff>1447800</xdr:colOff>
      <xdr:row>29</xdr:row>
      <xdr:rowOff>57415</xdr:rowOff>
    </xdr:to>
    <xdr:pic>
      <xdr:nvPicPr>
        <xdr:cNvPr id="3" name="Picture 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38376" y="4169041"/>
          <a:ext cx="419099" cy="279399"/>
        </a:xfrm>
        <a:prstGeom prst="rect">
          <a:avLst/>
        </a:prstGeom>
      </xdr:spPr>
    </xdr:pic>
    <xdr:clientData/>
  </xdr:twoCellAnchor>
  <xdr:twoCellAnchor editAs="oneCell">
    <xdr:from>
      <xdr:col>2</xdr:col>
      <xdr:colOff>1619250</xdr:colOff>
      <xdr:row>38</xdr:row>
      <xdr:rowOff>123825</xdr:rowOff>
    </xdr:from>
    <xdr:to>
      <xdr:col>3</xdr:col>
      <xdr:colOff>38100</xdr:colOff>
      <xdr:row>40</xdr:row>
      <xdr:rowOff>28575</xdr:rowOff>
    </xdr:to>
    <xdr:pic>
      <xdr:nvPicPr>
        <xdr:cNvPr id="8" name="Picture 7"/>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828925" y="4838700"/>
          <a:ext cx="228600" cy="228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1009650</xdr:colOff>
      <xdr:row>103</xdr:row>
      <xdr:rowOff>76200</xdr:rowOff>
    </xdr:from>
    <xdr:to>
      <xdr:col>10</xdr:col>
      <xdr:colOff>1012718</xdr:colOff>
      <xdr:row>105</xdr:row>
      <xdr:rowOff>35458</xdr:rowOff>
    </xdr:to>
    <xdr:pic>
      <xdr:nvPicPr>
        <xdr:cNvPr id="24" name="Picture 23"/>
        <xdr:cNvPicPr>
          <a:picLocks noChangeAspect="1"/>
        </xdr:cNvPicPr>
      </xdr:nvPicPr>
      <xdr:blipFill>
        <a:blip xmlns:r="http://schemas.openxmlformats.org/officeDocument/2006/relationships" r:embed="rId1"/>
        <a:stretch>
          <a:fillRect/>
        </a:stretch>
      </xdr:blipFill>
      <xdr:spPr>
        <a:xfrm>
          <a:off x="4162425" y="16811625"/>
          <a:ext cx="3068" cy="292633"/>
        </a:xfrm>
        <a:prstGeom prst="rect">
          <a:avLst/>
        </a:prstGeom>
      </xdr:spPr>
    </xdr:pic>
    <xdr:clientData/>
  </xdr:twoCellAnchor>
  <xdr:oneCellAnchor>
    <xdr:from>
      <xdr:col>10</xdr:col>
      <xdr:colOff>1200150</xdr:colOff>
      <xdr:row>20</xdr:row>
      <xdr:rowOff>38100</xdr:rowOff>
    </xdr:from>
    <xdr:ext cx="286803" cy="191202"/>
    <xdr:pic>
      <xdr:nvPicPr>
        <xdr:cNvPr id="25" name="Picture 2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52925" y="2867025"/>
          <a:ext cx="286803" cy="191202"/>
        </a:xfrm>
        <a:prstGeom prst="rect">
          <a:avLst/>
        </a:prstGeom>
      </xdr:spPr>
    </xdr:pic>
    <xdr:clientData/>
  </xdr:oneCellAnchor>
  <xdr:oneCellAnchor>
    <xdr:from>
      <xdr:col>12</xdr:col>
      <xdr:colOff>1200150</xdr:colOff>
      <xdr:row>39</xdr:row>
      <xdr:rowOff>38100</xdr:rowOff>
    </xdr:from>
    <xdr:ext cx="286803" cy="191202"/>
    <xdr:pic>
      <xdr:nvPicPr>
        <xdr:cNvPr id="27" name="Picture 2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67425" y="5838825"/>
          <a:ext cx="286803" cy="191202"/>
        </a:xfrm>
        <a:prstGeom prst="rect">
          <a:avLst/>
        </a:prstGeom>
      </xdr:spPr>
    </xdr:pic>
    <xdr:clientData/>
  </xdr:oneCellAnchor>
  <xdr:oneCellAnchor>
    <xdr:from>
      <xdr:col>2</xdr:col>
      <xdr:colOff>19050</xdr:colOff>
      <xdr:row>30</xdr:row>
      <xdr:rowOff>47625</xdr:rowOff>
    </xdr:from>
    <xdr:ext cx="988482" cy="444817"/>
    <xdr:pic>
      <xdr:nvPicPr>
        <xdr:cNvPr id="39" name="Picture 38"/>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61975" y="18059400"/>
          <a:ext cx="988482" cy="444817"/>
        </a:xfrm>
        <a:prstGeom prst="rect">
          <a:avLst/>
        </a:prstGeom>
      </xdr:spPr>
    </xdr:pic>
    <xdr:clientData/>
  </xdr:oneCellAnchor>
  <xdr:oneCellAnchor>
    <xdr:from>
      <xdr:col>8</xdr:col>
      <xdr:colOff>0</xdr:colOff>
      <xdr:row>37</xdr:row>
      <xdr:rowOff>0</xdr:rowOff>
    </xdr:from>
    <xdr:ext cx="352425" cy="169164"/>
    <xdr:pic>
      <xdr:nvPicPr>
        <xdr:cNvPr id="40" name="Picture 39"/>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71850" y="18669000"/>
          <a:ext cx="352425" cy="169164"/>
        </a:xfrm>
        <a:prstGeom prst="rect">
          <a:avLst/>
        </a:prstGeom>
      </xdr:spPr>
    </xdr:pic>
    <xdr:clientData/>
  </xdr:oneCellAnchor>
  <xdr:twoCellAnchor editAs="oneCell">
    <xdr:from>
      <xdr:col>10</xdr:col>
      <xdr:colOff>1190625</xdr:colOff>
      <xdr:row>70</xdr:row>
      <xdr:rowOff>38100</xdr:rowOff>
    </xdr:from>
    <xdr:to>
      <xdr:col>10</xdr:col>
      <xdr:colOff>1477428</xdr:colOff>
      <xdr:row>71</xdr:row>
      <xdr:rowOff>67377</xdr:rowOff>
    </xdr:to>
    <xdr:pic>
      <xdr:nvPicPr>
        <xdr:cNvPr id="7" name="Picture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43400" y="10810875"/>
          <a:ext cx="286803" cy="191202"/>
        </a:xfrm>
        <a:prstGeom prst="rect">
          <a:avLst/>
        </a:prstGeom>
      </xdr:spPr>
    </xdr:pic>
    <xdr:clientData/>
  </xdr:twoCellAnchor>
  <xdr:twoCellAnchor editAs="oneCell">
    <xdr:from>
      <xdr:col>12</xdr:col>
      <xdr:colOff>1190625</xdr:colOff>
      <xdr:row>70</xdr:row>
      <xdr:rowOff>38100</xdr:rowOff>
    </xdr:from>
    <xdr:to>
      <xdr:col>12</xdr:col>
      <xdr:colOff>1477428</xdr:colOff>
      <xdr:row>71</xdr:row>
      <xdr:rowOff>67377</xdr:rowOff>
    </xdr:to>
    <xdr:pic>
      <xdr:nvPicPr>
        <xdr:cNvPr id="9" name="Picture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57900" y="10810875"/>
          <a:ext cx="286803" cy="191202"/>
        </a:xfrm>
        <a:prstGeom prst="rect">
          <a:avLst/>
        </a:prstGeom>
      </xdr:spPr>
    </xdr:pic>
    <xdr:clientData/>
  </xdr:twoCellAnchor>
  <xdr:oneCellAnchor>
    <xdr:from>
      <xdr:col>10</xdr:col>
      <xdr:colOff>1200150</xdr:colOff>
      <xdr:row>98</xdr:row>
      <xdr:rowOff>38100</xdr:rowOff>
    </xdr:from>
    <xdr:ext cx="286803" cy="191202"/>
    <xdr:pic>
      <xdr:nvPicPr>
        <xdr:cNvPr id="10" name="Picture 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52925" y="16278225"/>
          <a:ext cx="286803" cy="191202"/>
        </a:xfrm>
        <a:prstGeom prst="rect">
          <a:avLst/>
        </a:prstGeom>
      </xdr:spPr>
    </xdr:pic>
    <xdr:clientData/>
  </xdr:oneCellAnchor>
  <xdr:oneCellAnchor>
    <xdr:from>
      <xdr:col>12</xdr:col>
      <xdr:colOff>1200150</xdr:colOff>
      <xdr:row>98</xdr:row>
      <xdr:rowOff>38100</xdr:rowOff>
    </xdr:from>
    <xdr:ext cx="286803" cy="191202"/>
    <xdr:pic>
      <xdr:nvPicPr>
        <xdr:cNvPr id="11" name="Picture 10"/>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67425" y="16278225"/>
          <a:ext cx="286803" cy="191202"/>
        </a:xfrm>
        <a:prstGeom prst="rect">
          <a:avLst/>
        </a:prstGeom>
      </xdr:spPr>
    </xdr:pic>
    <xdr:clientData/>
  </xdr:oneCellAnchor>
  <xdr:twoCellAnchor editAs="oneCell">
    <xdr:from>
      <xdr:col>10</xdr:col>
      <xdr:colOff>1232155</xdr:colOff>
      <xdr:row>58</xdr:row>
      <xdr:rowOff>28575</xdr:rowOff>
    </xdr:from>
    <xdr:to>
      <xdr:col>10</xdr:col>
      <xdr:colOff>1460755</xdr:colOff>
      <xdr:row>59</xdr:row>
      <xdr:rowOff>152400</xdr:rowOff>
    </xdr:to>
    <xdr:pic>
      <xdr:nvPicPr>
        <xdr:cNvPr id="3" name="Picture 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384930" y="8820150"/>
          <a:ext cx="228600" cy="285750"/>
        </a:xfrm>
        <a:prstGeom prst="rect">
          <a:avLst/>
        </a:prstGeom>
      </xdr:spPr>
    </xdr:pic>
    <xdr:clientData/>
  </xdr:twoCellAnchor>
  <xdr:oneCellAnchor>
    <xdr:from>
      <xdr:col>10</xdr:col>
      <xdr:colOff>1260730</xdr:colOff>
      <xdr:row>82</xdr:row>
      <xdr:rowOff>38100</xdr:rowOff>
    </xdr:from>
    <xdr:ext cx="228600" cy="285750"/>
    <xdr:pic>
      <xdr:nvPicPr>
        <xdr:cNvPr id="28" name="Picture 27"/>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413505" y="11811000"/>
          <a:ext cx="228600" cy="285750"/>
        </a:xfrm>
        <a:prstGeom prst="rect">
          <a:avLst/>
        </a:prstGeom>
      </xdr:spPr>
    </xdr:pic>
    <xdr:clientData/>
  </xdr:oneCellAnchor>
  <xdr:oneCellAnchor>
    <xdr:from>
      <xdr:col>12</xdr:col>
      <xdr:colOff>1260730</xdr:colOff>
      <xdr:row>82</xdr:row>
      <xdr:rowOff>38100</xdr:rowOff>
    </xdr:from>
    <xdr:ext cx="228600" cy="285750"/>
    <xdr:pic>
      <xdr:nvPicPr>
        <xdr:cNvPr id="29" name="Picture 28"/>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128005" y="11811000"/>
          <a:ext cx="228600" cy="285750"/>
        </a:xfrm>
        <a:prstGeom prst="rect">
          <a:avLst/>
        </a:prstGeom>
      </xdr:spPr>
    </xdr:pic>
    <xdr:clientData/>
  </xdr:oneCellAnchor>
  <xdr:oneCellAnchor>
    <xdr:from>
      <xdr:col>10</xdr:col>
      <xdr:colOff>1260730</xdr:colOff>
      <xdr:row>111</xdr:row>
      <xdr:rowOff>38100</xdr:rowOff>
    </xdr:from>
    <xdr:ext cx="228600" cy="285750"/>
    <xdr:pic>
      <xdr:nvPicPr>
        <xdr:cNvPr id="30" name="Picture 29"/>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413505" y="17611725"/>
          <a:ext cx="228600" cy="285750"/>
        </a:xfrm>
        <a:prstGeom prst="rect">
          <a:avLst/>
        </a:prstGeom>
      </xdr:spPr>
    </xdr:pic>
    <xdr:clientData/>
  </xdr:oneCellAnchor>
  <xdr:twoCellAnchor editAs="oneCell">
    <xdr:from>
      <xdr:col>4</xdr:col>
      <xdr:colOff>438150</xdr:colOff>
      <xdr:row>49</xdr:row>
      <xdr:rowOff>19050</xdr:rowOff>
    </xdr:from>
    <xdr:to>
      <xdr:col>4</xdr:col>
      <xdr:colOff>695325</xdr:colOff>
      <xdr:row>50</xdr:row>
      <xdr:rowOff>132670</xdr:rowOff>
    </xdr:to>
    <xdr:pic>
      <xdr:nvPicPr>
        <xdr:cNvPr id="2" name="Picture 1"/>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371600" y="7962900"/>
          <a:ext cx="257175" cy="275545"/>
        </a:xfrm>
        <a:prstGeom prst="rect">
          <a:avLst/>
        </a:prstGeom>
      </xdr:spPr>
    </xdr:pic>
    <xdr:clientData/>
  </xdr:twoCellAnchor>
  <xdr:oneCellAnchor>
    <xdr:from>
      <xdr:col>12</xdr:col>
      <xdr:colOff>1019175</xdr:colOff>
      <xdr:row>49</xdr:row>
      <xdr:rowOff>19050</xdr:rowOff>
    </xdr:from>
    <xdr:ext cx="257175" cy="275545"/>
    <xdr:pic>
      <xdr:nvPicPr>
        <xdr:cNvPr id="21" name="Picture 20"/>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886450" y="7962900"/>
          <a:ext cx="257175" cy="275545"/>
        </a:xfrm>
        <a:prstGeom prst="rect">
          <a:avLst/>
        </a:prstGeom>
      </xdr:spPr>
    </xdr:pic>
    <xdr:clientData/>
  </xdr:oneCellAnchor>
  <xdr:twoCellAnchor editAs="oneCell">
    <xdr:from>
      <xdr:col>12</xdr:col>
      <xdr:colOff>1269206</xdr:colOff>
      <xdr:row>66</xdr:row>
      <xdr:rowOff>28575</xdr:rowOff>
    </xdr:from>
    <xdr:to>
      <xdr:col>12</xdr:col>
      <xdr:colOff>1495434</xdr:colOff>
      <xdr:row>67</xdr:row>
      <xdr:rowOff>151050</xdr:rowOff>
    </xdr:to>
    <xdr:pic>
      <xdr:nvPicPr>
        <xdr:cNvPr id="5" name="Picture 4"/>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136481" y="10944225"/>
          <a:ext cx="226228" cy="284400"/>
        </a:xfrm>
        <a:prstGeom prst="rect">
          <a:avLst/>
        </a:prstGeom>
      </xdr:spPr>
    </xdr:pic>
    <xdr:clientData/>
  </xdr:twoCellAnchor>
  <xdr:twoCellAnchor editAs="oneCell">
    <xdr:from>
      <xdr:col>12</xdr:col>
      <xdr:colOff>1000125</xdr:colOff>
      <xdr:row>55</xdr:row>
      <xdr:rowOff>155899</xdr:rowOff>
    </xdr:from>
    <xdr:to>
      <xdr:col>12</xdr:col>
      <xdr:colOff>1304925</xdr:colOff>
      <xdr:row>57</xdr:row>
      <xdr:rowOff>127324</xdr:rowOff>
    </xdr:to>
    <xdr:pic>
      <xdr:nvPicPr>
        <xdr:cNvPr id="6" name="Picture 5"/>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867400" y="9585649"/>
          <a:ext cx="304800" cy="304800"/>
        </a:xfrm>
        <a:prstGeom prst="rect">
          <a:avLst/>
        </a:prstGeom>
      </xdr:spPr>
    </xdr:pic>
    <xdr:clientData/>
  </xdr:twoCellAnchor>
  <xdr:twoCellAnchor editAs="oneCell">
    <xdr:from>
      <xdr:col>10</xdr:col>
      <xdr:colOff>1209675</xdr:colOff>
      <xdr:row>56</xdr:row>
      <xdr:rowOff>9525</xdr:rowOff>
    </xdr:from>
    <xdr:to>
      <xdr:col>10</xdr:col>
      <xdr:colOff>1455214</xdr:colOff>
      <xdr:row>57</xdr:row>
      <xdr:rowOff>121200</xdr:rowOff>
    </xdr:to>
    <xdr:pic>
      <xdr:nvPicPr>
        <xdr:cNvPr id="13" name="Picture 12"/>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362450" y="8477250"/>
          <a:ext cx="245539" cy="273600"/>
        </a:xfrm>
        <a:prstGeom prst="rect">
          <a:avLst/>
        </a:prstGeom>
      </xdr:spPr>
    </xdr:pic>
    <xdr:clientData/>
  </xdr:twoCellAnchor>
  <xdr:oneCellAnchor>
    <xdr:from>
      <xdr:col>12</xdr:col>
      <xdr:colOff>1269206</xdr:colOff>
      <xdr:row>115</xdr:row>
      <xdr:rowOff>38100</xdr:rowOff>
    </xdr:from>
    <xdr:ext cx="226228" cy="284400"/>
    <xdr:pic>
      <xdr:nvPicPr>
        <xdr:cNvPr id="32" name="Picture 31"/>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136481" y="16973550"/>
          <a:ext cx="226228" cy="284400"/>
        </a:xfrm>
        <a:prstGeom prst="rect">
          <a:avLst/>
        </a:prstGeom>
      </xdr:spPr>
    </xdr:pic>
    <xdr:clientData/>
  </xdr:oneCellAnchor>
  <xdr:oneCellAnchor>
    <xdr:from>
      <xdr:col>12</xdr:col>
      <xdr:colOff>1000125</xdr:colOff>
      <xdr:row>109</xdr:row>
      <xdr:rowOff>155899</xdr:rowOff>
    </xdr:from>
    <xdr:ext cx="304800" cy="304800"/>
    <xdr:pic>
      <xdr:nvPicPr>
        <xdr:cNvPr id="33" name="Picture 32"/>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867400" y="8452174"/>
          <a:ext cx="304800" cy="304800"/>
        </a:xfrm>
        <a:prstGeom prst="rect">
          <a:avLst/>
        </a:prstGeom>
      </xdr:spPr>
    </xdr:pic>
    <xdr:clientData/>
  </xdr:oneCellAnchor>
  <xdr:oneCellAnchor>
    <xdr:from>
      <xdr:col>12</xdr:col>
      <xdr:colOff>1000125</xdr:colOff>
      <xdr:row>79</xdr:row>
      <xdr:rowOff>155899</xdr:rowOff>
    </xdr:from>
    <xdr:ext cx="304800" cy="304800"/>
    <xdr:pic>
      <xdr:nvPicPr>
        <xdr:cNvPr id="34" name="Picture 33"/>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867400" y="16900849"/>
          <a:ext cx="304800" cy="304800"/>
        </a:xfrm>
        <a:prstGeom prst="rect">
          <a:avLst/>
        </a:prstGeom>
      </xdr:spPr>
    </xdr:pic>
    <xdr:clientData/>
  </xdr:oneCellAnchor>
  <xdr:oneCellAnchor>
    <xdr:from>
      <xdr:col>12</xdr:col>
      <xdr:colOff>1200150</xdr:colOff>
      <xdr:row>74</xdr:row>
      <xdr:rowOff>19050</xdr:rowOff>
    </xdr:from>
    <xdr:ext cx="245539" cy="273600"/>
    <xdr:pic>
      <xdr:nvPicPr>
        <xdr:cNvPr id="36" name="Picture 35"/>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067425" y="11115675"/>
          <a:ext cx="245539" cy="273600"/>
        </a:xfrm>
        <a:prstGeom prst="rect">
          <a:avLst/>
        </a:prstGeom>
      </xdr:spPr>
    </xdr:pic>
    <xdr:clientData/>
  </xdr:oneCellAnchor>
  <xdr:oneCellAnchor>
    <xdr:from>
      <xdr:col>12</xdr:col>
      <xdr:colOff>1269206</xdr:colOff>
      <xdr:row>89</xdr:row>
      <xdr:rowOff>38100</xdr:rowOff>
    </xdr:from>
    <xdr:ext cx="226228" cy="284400"/>
    <xdr:pic>
      <xdr:nvPicPr>
        <xdr:cNvPr id="37" name="Picture 36"/>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136481" y="13982700"/>
          <a:ext cx="226228" cy="284400"/>
        </a:xfrm>
        <a:prstGeom prst="rect">
          <a:avLst/>
        </a:prstGeom>
      </xdr:spPr>
    </xdr:pic>
    <xdr:clientData/>
  </xdr:oneCellAnchor>
  <xdr:oneCellAnchor>
    <xdr:from>
      <xdr:col>12</xdr:col>
      <xdr:colOff>1269206</xdr:colOff>
      <xdr:row>92</xdr:row>
      <xdr:rowOff>38100</xdr:rowOff>
    </xdr:from>
    <xdr:ext cx="226228" cy="284400"/>
    <xdr:pic>
      <xdr:nvPicPr>
        <xdr:cNvPr id="38" name="Picture 3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136481" y="15135225"/>
          <a:ext cx="226228" cy="284400"/>
        </a:xfrm>
        <a:prstGeom prst="rect">
          <a:avLst/>
        </a:prstGeom>
      </xdr:spPr>
    </xdr:pic>
    <xdr:clientData/>
  </xdr:oneCellAnchor>
  <xdr:twoCellAnchor editAs="oneCell">
    <xdr:from>
      <xdr:col>10</xdr:col>
      <xdr:colOff>942578</xdr:colOff>
      <xdr:row>85</xdr:row>
      <xdr:rowOff>149226</xdr:rowOff>
    </xdr:from>
    <xdr:to>
      <xdr:col>10</xdr:col>
      <xdr:colOff>1504950</xdr:colOff>
      <xdr:row>87</xdr:row>
      <xdr:rowOff>162190</xdr:rowOff>
    </xdr:to>
    <xdr:pic>
      <xdr:nvPicPr>
        <xdr:cNvPr id="15" name="Picture 14"/>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095353" y="13227051"/>
          <a:ext cx="562372" cy="374914"/>
        </a:xfrm>
        <a:prstGeom prst="rect">
          <a:avLst/>
        </a:prstGeom>
      </xdr:spPr>
    </xdr:pic>
    <xdr:clientData/>
  </xdr:twoCellAnchor>
  <xdr:twoCellAnchor editAs="oneCell">
    <xdr:from>
      <xdr:col>12</xdr:col>
      <xdr:colOff>962025</xdr:colOff>
      <xdr:row>93</xdr:row>
      <xdr:rowOff>19050</xdr:rowOff>
    </xdr:from>
    <xdr:to>
      <xdr:col>12</xdr:col>
      <xdr:colOff>1266825</xdr:colOff>
      <xdr:row>95</xdr:row>
      <xdr:rowOff>0</xdr:rowOff>
    </xdr:to>
    <xdr:pic>
      <xdr:nvPicPr>
        <xdr:cNvPr id="4" name="Picture 3"/>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829300" y="14630400"/>
          <a:ext cx="304800" cy="304800"/>
        </a:xfrm>
        <a:prstGeom prst="rect">
          <a:avLst/>
        </a:prstGeom>
      </xdr:spPr>
    </xdr:pic>
    <xdr:clientData/>
  </xdr:twoCellAnchor>
  <xdr:oneCellAnchor>
    <xdr:from>
      <xdr:col>11</xdr:col>
      <xdr:colOff>9525</xdr:colOff>
      <xdr:row>136</xdr:row>
      <xdr:rowOff>19051</xdr:rowOff>
    </xdr:from>
    <xdr:ext cx="174194" cy="216000"/>
    <xdr:pic>
      <xdr:nvPicPr>
        <xdr:cNvPr id="31" name="Picture 30"/>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048250" y="18430876"/>
          <a:ext cx="174194" cy="216000"/>
        </a:xfrm>
        <a:prstGeom prst="rect">
          <a:avLst/>
        </a:prstGeom>
      </xdr:spPr>
    </xdr:pic>
    <xdr:clientData/>
  </xdr:oneCellAnchor>
  <xdr:oneCellAnchor>
    <xdr:from>
      <xdr:col>12</xdr:col>
      <xdr:colOff>952500</xdr:colOff>
      <xdr:row>129</xdr:row>
      <xdr:rowOff>47625</xdr:rowOff>
    </xdr:from>
    <xdr:ext cx="255968" cy="171451"/>
    <xdr:pic>
      <xdr:nvPicPr>
        <xdr:cNvPr id="35" name="Picture 34"/>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6191250" y="17306925"/>
          <a:ext cx="255968" cy="171451"/>
        </a:xfrm>
        <a:prstGeom prst="rect">
          <a:avLst/>
        </a:prstGeom>
      </xdr:spPr>
    </xdr:pic>
    <xdr:clientData/>
  </xdr:oneCellAnchor>
  <xdr:oneCellAnchor>
    <xdr:from>
      <xdr:col>10</xdr:col>
      <xdr:colOff>952500</xdr:colOff>
      <xdr:row>129</xdr:row>
      <xdr:rowOff>47625</xdr:rowOff>
    </xdr:from>
    <xdr:ext cx="255968" cy="171451"/>
    <xdr:pic>
      <xdr:nvPicPr>
        <xdr:cNvPr id="41" name="Picture 40"/>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743450" y="17306925"/>
          <a:ext cx="255968" cy="17145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19050</xdr:rowOff>
    </xdr:from>
    <xdr:to>
      <xdr:col>0</xdr:col>
      <xdr:colOff>409372</xdr:colOff>
      <xdr:row>2</xdr:row>
      <xdr:rowOff>142875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19050"/>
          <a:ext cx="401759" cy="447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J62"/>
  <sheetViews>
    <sheetView showGridLines="0" showRowColHeaders="0" zoomScaleNormal="100" workbookViewId="0">
      <pane ySplit="3" topLeftCell="A4" activePane="bottomLeft" state="frozen"/>
      <selection pane="bottomLeft" activeCell="I1" sqref="I1"/>
    </sheetView>
  </sheetViews>
  <sheetFormatPr defaultRowHeight="12.75" x14ac:dyDescent="0.2"/>
  <cols>
    <col min="1" max="1" width="12.5703125" style="1" customWidth="1"/>
    <col min="2" max="2" width="5.5703125" style="1" customWidth="1"/>
    <col min="3" max="3" width="27.140625" style="1" customWidth="1"/>
    <col min="4" max="4" width="8" style="1" customWidth="1"/>
    <col min="5" max="5" width="6.5703125" style="1" customWidth="1"/>
    <col min="6" max="6" width="15.42578125" style="1" customWidth="1"/>
    <col min="7" max="7" width="10" style="1" customWidth="1"/>
    <col min="8" max="8" width="4.5703125" style="1" customWidth="1"/>
    <col min="9" max="9" width="4.7109375" style="1" customWidth="1"/>
    <col min="10" max="16384" width="9.140625" style="1"/>
  </cols>
  <sheetData>
    <row r="1" spans="1:10" x14ac:dyDescent="0.2">
      <c r="A1" s="6" t="s">
        <v>247</v>
      </c>
      <c r="B1" s="7"/>
      <c r="C1" s="8"/>
      <c r="D1" s="9"/>
      <c r="F1" s="1006" t="s">
        <v>479</v>
      </c>
      <c r="G1" s="11" t="str">
        <f>HYPERLINK("","")</f>
        <v/>
      </c>
      <c r="H1" s="12"/>
      <c r="I1" s="13"/>
      <c r="J1" s="13"/>
    </row>
    <row r="2" spans="1:10" x14ac:dyDescent="0.2">
      <c r="A2" s="14"/>
      <c r="B2" s="15"/>
      <c r="C2" s="8"/>
      <c r="D2" s="9"/>
      <c r="E2" s="16"/>
      <c r="F2" s="16"/>
      <c r="G2" s="8"/>
      <c r="H2" s="17"/>
      <c r="I2" s="8"/>
      <c r="J2" s="8"/>
    </row>
    <row r="3" spans="1:10" x14ac:dyDescent="0.2">
      <c r="A3" s="18" t="s">
        <v>35</v>
      </c>
      <c r="B3" s="19" t="s">
        <v>36</v>
      </c>
      <c r="C3" s="20" t="s">
        <v>37</v>
      </c>
      <c r="D3" s="21" t="s">
        <v>38</v>
      </c>
      <c r="E3" s="22" t="s">
        <v>17</v>
      </c>
      <c r="F3" s="23" t="s">
        <v>39</v>
      </c>
      <c r="G3" s="21" t="s">
        <v>40</v>
      </c>
      <c r="H3" s="24" t="s">
        <v>41</v>
      </c>
      <c r="I3" s="20" t="s">
        <v>42</v>
      </c>
      <c r="J3" s="13"/>
    </row>
    <row r="4" spans="1:10" x14ac:dyDescent="0.2">
      <c r="A4" s="761" t="s">
        <v>234</v>
      </c>
      <c r="B4" s="762"/>
      <c r="C4" s="25"/>
      <c r="D4" s="25"/>
      <c r="E4" s="26"/>
      <c r="F4" s="25"/>
      <c r="G4" s="27"/>
      <c r="H4" s="28"/>
      <c r="I4" s="29"/>
      <c r="J4" s="26"/>
    </row>
    <row r="5" spans="1:10" x14ac:dyDescent="0.2">
      <c r="A5" s="1270" t="s">
        <v>245</v>
      </c>
      <c r="B5" s="1271" t="s">
        <v>43</v>
      </c>
      <c r="C5" s="30" t="s">
        <v>386</v>
      </c>
      <c r="D5" s="31" t="s">
        <v>44</v>
      </c>
      <c r="E5" s="32" t="str">
        <f>HYPERLINK("#V1!A5","V1")</f>
        <v>V1</v>
      </c>
      <c r="F5" s="33" t="str">
        <f>HYPERLINK("https://kaart.delfi.ee/?bookmark=236e0f8de3f3d8e7138807663f9b5d14","Voka petangihall")</f>
        <v>Voka petangihall</v>
      </c>
      <c r="G5" s="34" t="s">
        <v>45</v>
      </c>
      <c r="H5" s="35">
        <v>2</v>
      </c>
      <c r="I5" s="36">
        <f>V!Z74</f>
        <v>31</v>
      </c>
      <c r="J5" s="26"/>
    </row>
    <row r="6" spans="1:10" x14ac:dyDescent="0.2">
      <c r="A6" s="1272" t="s">
        <v>299</v>
      </c>
      <c r="B6" s="1100" t="s">
        <v>54</v>
      </c>
      <c r="C6" s="1273" t="s">
        <v>403</v>
      </c>
      <c r="D6" s="638" t="s">
        <v>44</v>
      </c>
      <c r="E6" s="688" t="str">
        <f>HYPERLINK("#'V-n3'!$A$5","V-n3")</f>
        <v>V-n3</v>
      </c>
      <c r="F6" s="1234" t="str">
        <f>HYPERLINK("https://kaart.delfi.ee/?bookmark=236e0f8de3f3d8e7138807663f9b5d14","Voka petangihall")</f>
        <v>Voka petangihall</v>
      </c>
      <c r="G6" s="1235" t="s">
        <v>45</v>
      </c>
      <c r="H6" s="1236">
        <v>0</v>
      </c>
      <c r="I6" s="1237">
        <v>8</v>
      </c>
      <c r="J6" s="26"/>
    </row>
    <row r="7" spans="1:10" x14ac:dyDescent="0.2">
      <c r="A7" s="1274" t="s">
        <v>246</v>
      </c>
      <c r="B7" s="1275" t="s">
        <v>43</v>
      </c>
      <c r="C7" s="1276" t="s">
        <v>387</v>
      </c>
      <c r="D7" s="1277" t="s">
        <v>44</v>
      </c>
      <c r="E7" s="315" t="str">
        <f>HYPERLINK("#V2!$A$5","V2")</f>
        <v>V2</v>
      </c>
      <c r="F7" s="1238" t="str">
        <f>HYPERLINK("https://kaart.delfi.ee/?bookmark=236e0f8de3f3d8e7138807663f9b5d14","Voka petangihall")</f>
        <v>Voka petangihall</v>
      </c>
      <c r="G7" s="1239" t="s">
        <v>45</v>
      </c>
      <c r="H7" s="1240">
        <v>2</v>
      </c>
      <c r="I7" s="1241">
        <f>V!AA74</f>
        <v>39</v>
      </c>
      <c r="J7" s="26"/>
    </row>
    <row r="8" spans="1:10" x14ac:dyDescent="0.2">
      <c r="A8" s="763" t="s">
        <v>235</v>
      </c>
      <c r="B8" s="764"/>
      <c r="C8" s="40"/>
      <c r="D8" s="40"/>
      <c r="E8" s="630"/>
      <c r="F8" s="40"/>
      <c r="G8" s="42"/>
      <c r="H8" s="631"/>
      <c r="I8" s="632"/>
      <c r="J8" s="26"/>
    </row>
    <row r="9" spans="1:10" x14ac:dyDescent="0.2">
      <c r="A9" s="1278" t="s">
        <v>304</v>
      </c>
      <c r="B9" s="1275" t="s">
        <v>47</v>
      </c>
      <c r="C9" s="1276" t="s">
        <v>388</v>
      </c>
      <c r="D9" s="1277" t="s">
        <v>44</v>
      </c>
      <c r="E9" s="315" t="str">
        <f>HYPERLINK("#V3!$A$5","V3")</f>
        <v>V3</v>
      </c>
      <c r="F9" s="1238" t="str">
        <f>HYPERLINK("https://kaart.delfi.ee/?bookmark=236e0f8de3f3d8e7138807663f9b5d14","Voka petangihall")</f>
        <v>Voka petangihall</v>
      </c>
      <c r="G9" s="1239" t="s">
        <v>45</v>
      </c>
      <c r="H9" s="1240">
        <v>2</v>
      </c>
      <c r="I9" s="1241">
        <f>V!AB74</f>
        <v>27</v>
      </c>
      <c r="J9" s="26"/>
    </row>
    <row r="10" spans="1:10" x14ac:dyDescent="0.2">
      <c r="A10" s="1274" t="s">
        <v>305</v>
      </c>
      <c r="B10" s="1275" t="s">
        <v>47</v>
      </c>
      <c r="C10" s="1276" t="s">
        <v>389</v>
      </c>
      <c r="D10" s="1277" t="s">
        <v>44</v>
      </c>
      <c r="E10" s="315" t="str">
        <f>HYPERLINK("#V4!$A$5","V4")</f>
        <v>V4</v>
      </c>
      <c r="F10" s="1238" t="str">
        <f>HYPERLINK("https://kaart.delfi.ee/?bookmark=236e0f8de3f3d8e7138807663f9b5d14","Voka petangihall")</f>
        <v>Voka petangihall</v>
      </c>
      <c r="G10" s="1239" t="s">
        <v>45</v>
      </c>
      <c r="H10" s="1240">
        <v>2</v>
      </c>
      <c r="I10" s="1241">
        <f>V!AC74</f>
        <v>31</v>
      </c>
      <c r="J10" s="26"/>
    </row>
    <row r="11" spans="1:10" x14ac:dyDescent="0.2">
      <c r="A11" s="765" t="s">
        <v>236</v>
      </c>
      <c r="B11" s="766"/>
      <c r="C11" s="643"/>
      <c r="D11" s="643"/>
      <c r="E11" s="644"/>
      <c r="F11" s="643"/>
      <c r="G11" s="645"/>
      <c r="H11" s="646"/>
      <c r="I11" s="647"/>
      <c r="J11" s="26"/>
    </row>
    <row r="12" spans="1:10" x14ac:dyDescent="0.2">
      <c r="A12" s="1279" t="s">
        <v>377</v>
      </c>
      <c r="B12" s="1280" t="s">
        <v>47</v>
      </c>
      <c r="C12" s="1281" t="s">
        <v>390</v>
      </c>
      <c r="D12" s="1282" t="s">
        <v>44</v>
      </c>
      <c r="E12" s="653" t="str">
        <f>HYPERLINK("#V5!$A$5","V5")</f>
        <v>V5</v>
      </c>
      <c r="F12" s="1242" t="str">
        <f>HYPERLINK("https://kaart.delfi.ee/?bookmark=236e0f8de3f3d8e7138807663f9b5d14","Voka petangihall")</f>
        <v>Voka petangihall</v>
      </c>
      <c r="G12" s="1243" t="s">
        <v>45</v>
      </c>
      <c r="H12" s="1244">
        <v>2</v>
      </c>
      <c r="I12" s="1245">
        <f>V!AD74</f>
        <v>32</v>
      </c>
      <c r="J12" s="26"/>
    </row>
    <row r="13" spans="1:10" x14ac:dyDescent="0.2">
      <c r="A13" s="1279" t="s">
        <v>378</v>
      </c>
      <c r="B13" s="1280" t="s">
        <v>47</v>
      </c>
      <c r="C13" s="1281" t="s">
        <v>391</v>
      </c>
      <c r="D13" s="1282" t="s">
        <v>44</v>
      </c>
      <c r="E13" s="653" t="str">
        <f>HYPERLINK("#V6!$A$5","V6")</f>
        <v>V6</v>
      </c>
      <c r="F13" s="1242" t="str">
        <f>HYPERLINK("https://kaart.delfi.ee/?bookmark=236e0f8de3f3d8e7138807663f9b5d14","Voka petangihall")</f>
        <v>Voka petangihall</v>
      </c>
      <c r="G13" s="1243" t="s">
        <v>45</v>
      </c>
      <c r="H13" s="1244">
        <v>2</v>
      </c>
      <c r="I13" s="1245">
        <f>V!AE74</f>
        <v>33</v>
      </c>
      <c r="J13" s="13"/>
    </row>
    <row r="14" spans="1:10" x14ac:dyDescent="0.2">
      <c r="A14" s="1283" t="s">
        <v>400</v>
      </c>
      <c r="B14" s="1284" t="s">
        <v>47</v>
      </c>
      <c r="C14" s="1285" t="s">
        <v>52</v>
      </c>
      <c r="D14" s="1286" t="s">
        <v>44</v>
      </c>
      <c r="E14" s="659" t="str">
        <f>HYPERLINK("#'V-jh'!$A$5","V-jh")</f>
        <v>V-jh</v>
      </c>
      <c r="F14" s="1246" t="str">
        <f>HYPERLINK("https://kaart.delfi.ee/?bookmark=236e0f8de3f3d8e7138807663f9b5d14","Voka petangihall")</f>
        <v>Voka petangihall</v>
      </c>
      <c r="G14" s="1247" t="s">
        <v>45</v>
      </c>
      <c r="H14" s="1248">
        <v>2</v>
      </c>
      <c r="I14" s="1249">
        <v>24</v>
      </c>
      <c r="J14" s="13"/>
    </row>
    <row r="15" spans="1:10" x14ac:dyDescent="0.2">
      <c r="A15" s="1287" t="s">
        <v>407</v>
      </c>
      <c r="B15" s="1288" t="s">
        <v>47</v>
      </c>
      <c r="C15" s="1289" t="s">
        <v>408</v>
      </c>
      <c r="D15" s="1290" t="s">
        <v>44</v>
      </c>
      <c r="E15" s="689" t="str">
        <f>HYPERLINK("#'V-se'!$A$5","V-se")</f>
        <v>V-se</v>
      </c>
      <c r="F15" s="1250" t="str">
        <f>HYPERLINK("https://kaart.delfi.ee/?bookmark=236e0f8de3f3d8e7138807663f9b5d14","Voka petangihall")</f>
        <v>Voka petangihall</v>
      </c>
      <c r="G15" s="1251" t="s">
        <v>45</v>
      </c>
      <c r="H15" s="1252">
        <v>2</v>
      </c>
      <c r="I15" s="1253">
        <v>31</v>
      </c>
      <c r="J15" s="13"/>
    </row>
    <row r="16" spans="1:10" x14ac:dyDescent="0.2">
      <c r="A16" s="763" t="s">
        <v>237</v>
      </c>
      <c r="B16" s="767"/>
      <c r="C16" s="40"/>
      <c r="D16" s="40"/>
      <c r="E16" s="41"/>
      <c r="F16" s="40"/>
      <c r="G16" s="42"/>
      <c r="H16" s="43"/>
      <c r="I16" s="44"/>
      <c r="J16" s="13"/>
    </row>
    <row r="17" spans="1:10" hidden="1" x14ac:dyDescent="0.2">
      <c r="A17" s="1291" t="s">
        <v>415</v>
      </c>
      <c r="B17" s="690" t="s">
        <v>401</v>
      </c>
      <c r="C17" s="691" t="s">
        <v>402</v>
      </c>
      <c r="D17" s="692" t="s">
        <v>48</v>
      </c>
      <c r="E17" s="693" t="str">
        <f>HYPERLINK("#'V-n4'!L1","V-n4")</f>
        <v>V-n4</v>
      </c>
      <c r="F17" s="694" t="str">
        <f>HYPERLINK("https://kaart.delfi.ee/?bookmark=236e0f8de3f3d8e7138807663f9b5d14","Voka petangihall")</f>
        <v>Voka petangihall</v>
      </c>
      <c r="G17" s="695" t="s">
        <v>45</v>
      </c>
      <c r="H17" s="696">
        <v>0</v>
      </c>
      <c r="I17" s="697"/>
      <c r="J17" s="13"/>
    </row>
    <row r="18" spans="1:10" x14ac:dyDescent="0.2">
      <c r="A18" s="1279" t="s">
        <v>423</v>
      </c>
      <c r="B18" s="1280" t="s">
        <v>47</v>
      </c>
      <c r="C18" s="1281" t="s">
        <v>392</v>
      </c>
      <c r="D18" s="1282" t="s">
        <v>44</v>
      </c>
      <c r="E18" s="653" t="str">
        <f>HYPERLINK("#V7!$A$5","V7")</f>
        <v>V7</v>
      </c>
      <c r="F18" s="1242" t="str">
        <f>HYPERLINK("https://kaart.delfi.ee/?bookmark=236e0f8de3f3d8e7138807663f9b5d14","Voka petangihall")</f>
        <v>Voka petangihall</v>
      </c>
      <c r="G18" s="1243" t="s">
        <v>45</v>
      </c>
      <c r="H18" s="1244">
        <v>2</v>
      </c>
      <c r="I18" s="1245">
        <f>V!AF74</f>
        <v>27</v>
      </c>
      <c r="J18" s="13"/>
    </row>
    <row r="19" spans="1:10" x14ac:dyDescent="0.2">
      <c r="A19" s="1292" t="s">
        <v>425</v>
      </c>
      <c r="B19" s="1293" t="s">
        <v>47</v>
      </c>
      <c r="C19" s="1294" t="s">
        <v>466</v>
      </c>
      <c r="D19" s="1295" t="s">
        <v>48</v>
      </c>
      <c r="E19" s="963" t="str">
        <f>HYPERLINK("#'T-ü'!$A$5","T-ü")</f>
        <v>T-ü</v>
      </c>
      <c r="F19" s="1254" t="str">
        <f t="shared" ref="F19:F20" si="0">HYPERLINK("https://kaart.delfi.ee/?bookmark=236e0f8de3f3d8e7138807663f9b5d14","Voka petangihall")</f>
        <v>Voka petangihall</v>
      </c>
      <c r="G19" s="1255" t="s">
        <v>45</v>
      </c>
      <c r="H19" s="1256">
        <v>2</v>
      </c>
      <c r="I19" s="1257">
        <v>15</v>
      </c>
      <c r="J19" s="13"/>
    </row>
    <row r="20" spans="1:10" x14ac:dyDescent="0.2">
      <c r="A20" s="1292" t="s">
        <v>424</v>
      </c>
      <c r="B20" s="1293" t="s">
        <v>47</v>
      </c>
      <c r="C20" s="1294" t="s">
        <v>491</v>
      </c>
      <c r="D20" s="1295" t="s">
        <v>60</v>
      </c>
      <c r="E20" s="978" t="str">
        <f>HYPERLINK("#'Vi-t'!$A$5","Vi-t")</f>
        <v>Vi-t</v>
      </c>
      <c r="F20" s="1258" t="str">
        <f t="shared" si="0"/>
        <v>Voka petangihall</v>
      </c>
      <c r="G20" s="1259" t="s">
        <v>45</v>
      </c>
      <c r="H20" s="1260">
        <v>2</v>
      </c>
      <c r="I20" s="1261">
        <v>15</v>
      </c>
      <c r="J20" s="13"/>
    </row>
    <row r="21" spans="1:10" x14ac:dyDescent="0.2">
      <c r="A21" s="1296" t="s">
        <v>426</v>
      </c>
      <c r="B21" s="1297" t="s">
        <v>47</v>
      </c>
      <c r="C21" s="1298" t="s">
        <v>393</v>
      </c>
      <c r="D21" s="1299" t="s">
        <v>44</v>
      </c>
      <c r="E21" s="996" t="str">
        <f>HYPERLINK("#V8!$A$5","V8")</f>
        <v>V8</v>
      </c>
      <c r="F21" s="1262" t="str">
        <f>HYPERLINK("https://kaart.delfi.ee/?bookmark=236e0f8de3f3d8e7138807663f9b5d14","Voka petangihall")</f>
        <v>Voka petangihall</v>
      </c>
      <c r="G21" s="1263" t="s">
        <v>45</v>
      </c>
      <c r="H21" s="1264">
        <v>2</v>
      </c>
      <c r="I21" s="1265">
        <f>V!AG74</f>
        <v>28</v>
      </c>
      <c r="J21" s="13"/>
    </row>
    <row r="22" spans="1:10" hidden="1" x14ac:dyDescent="0.2">
      <c r="A22" s="997"/>
      <c r="B22" s="998"/>
      <c r="C22" s="999" t="s">
        <v>53</v>
      </c>
      <c r="D22" s="1000" t="s">
        <v>48</v>
      </c>
      <c r="E22" s="1001" t="str">
        <f>HYPERLINK("#'V-n1'!I1","V-n1")</f>
        <v>V-n1</v>
      </c>
      <c r="F22" s="1002" t="str">
        <f>HYPERLINK("https://kaart.delfi.ee/?bookmark=236e0f8de3f3d8e7138807663f9b5d14","Voka petangihall")</f>
        <v>Voka petangihall</v>
      </c>
      <c r="G22" s="1003" t="s">
        <v>45</v>
      </c>
      <c r="H22" s="1004">
        <v>0</v>
      </c>
      <c r="I22" s="1005"/>
      <c r="J22" s="13"/>
    </row>
    <row r="23" spans="1:10" x14ac:dyDescent="0.2">
      <c r="A23" s="1300" t="s">
        <v>427</v>
      </c>
      <c r="B23" s="1099" t="s">
        <v>47</v>
      </c>
      <c r="C23" s="1301" t="s">
        <v>55</v>
      </c>
      <c r="D23" s="1302" t="s">
        <v>48</v>
      </c>
      <c r="E23" s="1303" t="str">
        <f>HYPERLINK("#'iv-ü'!$A$5","iv-ü")</f>
        <v>iv-ü</v>
      </c>
      <c r="F23" s="1266" t="str">
        <f>HYPERLINK("https://kaart.delfi.ee/?bookmark=236e0f8de3f3d8e7138807663f9b5d14","Voka petangihall")</f>
        <v>Voka petangihall</v>
      </c>
      <c r="G23" s="1267" t="s">
        <v>45</v>
      </c>
      <c r="H23" s="1268">
        <v>2</v>
      </c>
      <c r="I23" s="1269">
        <v>24</v>
      </c>
      <c r="J23" s="13"/>
    </row>
    <row r="24" spans="1:10" x14ac:dyDescent="0.2">
      <c r="A24" s="1011" t="s">
        <v>238</v>
      </c>
      <c r="B24" s="1012"/>
      <c r="C24" s="1013"/>
      <c r="D24" s="1013"/>
      <c r="E24" s="1014"/>
      <c r="F24" s="1013"/>
      <c r="G24" s="1015"/>
      <c r="H24" s="1016"/>
      <c r="I24" s="1017"/>
      <c r="J24" s="13"/>
    </row>
    <row r="25" spans="1:10" x14ac:dyDescent="0.2">
      <c r="A25" s="1471" t="s">
        <v>448</v>
      </c>
      <c r="B25" s="1472" t="s">
        <v>47</v>
      </c>
      <c r="C25" s="1473" t="s">
        <v>466</v>
      </c>
      <c r="D25" s="1474" t="s">
        <v>44</v>
      </c>
      <c r="E25" s="1475" t="str">
        <f>HYPERLINK("#'T-d'!$A$5","T-d")</f>
        <v>T-d</v>
      </c>
      <c r="F25" s="1476" t="str">
        <f t="shared" ref="F25" si="1">HYPERLINK("https://kaart.delfi.ee/?bookmark=236e0f8de3f3d8e7138807663f9b5d14","Voka petangihall")</f>
        <v>Voka petangihall</v>
      </c>
      <c r="G25" s="1477" t="s">
        <v>45</v>
      </c>
      <c r="H25" s="1478">
        <v>2</v>
      </c>
      <c r="I25" s="1479">
        <v>26</v>
      </c>
      <c r="J25" s="13"/>
    </row>
    <row r="26" spans="1:10" x14ac:dyDescent="0.2">
      <c r="A26" s="1480" t="s">
        <v>447</v>
      </c>
      <c r="B26" s="1481" t="s">
        <v>47</v>
      </c>
      <c r="C26" s="1482" t="s">
        <v>394</v>
      </c>
      <c r="D26" s="1483" t="s">
        <v>44</v>
      </c>
      <c r="E26" s="1484" t="str">
        <f>HYPERLINK("#V9!$A$5","V9")</f>
        <v>V9</v>
      </c>
      <c r="F26" s="1485" t="str">
        <f t="shared" ref="F26:F27" si="2">HYPERLINK("https://kaart.delfi.ee/?bookmark=236e0f8de3f3d8e7138807663f9b5d14","Voka petangihall")</f>
        <v>Voka petangihall</v>
      </c>
      <c r="G26" s="1486" t="s">
        <v>45</v>
      </c>
      <c r="H26" s="1487">
        <v>2</v>
      </c>
      <c r="I26" s="1488">
        <f>V!AH74</f>
        <v>33</v>
      </c>
      <c r="J26" s="13"/>
    </row>
    <row r="27" spans="1:10" x14ac:dyDescent="0.2">
      <c r="A27" s="1471" t="s">
        <v>449</v>
      </c>
      <c r="B27" s="1472" t="s">
        <v>47</v>
      </c>
      <c r="C27" s="1473" t="s">
        <v>491</v>
      </c>
      <c r="D27" s="1489" t="s">
        <v>44</v>
      </c>
      <c r="E27" s="1475" t="str">
        <f>HYPERLINK("#'Vi-d'!$A$5","Vi-d")</f>
        <v>Vi-d</v>
      </c>
      <c r="F27" s="1476" t="str">
        <f t="shared" si="2"/>
        <v>Voka petangihall</v>
      </c>
      <c r="G27" s="1477" t="s">
        <v>45</v>
      </c>
      <c r="H27" s="1478">
        <v>2</v>
      </c>
      <c r="I27" s="1479">
        <v>20</v>
      </c>
      <c r="J27" s="13"/>
    </row>
    <row r="28" spans="1:10" x14ac:dyDescent="0.2">
      <c r="A28" s="1490" t="s">
        <v>375</v>
      </c>
      <c r="B28" s="1472" t="s">
        <v>492</v>
      </c>
      <c r="C28" s="1473" t="s">
        <v>374</v>
      </c>
      <c r="D28" s="1489" t="s">
        <v>48</v>
      </c>
      <c r="E28" s="1475" t="str">
        <f>HYPERLINK("#'pl'!$A$5","pl")</f>
        <v>pl</v>
      </c>
      <c r="F28" s="1476" t="str">
        <f>HYPERLINK("https://kaart.delfi.ee/?bookmark=236e0f8de3f3d8e7138807663f9b5d14","Voka petangihall")</f>
        <v>Voka petangihall</v>
      </c>
      <c r="G28" s="1477" t="s">
        <v>45</v>
      </c>
      <c r="H28" s="1478" t="s">
        <v>100</v>
      </c>
      <c r="I28" s="1491">
        <v>28</v>
      </c>
      <c r="J28" s="13"/>
    </row>
    <row r="29" spans="1:10" x14ac:dyDescent="0.2">
      <c r="A29" s="1492" t="s">
        <v>376</v>
      </c>
      <c r="B29" s="1493" t="s">
        <v>46</v>
      </c>
      <c r="C29" s="1494" t="s">
        <v>443</v>
      </c>
      <c r="D29" s="1495" t="s">
        <v>51</v>
      </c>
      <c r="E29" s="1496" t="str">
        <f>HYPERLINK("#EW102!$A$5","EW102")</f>
        <v>EW102</v>
      </c>
      <c r="F29" s="1497" t="str">
        <f>HYPERLINK("https://kaart.delfi.ee/?bookmark=236e0f8de3f3d8e7138807663f9b5d14","Voka petangihall")</f>
        <v>Voka petangihall</v>
      </c>
      <c r="G29" s="1498" t="s">
        <v>45</v>
      </c>
      <c r="H29" s="1499">
        <v>10</v>
      </c>
      <c r="I29" s="1500">
        <v>56</v>
      </c>
      <c r="J29" s="13"/>
    </row>
    <row r="30" spans="1:10" x14ac:dyDescent="0.2">
      <c r="A30" s="1504" t="s">
        <v>633</v>
      </c>
      <c r="B30" s="1505" t="s">
        <v>634</v>
      </c>
      <c r="C30" s="1501" t="s">
        <v>635</v>
      </c>
      <c r="D30" s="1506" t="s">
        <v>44</v>
      </c>
      <c r="E30" s="1502" t="str">
        <f>HYPERLINK("#'n+v'!$A$5","n+v")</f>
        <v>n+v</v>
      </c>
      <c r="F30" s="1497" t="str">
        <f>HYPERLINK("https://kaart.delfi.ee/?bookmark=236e0f8de3f3d8e7138807663f9b5d14","Voka petangihall")</f>
        <v>Voka petangihall</v>
      </c>
      <c r="G30" s="1498" t="s">
        <v>45</v>
      </c>
      <c r="H30" s="1507" t="s">
        <v>100</v>
      </c>
      <c r="I30" s="1503">
        <v>12</v>
      </c>
      <c r="J30" s="13"/>
    </row>
    <row r="31" spans="1:10" x14ac:dyDescent="0.2">
      <c r="A31" s="761" t="s">
        <v>239</v>
      </c>
      <c r="B31" s="770"/>
      <c r="C31" s="25"/>
      <c r="D31" s="25"/>
      <c r="E31" s="37"/>
      <c r="F31" s="25"/>
      <c r="G31" s="27"/>
      <c r="H31" s="38"/>
      <c r="I31" s="39"/>
      <c r="J31" s="13"/>
    </row>
    <row r="32" spans="1:10" hidden="1" x14ac:dyDescent="0.2">
      <c r="A32" s="756" t="s">
        <v>451</v>
      </c>
      <c r="B32" s="757"/>
      <c r="C32" s="758"/>
      <c r="D32" s="758"/>
      <c r="E32" s="772"/>
      <c r="F32" s="758"/>
      <c r="G32" s="638"/>
      <c r="H32" s="759"/>
      <c r="I32" s="760"/>
      <c r="J32" s="13"/>
    </row>
    <row r="33" spans="1:10" hidden="1" x14ac:dyDescent="0.2">
      <c r="A33" s="755"/>
      <c r="B33" s="636" t="s">
        <v>46</v>
      </c>
      <c r="C33" s="637" t="s">
        <v>396</v>
      </c>
      <c r="D33" s="347" t="s">
        <v>44</v>
      </c>
      <c r="E33" s="771" t="str">
        <f>HYPERLINK("#V11!I1","V11")</f>
        <v>V11</v>
      </c>
      <c r="F33" s="339" t="str">
        <f>HYPERLINK("https://kaart.delfi.ee/?bookmark=236e0f8de3f3d8e7138807663f9b5d14","Voka petangihall")</f>
        <v>Voka petangihall</v>
      </c>
      <c r="G33" s="340" t="s">
        <v>45</v>
      </c>
      <c r="H33" s="341">
        <v>2</v>
      </c>
      <c r="I33" s="342">
        <f>V!AL74</f>
        <v>22</v>
      </c>
      <c r="J33" s="13"/>
    </row>
    <row r="34" spans="1:10" hidden="1" x14ac:dyDescent="0.2">
      <c r="A34" s="755"/>
      <c r="B34" s="636" t="s">
        <v>46</v>
      </c>
      <c r="C34" s="30" t="s">
        <v>397</v>
      </c>
      <c r="D34" s="31" t="s">
        <v>44</v>
      </c>
      <c r="E34" s="771" t="str">
        <f>HYPERLINK("#V12!I1","V12")</f>
        <v>V12</v>
      </c>
      <c r="F34" s="33" t="str">
        <f>HYPERLINK("https://kaart.delfi.ee/?bookmark=236e0f8de3f3d8e7138807663f9b5d14","Voka petangihall")</f>
        <v>Voka petangihall</v>
      </c>
      <c r="G34" s="34" t="s">
        <v>45</v>
      </c>
      <c r="H34" s="35">
        <v>2</v>
      </c>
      <c r="I34" s="36">
        <f>V!AK74</f>
        <v>26</v>
      </c>
      <c r="J34" s="13"/>
    </row>
    <row r="35" spans="1:10" hidden="1" x14ac:dyDescent="0.2">
      <c r="A35" s="755"/>
      <c r="B35" s="636" t="s">
        <v>47</v>
      </c>
      <c r="C35" s="348" t="s">
        <v>56</v>
      </c>
      <c r="D35" s="349" t="s">
        <v>50</v>
      </c>
      <c r="E35" s="771" t="str">
        <f>HYPERLINK("https://www.facebook.com/pg/ivpetanque/posts/","tulem")</f>
        <v>tulem</v>
      </c>
      <c r="F35" s="343" t="str">
        <f>HYPERLINK("http://kaart.delfi.ee/?bookmark=225e5f274dc79e88e106035de3e50b2d","K-Järve petangihall")</f>
        <v>K-Järve petangihall</v>
      </c>
      <c r="G35" s="351" t="s">
        <v>49</v>
      </c>
      <c r="H35" s="345">
        <v>1</v>
      </c>
      <c r="I35" s="346"/>
      <c r="J35" s="13"/>
    </row>
    <row r="36" spans="1:10" hidden="1" x14ac:dyDescent="0.2">
      <c r="A36" s="755"/>
      <c r="B36" s="636" t="s">
        <v>46</v>
      </c>
      <c r="C36" s="348" t="s">
        <v>55</v>
      </c>
      <c r="D36" s="349" t="s">
        <v>44</v>
      </c>
      <c r="E36" s="771" t="str">
        <f>HYPERLINK("#'iv-d'!I1","iv-d")</f>
        <v>iv-d</v>
      </c>
      <c r="F36" s="343" t="str">
        <f t="shared" ref="F36:F51" si="3">HYPERLINK("https://kaart.delfi.ee/?bookmark=236e0f8de3f3d8e7138807663f9b5d14","Voka petangihall")</f>
        <v>Voka petangihall</v>
      </c>
      <c r="G36" s="344" t="s">
        <v>45</v>
      </c>
      <c r="H36" s="345">
        <v>2</v>
      </c>
      <c r="I36" s="346">
        <v>30</v>
      </c>
      <c r="J36" s="13"/>
    </row>
    <row r="37" spans="1:10" hidden="1" x14ac:dyDescent="0.2">
      <c r="A37" s="1056"/>
      <c r="B37" s="1057" t="s">
        <v>46</v>
      </c>
      <c r="C37" s="1058" t="s">
        <v>57</v>
      </c>
      <c r="D37" s="1059" t="s">
        <v>58</v>
      </c>
      <c r="E37" s="1060" t="str">
        <f>HYPERLINK("#'shk-viru'!K1","shk-viru")</f>
        <v>shk-viru</v>
      </c>
      <c r="F37" s="1061" t="str">
        <f t="shared" si="3"/>
        <v>Voka petangihall</v>
      </c>
      <c r="G37" s="1062" t="s">
        <v>59</v>
      </c>
      <c r="H37" s="1063">
        <v>2</v>
      </c>
      <c r="I37" s="1064">
        <v>26</v>
      </c>
      <c r="J37" s="8"/>
    </row>
    <row r="38" spans="1:10" x14ac:dyDescent="0.2">
      <c r="A38" s="1226" t="s">
        <v>451</v>
      </c>
      <c r="B38" s="1227" t="s">
        <v>47</v>
      </c>
      <c r="C38" s="1228" t="s">
        <v>55</v>
      </c>
      <c r="D38" s="1229" t="s">
        <v>44</v>
      </c>
      <c r="E38" s="1103" t="str">
        <f>HYPERLINK("#'iv-d'!$A$5","iv-d")</f>
        <v>iv-d</v>
      </c>
      <c r="F38" s="1218" t="str">
        <f t="shared" si="3"/>
        <v>Voka petangihall</v>
      </c>
      <c r="G38" s="1219" t="s">
        <v>45</v>
      </c>
      <c r="H38" s="1220">
        <v>2</v>
      </c>
      <c r="I38" s="1221">
        <v>20</v>
      </c>
      <c r="J38" s="13"/>
    </row>
    <row r="39" spans="1:10" x14ac:dyDescent="0.2">
      <c r="A39" s="1230" t="s">
        <v>452</v>
      </c>
      <c r="B39" s="1231" t="s">
        <v>47</v>
      </c>
      <c r="C39" s="1232" t="s">
        <v>395</v>
      </c>
      <c r="D39" s="1233" t="s">
        <v>44</v>
      </c>
      <c r="E39" s="1117" t="str">
        <f>HYPERLINK("#V10!$A$5","V10")</f>
        <v>V10</v>
      </c>
      <c r="F39" s="1222" t="str">
        <f t="shared" si="3"/>
        <v>Voka petangihall</v>
      </c>
      <c r="G39" s="1223" t="s">
        <v>45</v>
      </c>
      <c r="H39" s="1224">
        <v>2</v>
      </c>
      <c r="I39" s="1225">
        <f>V!AI74</f>
        <v>26</v>
      </c>
      <c r="J39" s="13"/>
    </row>
    <row r="40" spans="1:10" x14ac:dyDescent="0.2">
      <c r="A40" s="1349" t="s">
        <v>480</v>
      </c>
      <c r="B40" s="1350" t="s">
        <v>47</v>
      </c>
      <c r="C40" s="1351" t="s">
        <v>55</v>
      </c>
      <c r="D40" s="1352" t="s">
        <v>450</v>
      </c>
      <c r="E40" s="1353" t="str">
        <f>HYPERLINK("#'iv-sd'!$A$5","iv-sd")</f>
        <v>iv-sd</v>
      </c>
      <c r="F40" s="1354" t="str">
        <f t="shared" si="3"/>
        <v>Voka petangihall</v>
      </c>
      <c r="G40" s="1355" t="s">
        <v>45</v>
      </c>
      <c r="H40" s="1356">
        <v>2</v>
      </c>
      <c r="I40" s="1357">
        <v>20</v>
      </c>
      <c r="J40" s="8"/>
    </row>
    <row r="41" spans="1:10" x14ac:dyDescent="0.2">
      <c r="A41" s="1359" t="s">
        <v>453</v>
      </c>
      <c r="B41" s="1360" t="s">
        <v>47</v>
      </c>
      <c r="C41" s="1361" t="s">
        <v>57</v>
      </c>
      <c r="D41" s="1362" t="s">
        <v>58</v>
      </c>
      <c r="E41" s="1358" t="str">
        <f>HYPERLINK("#'shk-viru'!$A$5","shk-viru")</f>
        <v>shk-viru</v>
      </c>
      <c r="F41" s="1388" t="str">
        <f>HYPERLINK("https://kaart.delfi.ee/?bookmark=236e0f8de3f3d8e7138807663f9b5d14","Voka petangihall")</f>
        <v>Voka petangihall</v>
      </c>
      <c r="G41" s="1389" t="s">
        <v>59</v>
      </c>
      <c r="H41" s="1390">
        <v>2</v>
      </c>
      <c r="I41" s="1391"/>
      <c r="J41" s="8"/>
    </row>
    <row r="42" spans="1:10" x14ac:dyDescent="0.2">
      <c r="A42" s="768" t="s">
        <v>240</v>
      </c>
      <c r="B42" s="769"/>
      <c r="C42" s="45"/>
      <c r="D42" s="45"/>
      <c r="E42" s="46"/>
      <c r="F42" s="45"/>
      <c r="G42" s="47"/>
      <c r="H42" s="48"/>
      <c r="I42" s="49"/>
      <c r="J42" s="13"/>
    </row>
    <row r="43" spans="1:10" hidden="1" x14ac:dyDescent="0.2">
      <c r="A43" s="1272" t="s">
        <v>454</v>
      </c>
      <c r="B43" s="1100"/>
      <c r="C43" s="758"/>
      <c r="D43" s="758"/>
      <c r="E43" s="772"/>
      <c r="F43" s="758"/>
      <c r="G43" s="638"/>
      <c r="H43" s="759"/>
      <c r="I43" s="760"/>
      <c r="J43" s="8"/>
    </row>
    <row r="44" spans="1:10" hidden="1" x14ac:dyDescent="0.2">
      <c r="A44" s="1272" t="s">
        <v>455</v>
      </c>
      <c r="B44" s="1100"/>
      <c r="C44" s="758"/>
      <c r="D44" s="758"/>
      <c r="E44" s="772"/>
      <c r="F44" s="758"/>
      <c r="G44" s="638"/>
      <c r="H44" s="759"/>
      <c r="I44" s="760"/>
      <c r="J44" s="8"/>
    </row>
    <row r="45" spans="1:10" x14ac:dyDescent="0.2">
      <c r="A45" s="1363" t="s">
        <v>455</v>
      </c>
      <c r="B45" s="1364" t="s">
        <v>47</v>
      </c>
      <c r="C45" s="1365" t="s">
        <v>491</v>
      </c>
      <c r="D45" s="1366" t="s">
        <v>48</v>
      </c>
      <c r="E45" s="1215" t="str">
        <f>HYPERLINK("#'Vi-ü'!$A$5","Vi-ü")</f>
        <v>Vi-ü</v>
      </c>
      <c r="F45" s="1392" t="str">
        <f t="shared" ref="F45" si="4">HYPERLINK("https://kaart.delfi.ee/?bookmark=236e0f8de3f3d8e7138807663f9b5d14","Voka petangihall")</f>
        <v>Voka petangihall</v>
      </c>
      <c r="G45" s="1393" t="s">
        <v>45</v>
      </c>
      <c r="H45" s="1394">
        <v>2</v>
      </c>
      <c r="I45" s="1395"/>
      <c r="J45" s="8"/>
    </row>
    <row r="46" spans="1:10" x14ac:dyDescent="0.2">
      <c r="A46" s="1367" t="s">
        <v>456</v>
      </c>
      <c r="B46" s="1368" t="s">
        <v>47</v>
      </c>
      <c r="C46" s="1369" t="s">
        <v>55</v>
      </c>
      <c r="D46" s="1370" t="s">
        <v>51</v>
      </c>
      <c r="E46" s="1216" t="str">
        <f>HYPERLINK("#'iv-t'!$A$5","iv-t")</f>
        <v>iv-t</v>
      </c>
      <c r="F46" s="1396" t="str">
        <f>HYPERLINK("https://kaart.delfi.ee/?bookmark=236e0f8de3f3d8e7138807663f9b5d14","Voka petangihall")</f>
        <v>Voka petangihall</v>
      </c>
      <c r="G46" s="1397" t="s">
        <v>45</v>
      </c>
      <c r="H46" s="1398">
        <v>2</v>
      </c>
      <c r="I46" s="1399"/>
      <c r="J46" s="8"/>
    </row>
    <row r="47" spans="1:10" hidden="1" x14ac:dyDescent="0.2">
      <c r="A47" s="1371" t="s">
        <v>457</v>
      </c>
      <c r="B47" s="1372"/>
      <c r="C47" s="1373"/>
      <c r="D47" s="1373"/>
      <c r="E47" s="1213"/>
      <c r="F47" s="1373"/>
      <c r="G47" s="1400"/>
      <c r="H47" s="1401"/>
      <c r="I47" s="1402"/>
      <c r="J47" s="8"/>
    </row>
    <row r="48" spans="1:10" x14ac:dyDescent="0.2">
      <c r="A48" s="1374" t="s">
        <v>458</v>
      </c>
      <c r="B48" s="1375" t="s">
        <v>47</v>
      </c>
      <c r="C48" s="1376" t="s">
        <v>398</v>
      </c>
      <c r="D48" s="1377" t="s">
        <v>60</v>
      </c>
      <c r="E48" s="1214" t="str">
        <f>HYPERLINK("#'V-fin'!$A$5","V-fin")</f>
        <v>V-fin</v>
      </c>
      <c r="F48" s="1403" t="str">
        <f>HYPERLINK("https://kaart.delfi.ee/?bookmark=236e0f8de3f3d8e7138807663f9b5d14","Voka petangihall")</f>
        <v>Voka petangihall</v>
      </c>
      <c r="G48" s="1404" t="s">
        <v>45</v>
      </c>
      <c r="H48" s="1405">
        <v>2</v>
      </c>
      <c r="I48" s="1395">
        <f>V!AR74</f>
        <v>0</v>
      </c>
      <c r="J48" s="8"/>
    </row>
    <row r="49" spans="1:10" hidden="1" x14ac:dyDescent="0.2">
      <c r="A49" s="1371" t="s">
        <v>459</v>
      </c>
      <c r="B49" s="1372"/>
      <c r="C49" s="1373"/>
      <c r="D49" s="1373"/>
      <c r="E49" s="1213"/>
      <c r="F49" s="1373"/>
      <c r="G49" s="1400"/>
      <c r="H49" s="1401"/>
      <c r="I49" s="1402"/>
      <c r="J49" s="8"/>
    </row>
    <row r="50" spans="1:10" x14ac:dyDescent="0.2">
      <c r="A50" s="1378" t="s">
        <v>460</v>
      </c>
      <c r="B50" s="1379" t="s">
        <v>47</v>
      </c>
      <c r="C50" s="1380" t="s">
        <v>462</v>
      </c>
      <c r="D50" s="1381" t="s">
        <v>61</v>
      </c>
      <c r="E50" s="1217" t="str">
        <f>HYPERLINK("#OV!$A$5","OV")</f>
        <v>OV</v>
      </c>
      <c r="F50" s="1406" t="str">
        <f t="shared" ref="F50" si="5">HYPERLINK("https://kaart.delfi.ee/?bookmark=236e0f8de3f3d8e7138807663f9b5d14","Voka petangihall")</f>
        <v>Voka petangihall</v>
      </c>
      <c r="G50" s="1407" t="s">
        <v>49</v>
      </c>
      <c r="H50" s="1408"/>
      <c r="I50" s="1409"/>
      <c r="J50" s="8"/>
    </row>
    <row r="51" spans="1:10" x14ac:dyDescent="0.2">
      <c r="A51" s="1418" t="s">
        <v>614</v>
      </c>
      <c r="B51" s="1382" t="s">
        <v>47</v>
      </c>
      <c r="C51" s="1383" t="s">
        <v>396</v>
      </c>
      <c r="D51" s="1384" t="s">
        <v>44</v>
      </c>
      <c r="E51" s="1347" t="str">
        <f>HYPERLINK("#V11!$A$5","V11")</f>
        <v>V11</v>
      </c>
      <c r="F51" s="1410" t="str">
        <f t="shared" si="3"/>
        <v>Voka petangihall</v>
      </c>
      <c r="G51" s="1411" t="s">
        <v>45</v>
      </c>
      <c r="H51" s="1412">
        <v>2</v>
      </c>
      <c r="I51" s="1413">
        <f>V!AJ74</f>
        <v>26</v>
      </c>
      <c r="J51" s="8"/>
    </row>
    <row r="52" spans="1:10" x14ac:dyDescent="0.2">
      <c r="A52" s="755" t="s">
        <v>615</v>
      </c>
      <c r="B52" s="1385" t="s">
        <v>47</v>
      </c>
      <c r="C52" s="1386" t="s">
        <v>397</v>
      </c>
      <c r="D52" s="1387" t="s">
        <v>44</v>
      </c>
      <c r="E52" s="1348" t="str">
        <f>HYPERLINK("#V12!$A$5","V12")</f>
        <v>V12</v>
      </c>
      <c r="F52" s="1414" t="str">
        <f>HYPERLINK("https://kaart.delfi.ee/?bookmark=236e0f8de3f3d8e7138807663f9b5d14","Voka petangihall")</f>
        <v>Voka petangihall</v>
      </c>
      <c r="G52" s="1415" t="s">
        <v>45</v>
      </c>
      <c r="H52" s="1416">
        <v>2</v>
      </c>
      <c r="I52" s="1417">
        <f>V!AK74</f>
        <v>26</v>
      </c>
      <c r="J52" s="8"/>
    </row>
    <row r="53" spans="1:10" x14ac:dyDescent="0.2">
      <c r="A53" s="755" t="s">
        <v>616</v>
      </c>
      <c r="B53" s="1385" t="s">
        <v>47</v>
      </c>
      <c r="C53" s="1386" t="s">
        <v>461</v>
      </c>
      <c r="D53" s="1387" t="s">
        <v>44</v>
      </c>
      <c r="E53" s="1348" t="str">
        <f>HYPERLINK("#V13!$A$5","V13")</f>
        <v>V13</v>
      </c>
      <c r="F53" s="1414" t="str">
        <f>HYPERLINK("https://kaart.delfi.ee/?bookmark=236e0f8de3f3d8e7138807663f9b5d14","Voka petangihall")</f>
        <v>Voka petangihall</v>
      </c>
      <c r="G53" s="1415" t="s">
        <v>45</v>
      </c>
      <c r="H53" s="1416">
        <v>2</v>
      </c>
      <c r="I53" s="1417">
        <f>V!AL74</f>
        <v>22</v>
      </c>
      <c r="J53" s="8"/>
    </row>
    <row r="54" spans="1:10" x14ac:dyDescent="0.2">
      <c r="A54" s="50"/>
      <c r="B54" s="15"/>
      <c r="C54" s="8"/>
      <c r="D54" s="9"/>
      <c r="E54" s="16"/>
      <c r="F54" s="16"/>
      <c r="G54" s="8"/>
      <c r="H54" s="17"/>
      <c r="I54" s="8"/>
      <c r="J54" s="8"/>
    </row>
    <row r="55" spans="1:10" x14ac:dyDescent="0.2">
      <c r="A55" s="51" t="s">
        <v>62</v>
      </c>
      <c r="B55" s="52"/>
      <c r="C55" s="52"/>
      <c r="D55" s="52"/>
      <c r="E55" s="52"/>
      <c r="F55" s="53"/>
      <c r="G55" s="52"/>
      <c r="H55" s="52"/>
      <c r="I55" s="52"/>
      <c r="J55" s="52"/>
    </row>
    <row r="56" spans="1:10" hidden="1" x14ac:dyDescent="0.2">
      <c r="A56" s="54" t="s">
        <v>63</v>
      </c>
      <c r="B56" s="54"/>
      <c r="C56" s="54"/>
      <c r="D56" s="52"/>
      <c r="E56" s="55"/>
      <c r="F56" s="53"/>
      <c r="G56" s="52"/>
      <c r="H56" s="52"/>
      <c r="I56" s="52"/>
      <c r="J56" s="52"/>
    </row>
    <row r="57" spans="1:10" hidden="1" x14ac:dyDescent="0.2">
      <c r="A57" s="3" t="s">
        <v>64</v>
      </c>
      <c r="B57" s="3"/>
      <c r="C57" s="3"/>
      <c r="D57" s="3"/>
      <c r="E57" s="3"/>
      <c r="F57" s="56"/>
      <c r="J57" s="52"/>
    </row>
    <row r="58" spans="1:10" x14ac:dyDescent="0.2">
      <c r="A58" s="57" t="s">
        <v>65</v>
      </c>
      <c r="B58" s="57"/>
      <c r="C58" s="57"/>
      <c r="D58" s="52"/>
      <c r="E58" s="55"/>
      <c r="F58" s="53"/>
      <c r="G58" s="52"/>
      <c r="H58" s="52"/>
      <c r="I58" s="58"/>
    </row>
    <row r="59" spans="1:10" x14ac:dyDescent="0.2">
      <c r="A59" s="57" t="s">
        <v>302</v>
      </c>
      <c r="B59" s="57"/>
      <c r="C59" s="57"/>
      <c r="D59" s="59"/>
      <c r="E59" s="57"/>
      <c r="F59" s="60"/>
      <c r="G59" s="59"/>
      <c r="H59" s="52"/>
      <c r="I59" s="58"/>
    </row>
    <row r="60" spans="1:10" x14ac:dyDescent="0.2">
      <c r="A60" s="61" t="s">
        <v>66</v>
      </c>
      <c r="F60" s="62"/>
      <c r="J60" s="13"/>
    </row>
    <row r="61" spans="1:10" x14ac:dyDescent="0.2">
      <c r="A61" s="63"/>
      <c r="B61" s="64"/>
      <c r="C61" s="13"/>
      <c r="D61" s="65"/>
      <c r="E61" s="10"/>
      <c r="F61" s="10"/>
      <c r="G61" s="13"/>
      <c r="H61" s="12"/>
      <c r="I61" s="13"/>
      <c r="J61" s="13"/>
    </row>
    <row r="62" spans="1:10" x14ac:dyDescent="0.2">
      <c r="A62" s="63"/>
      <c r="B62" s="64"/>
      <c r="C62" s="13"/>
      <c r="D62" s="65"/>
      <c r="E62" s="10"/>
      <c r="F62" s="10"/>
      <c r="G62" s="13"/>
      <c r="H62" s="12"/>
      <c r="I62" s="13"/>
      <c r="J62" s="13"/>
    </row>
  </sheetData>
  <conditionalFormatting sqref="I5:I53">
    <cfRule type="top10" dxfId="4840" priority="1013" rank="1"/>
  </conditionalFormatting>
  <pageMargins left="0.59055118110236227" right="0.27559055118110237" top="0.78740157480314965" bottom="0.39370078740157483" header="0.59055118110236227" footer="0"/>
  <pageSetup paperSize="9" fitToHeight="0" orientation="portrait" verticalDpi="1200" r:id="rId1"/>
  <headerFooter>
    <oddHeader>&amp;R&amp;9&amp;P. leht &amp;N&amp; -st</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149"/>
  <sheetViews>
    <sheetView showGridLines="0" showRowColHeaders="0" tabSelected="1" zoomScaleNormal="100" workbookViewId="0">
      <pane ySplit="3" topLeftCell="A4" activePane="bottomLeft" state="frozen"/>
      <selection pane="bottomLeft" activeCell="N1" sqref="N1"/>
    </sheetView>
  </sheetViews>
  <sheetFormatPr defaultRowHeight="12.75" x14ac:dyDescent="0.2"/>
  <cols>
    <col min="1" max="1" width="3.28515625" style="62" customWidth="1"/>
    <col min="2" max="2" width="3" style="62" customWidth="1"/>
    <col min="3" max="3" width="3.28515625" style="62" customWidth="1"/>
    <col min="4" max="4" width="3" style="62" customWidth="1"/>
    <col min="5" max="5" width="10.5703125" style="62" customWidth="1"/>
    <col min="6" max="6" width="3" style="62" customWidth="1"/>
    <col min="7" max="7" width="6.7109375" style="62" customWidth="1"/>
    <col min="8" max="8" width="3" style="62" customWidth="1"/>
    <col min="9" max="9" width="8.28515625" style="62" customWidth="1"/>
    <col min="10" max="10" width="3" style="62" customWidth="1"/>
    <col min="11" max="11" width="22.7109375" style="62" customWidth="1"/>
    <col min="12" max="12" width="3" style="62" customWidth="1"/>
    <col min="13" max="13" width="22.7109375" style="62" customWidth="1"/>
    <col min="14" max="14" width="3" style="62" customWidth="1"/>
    <col min="15" max="15" width="9.140625" style="62" customWidth="1"/>
    <col min="16" max="16" width="29.42578125" style="62" customWidth="1"/>
    <col min="17" max="20" width="9.140625" style="62" customWidth="1"/>
    <col min="21" max="16384" width="9.140625" style="62"/>
  </cols>
  <sheetData>
    <row r="1" spans="1:19" x14ac:dyDescent="0.2">
      <c r="A1" s="325" t="s">
        <v>241</v>
      </c>
      <c r="B1" s="776"/>
      <c r="C1" s="77"/>
      <c r="D1" s="77"/>
      <c r="E1" s="776"/>
      <c r="F1" s="776"/>
      <c r="G1" s="77"/>
      <c r="H1" s="77"/>
      <c r="I1" s="77"/>
      <c r="J1" s="77"/>
      <c r="K1" s="77"/>
      <c r="L1" s="1039" t="s">
        <v>527</v>
      </c>
      <c r="N1" s="777"/>
      <c r="O1" s="77"/>
      <c r="P1" s="77"/>
      <c r="Q1" s="77"/>
      <c r="R1" s="77"/>
      <c r="S1" s="77"/>
    </row>
    <row r="2" spans="1:19" ht="13.5" thickBot="1" x14ac:dyDescent="0.25">
      <c r="A2" s="778"/>
      <c r="B2" s="77"/>
      <c r="C2" s="77"/>
      <c r="D2" s="77"/>
      <c r="E2" s="776"/>
      <c r="F2" s="776"/>
      <c r="G2" s="77"/>
      <c r="H2" s="77"/>
      <c r="I2" s="77"/>
      <c r="J2" s="77"/>
      <c r="K2" s="77"/>
      <c r="L2" s="408" t="str">
        <f>HYPERLINK("","")</f>
        <v/>
      </c>
      <c r="M2" s="77"/>
      <c r="N2" s="776"/>
      <c r="O2" s="77"/>
      <c r="P2" s="77"/>
      <c r="Q2" s="77"/>
      <c r="R2" s="77"/>
      <c r="S2" s="77"/>
    </row>
    <row r="3" spans="1:19" ht="13.5" thickBot="1" x14ac:dyDescent="0.25">
      <c r="A3" s="779" t="s">
        <v>67</v>
      </c>
      <c r="B3" s="780"/>
      <c r="C3" s="781" t="s">
        <v>68</v>
      </c>
      <c r="D3" s="780"/>
      <c r="E3" s="779" t="s">
        <v>69</v>
      </c>
      <c r="F3" s="780"/>
      <c r="G3" s="779" t="s">
        <v>70</v>
      </c>
      <c r="H3" s="780"/>
      <c r="I3" s="1515" t="s">
        <v>71</v>
      </c>
      <c r="J3" s="1516"/>
      <c r="K3" s="779" t="s">
        <v>72</v>
      </c>
      <c r="L3" s="780"/>
      <c r="M3" s="779" t="s">
        <v>73</v>
      </c>
      <c r="N3" s="780"/>
      <c r="O3" s="77"/>
      <c r="P3" s="77"/>
      <c r="Q3" s="77"/>
      <c r="R3" s="77"/>
      <c r="S3" s="77"/>
    </row>
    <row r="4" spans="1:19" ht="13.5" thickBot="1" x14ac:dyDescent="0.25">
      <c r="A4" s="66" t="s">
        <v>234</v>
      </c>
      <c r="B4" s="67"/>
      <c r="C4" s="68"/>
      <c r="D4" s="737"/>
      <c r="E4" s="70"/>
      <c r="F4" s="69"/>
      <c r="G4" s="70"/>
      <c r="H4" s="69"/>
      <c r="I4" s="69"/>
      <c r="J4" s="69"/>
      <c r="K4" s="70"/>
      <c r="L4" s="69"/>
      <c r="M4" s="70"/>
      <c r="N4" s="69"/>
      <c r="O4" s="71"/>
      <c r="P4" s="71"/>
      <c r="Q4" s="71"/>
      <c r="R4" s="71"/>
      <c r="S4" s="71"/>
    </row>
    <row r="5" spans="1:19" x14ac:dyDescent="0.2">
      <c r="A5" s="743"/>
      <c r="B5" s="744">
        <v>7</v>
      </c>
      <c r="C5" s="745"/>
      <c r="D5" s="744">
        <v>8</v>
      </c>
      <c r="E5" s="745"/>
      <c r="F5" s="744">
        <v>9</v>
      </c>
      <c r="G5" s="745"/>
      <c r="H5" s="744">
        <v>10</v>
      </c>
      <c r="I5" s="746"/>
      <c r="J5" s="744">
        <v>11</v>
      </c>
      <c r="K5" s="746"/>
      <c r="L5" s="744">
        <v>12</v>
      </c>
      <c r="M5" s="1195" t="str">
        <f>HYPERLINK("#V1!$A$5","Voka III sise-KV 1. etapp")</f>
        <v>Voka III sise-KV 1. etapp</v>
      </c>
      <c r="N5" s="352">
        <v>13</v>
      </c>
      <c r="O5" s="376"/>
      <c r="P5" s="71"/>
      <c r="Q5" s="71"/>
      <c r="R5" s="71"/>
      <c r="S5" s="71"/>
    </row>
    <row r="6" spans="1:19" x14ac:dyDescent="0.2">
      <c r="A6" s="73"/>
      <c r="B6" s="782"/>
      <c r="C6" s="70"/>
      <c r="D6" s="74"/>
      <c r="E6" s="70"/>
      <c r="F6" s="782"/>
      <c r="G6" s="70"/>
      <c r="H6" s="74"/>
      <c r="I6" s="75"/>
      <c r="J6" s="74"/>
      <c r="K6" s="75"/>
      <c r="L6" s="74"/>
      <c r="M6" s="1193" t="s">
        <v>74</v>
      </c>
      <c r="N6" s="751"/>
      <c r="O6" s="71"/>
      <c r="P6" s="71"/>
      <c r="Q6" s="71"/>
      <c r="R6" s="71"/>
      <c r="S6" s="71"/>
    </row>
    <row r="7" spans="1:19" ht="13.5" thickBot="1" x14ac:dyDescent="0.25">
      <c r="A7" s="747"/>
      <c r="B7" s="783"/>
      <c r="C7" s="748"/>
      <c r="D7" s="749"/>
      <c r="E7" s="748"/>
      <c r="F7" s="783"/>
      <c r="G7" s="748"/>
      <c r="H7" s="749"/>
      <c r="I7" s="750"/>
      <c r="J7" s="749"/>
      <c r="K7" s="750"/>
      <c r="L7" s="749"/>
      <c r="M7" s="1196" t="str">
        <f>HYPERLINK("https://kaart.delfi.ee/?bookmark=236e0f8de3f3d8e7138807663f9b5d14","Voka petangihall")</f>
        <v>Voka petangihall</v>
      </c>
      <c r="N7" s="395"/>
      <c r="O7" s="71"/>
      <c r="P7" s="71"/>
      <c r="Q7" s="71"/>
      <c r="R7" s="71"/>
      <c r="S7" s="71"/>
    </row>
    <row r="8" spans="1:19" x14ac:dyDescent="0.2">
      <c r="A8" s="743"/>
      <c r="B8" s="744">
        <v>14</v>
      </c>
      <c r="C8" s="745"/>
      <c r="D8" s="744">
        <v>15</v>
      </c>
      <c r="E8" s="745"/>
      <c r="F8" s="744">
        <v>16</v>
      </c>
      <c r="G8" s="745"/>
      <c r="H8" s="744">
        <v>17</v>
      </c>
      <c r="I8" s="746"/>
      <c r="J8" s="744">
        <v>18</v>
      </c>
      <c r="K8" s="746"/>
      <c r="L8" s="744">
        <v>19</v>
      </c>
      <c r="M8" s="1197" t="str">
        <f>HYPERLINK("http://www.valgapetank.ee/moodul.php?moodul=CMS&amp;Komponent=NewsFront&amp;f=viewNews&amp;id=283","Valga sisehooaja avavõistlus")</f>
        <v>Valga sisehooaja avavõistlus</v>
      </c>
      <c r="N8" s="352">
        <v>20</v>
      </c>
      <c r="O8" s="376"/>
      <c r="P8" s="71"/>
      <c r="Q8" s="71"/>
      <c r="R8" s="71"/>
      <c r="S8" s="71"/>
    </row>
    <row r="9" spans="1:19" hidden="1" x14ac:dyDescent="0.2">
      <c r="A9" s="73"/>
      <c r="B9" s="782"/>
      <c r="C9" s="70"/>
      <c r="D9" s="74"/>
      <c r="E9" s="70"/>
      <c r="F9" s="782"/>
      <c r="G9" s="70"/>
      <c r="H9" s="74"/>
      <c r="I9" s="75"/>
      <c r="J9" s="74"/>
      <c r="K9" s="75"/>
      <c r="L9" s="74"/>
      <c r="M9" s="1198" t="s">
        <v>75</v>
      </c>
      <c r="N9" s="358"/>
      <c r="O9" s="70"/>
      <c r="P9" s="71"/>
      <c r="Q9" s="71"/>
      <c r="R9" s="71"/>
      <c r="S9" s="71"/>
    </row>
    <row r="10" spans="1:19" ht="13.5" thickBot="1" x14ac:dyDescent="0.25">
      <c r="A10" s="747"/>
      <c r="B10" s="783"/>
      <c r="C10" s="748"/>
      <c r="D10" s="749"/>
      <c r="E10" s="748"/>
      <c r="F10" s="783"/>
      <c r="G10" s="748"/>
      <c r="H10" s="749"/>
      <c r="I10" s="750"/>
      <c r="J10" s="749"/>
      <c r="K10" s="750"/>
      <c r="L10" s="749"/>
      <c r="M10" s="1199" t="str">
        <f>HYPERLINK("https://kaart.delfi.ee/?bookmark=cf0b53e184e309b424705dc86fb45753","Valga petangihall")</f>
        <v>Valga petangihall</v>
      </c>
      <c r="N10" s="389"/>
      <c r="O10" s="71"/>
      <c r="P10" s="71"/>
      <c r="Q10" s="71"/>
      <c r="R10" s="71"/>
      <c r="S10" s="71"/>
    </row>
    <row r="11" spans="1:19" x14ac:dyDescent="0.2">
      <c r="A11" s="73"/>
      <c r="B11" s="742">
        <v>21</v>
      </c>
      <c r="C11" s="70"/>
      <c r="D11" s="742">
        <v>22</v>
      </c>
      <c r="E11" s="70"/>
      <c r="F11" s="851">
        <v>23</v>
      </c>
      <c r="G11" s="1208" t="str">
        <f>HYPERLINK("#'V-n3'!$A$5","Voka")</f>
        <v>Voka</v>
      </c>
      <c r="H11" s="742">
        <v>24</v>
      </c>
      <c r="I11" s="75"/>
      <c r="J11" s="742">
        <v>25</v>
      </c>
      <c r="K11" s="70"/>
      <c r="L11" s="742">
        <v>26</v>
      </c>
      <c r="M11" s="1200" t="str">
        <f>HYPERLINK("http://www.petanque.ee/index.php?id=103785&amp;cid=694","Eesti reiting")</f>
        <v>Eesti reiting</v>
      </c>
      <c r="N11" s="86">
        <v>27</v>
      </c>
      <c r="O11" s="415"/>
      <c r="Q11" s="327"/>
      <c r="R11" s="327"/>
      <c r="S11" s="327"/>
    </row>
    <row r="12" spans="1:19" x14ac:dyDescent="0.2">
      <c r="A12" s="73"/>
      <c r="B12" s="784"/>
      <c r="C12" s="70"/>
      <c r="D12" s="74"/>
      <c r="E12" s="70"/>
      <c r="F12" s="71"/>
      <c r="G12" s="1209" t="str">
        <f>HYPERLINK("#'V-n3'!$A$5","3. noorteturniir")</f>
        <v>3. noorteturniir</v>
      </c>
      <c r="H12" s="752"/>
      <c r="I12" s="75"/>
      <c r="J12" s="74"/>
      <c r="K12" s="70"/>
      <c r="L12" s="74"/>
      <c r="M12" s="1201" t="s">
        <v>75</v>
      </c>
      <c r="N12" s="358"/>
      <c r="O12" s="312"/>
      <c r="Q12" s="327"/>
      <c r="R12" s="327"/>
      <c r="S12" s="327"/>
    </row>
    <row r="13" spans="1:19" x14ac:dyDescent="0.2">
      <c r="A13" s="73"/>
      <c r="B13" s="71"/>
      <c r="C13" s="73"/>
      <c r="D13" s="358"/>
      <c r="E13" s="70"/>
      <c r="F13" s="71"/>
      <c r="G13" s="1210" t="s">
        <v>300</v>
      </c>
      <c r="H13" s="752"/>
      <c r="I13" s="377"/>
      <c r="J13" s="69"/>
      <c r="K13" s="73"/>
      <c r="L13" s="358"/>
      <c r="M13" s="1202" t="str">
        <f>HYPERLINK("https://kaart.delfi.ee/?bookmark=0807568cf7d8a03cedbb545921254497","Tallinn, Algi 38")</f>
        <v>Tallinn, Algi 38</v>
      </c>
      <c r="N13" s="358"/>
      <c r="O13" s="312"/>
      <c r="Q13" s="327"/>
      <c r="R13" s="327"/>
      <c r="S13" s="327"/>
    </row>
    <row r="14" spans="1:19" x14ac:dyDescent="0.2">
      <c r="A14" s="73"/>
      <c r="B14" s="71"/>
      <c r="C14" s="73"/>
      <c r="D14" s="358"/>
      <c r="E14" s="70"/>
      <c r="F14" s="71"/>
      <c r="G14" s="1209" t="str">
        <f>HYPERLINK("https://kaart.delfi.ee/?bookmark=236e0f8de3f3d8e7138807663f9b5d14","Voka petangihall")</f>
        <v>Voka petangihall</v>
      </c>
      <c r="H14" s="752"/>
      <c r="I14" s="108"/>
      <c r="J14" s="69"/>
      <c r="K14" s="73"/>
      <c r="L14" s="358"/>
      <c r="M14" s="1203" t="str">
        <f>HYPERLINK("#V2!$A$5","Voka III sise-KV 2. etapp")</f>
        <v>Voka III sise-KV 2. etapp</v>
      </c>
      <c r="N14" s="394"/>
      <c r="O14" s="312"/>
      <c r="P14" s="327"/>
      <c r="Q14" s="327"/>
      <c r="R14" s="327"/>
      <c r="S14" s="327"/>
    </row>
    <row r="15" spans="1:19" x14ac:dyDescent="0.2">
      <c r="A15" s="73"/>
      <c r="B15" s="71"/>
      <c r="C15" s="73"/>
      <c r="D15" s="358"/>
      <c r="E15" s="70"/>
      <c r="F15" s="71"/>
      <c r="G15" s="1423"/>
      <c r="H15" s="1424"/>
      <c r="I15" s="108"/>
      <c r="J15" s="69"/>
      <c r="K15" s="73"/>
      <c r="L15" s="358"/>
      <c r="M15" s="774" t="s">
        <v>74</v>
      </c>
      <c r="N15" s="751"/>
      <c r="O15" s="312"/>
      <c r="P15" s="327"/>
      <c r="Q15" s="327"/>
      <c r="R15" s="327"/>
      <c r="S15" s="327"/>
    </row>
    <row r="16" spans="1:19" ht="13.5" thickBot="1" x14ac:dyDescent="0.25">
      <c r="A16" s="747"/>
      <c r="B16" s="786"/>
      <c r="C16" s="747"/>
      <c r="D16" s="389"/>
      <c r="E16" s="748"/>
      <c r="F16" s="786"/>
      <c r="G16" s="1211"/>
      <c r="H16" s="753"/>
      <c r="I16" s="754"/>
      <c r="J16" s="387"/>
      <c r="K16" s="747"/>
      <c r="L16" s="389"/>
      <c r="M16" s="1204" t="str">
        <f>HYPERLINK("https://kaart.delfi.ee/?bookmark=236e0f8de3f3d8e7138807663f9b5d14","Voka petangihall")</f>
        <v>Voka petangihall</v>
      </c>
      <c r="N16" s="395"/>
      <c r="O16" s="312"/>
      <c r="P16" s="327"/>
      <c r="Q16" s="327"/>
      <c r="R16" s="327"/>
      <c r="S16" s="327"/>
    </row>
    <row r="17" spans="1:19" ht="13.5" thickBot="1" x14ac:dyDescent="0.25">
      <c r="A17" s="89" t="s">
        <v>235</v>
      </c>
      <c r="B17" s="787"/>
      <c r="C17" s="788"/>
      <c r="D17" s="738"/>
      <c r="E17" s="397"/>
      <c r="F17" s="397"/>
      <c r="G17" s="396"/>
      <c r="H17" s="396"/>
      <c r="I17" s="396"/>
      <c r="J17" s="396"/>
      <c r="K17" s="398"/>
      <c r="L17" s="398"/>
      <c r="M17" s="398"/>
      <c r="N17" s="399"/>
      <c r="O17" s="379"/>
      <c r="P17" s="77"/>
      <c r="Q17" s="77"/>
      <c r="R17" s="77"/>
      <c r="S17" s="77"/>
    </row>
    <row r="18" spans="1:19" x14ac:dyDescent="0.2">
      <c r="A18" s="883"/>
      <c r="B18" s="83">
        <v>28</v>
      </c>
      <c r="C18" s="354"/>
      <c r="D18" s="81">
        <v>29</v>
      </c>
      <c r="E18" s="82"/>
      <c r="F18" s="388">
        <v>30</v>
      </c>
      <c r="G18" s="72"/>
      <c r="H18" s="884">
        <v>31</v>
      </c>
      <c r="I18" s="356"/>
      <c r="J18" s="388">
        <v>1</v>
      </c>
      <c r="K18" s="72"/>
      <c r="L18" s="83">
        <v>2</v>
      </c>
      <c r="M18" s="1205"/>
      <c r="N18" s="885">
        <v>3</v>
      </c>
      <c r="O18" s="312"/>
      <c r="P18" s="327"/>
      <c r="Q18" s="327"/>
      <c r="R18" s="327"/>
      <c r="S18" s="327"/>
    </row>
    <row r="19" spans="1:19" hidden="1" x14ac:dyDescent="0.2">
      <c r="A19" s="886"/>
      <c r="B19" s="782"/>
      <c r="C19" s="70"/>
      <c r="D19" s="69"/>
      <c r="E19" s="84"/>
      <c r="F19" s="784"/>
      <c r="G19" s="70"/>
      <c r="H19" s="355"/>
      <c r="I19" s="357"/>
      <c r="J19" s="358"/>
      <c r="K19" s="69"/>
      <c r="L19" s="74"/>
      <c r="M19" s="71"/>
      <c r="N19" s="358"/>
      <c r="O19" s="312"/>
      <c r="P19" s="327"/>
      <c r="Q19" s="702"/>
      <c r="R19" s="327"/>
      <c r="S19" s="327"/>
    </row>
    <row r="20" spans="1:19" ht="13.5" thickBot="1" x14ac:dyDescent="0.25">
      <c r="A20" s="73"/>
      <c r="B20" s="782"/>
      <c r="C20" s="70"/>
      <c r="D20" s="69"/>
      <c r="E20" s="84"/>
      <c r="F20" s="1425"/>
      <c r="G20" s="70"/>
      <c r="H20" s="355"/>
      <c r="I20" s="357"/>
      <c r="J20" s="88"/>
      <c r="K20" s="69"/>
      <c r="L20" s="74"/>
      <c r="M20" s="71"/>
      <c r="N20" s="88"/>
      <c r="O20" s="312"/>
      <c r="P20" s="327"/>
      <c r="Q20" s="327"/>
      <c r="R20" s="327"/>
      <c r="S20" s="327"/>
    </row>
    <row r="21" spans="1:19" x14ac:dyDescent="0.2">
      <c r="A21" s="1426"/>
      <c r="B21" s="1427">
        <v>4</v>
      </c>
      <c r="C21" s="1428"/>
      <c r="D21" s="1427">
        <v>5</v>
      </c>
      <c r="E21" s="1429"/>
      <c r="F21" s="1427">
        <v>6</v>
      </c>
      <c r="G21" s="1430"/>
      <c r="H21" s="1427">
        <v>7</v>
      </c>
      <c r="I21" s="72"/>
      <c r="J21" s="1431">
        <v>8</v>
      </c>
      <c r="K21" s="353" t="str">
        <f>HYPERLINK("http://www.petanque.ee/index.php?id=103681&amp;cid=699","Eesti sise-MV")</f>
        <v>Eesti sise-MV</v>
      </c>
      <c r="L21" s="1432">
        <v>9</v>
      </c>
      <c r="M21" s="1433" t="str">
        <f>HYPERLINK("http://www.petanque.ee/index.php?id=103681&amp;cid=700","Eesti reiting")</f>
        <v>Eesti reiting</v>
      </c>
      <c r="N21" s="1434">
        <v>10</v>
      </c>
      <c r="O21" s="791"/>
      <c r="P21" s="77"/>
      <c r="Q21" s="77"/>
      <c r="R21" s="776"/>
      <c r="S21" s="776"/>
    </row>
    <row r="22" spans="1:19" x14ac:dyDescent="0.2">
      <c r="A22" s="792"/>
      <c r="B22" s="125"/>
      <c r="C22" s="136"/>
      <c r="D22" s="125"/>
      <c r="E22" s="789"/>
      <c r="F22" s="793"/>
      <c r="G22" s="790"/>
      <c r="H22" s="793"/>
      <c r="I22" s="70"/>
      <c r="J22" s="87"/>
      <c r="K22" s="829" t="s">
        <v>76</v>
      </c>
      <c r="L22" s="74"/>
      <c r="M22" s="829" t="s">
        <v>75</v>
      </c>
      <c r="N22" s="88"/>
      <c r="O22" s="791"/>
      <c r="P22" s="77"/>
      <c r="Q22" s="77"/>
      <c r="R22" s="776"/>
      <c r="S22" s="776"/>
    </row>
    <row r="23" spans="1:19" x14ac:dyDescent="0.2">
      <c r="A23" s="792"/>
      <c r="B23" s="125"/>
      <c r="C23" s="136"/>
      <c r="D23" s="125"/>
      <c r="E23" s="789"/>
      <c r="F23" s="793"/>
      <c r="G23" s="790"/>
      <c r="H23" s="775"/>
      <c r="I23" s="84"/>
      <c r="J23" s="117"/>
      <c r="K23" s="567" t="str">
        <f>HYPERLINK("https://kaart.delfi.ee/?bookmark=0807568cf7d8a03cedbb545921254497","Tallinn, Algi 38")</f>
        <v>Tallinn, Algi 38</v>
      </c>
      <c r="L23" s="74"/>
      <c r="M23" s="1178" t="str">
        <f>HYPERLINK("https://kaart.delfi.ee/?bookmark=0807568cf7d8a03cedbb545921254497","Tallinn, Algi 38")</f>
        <v>Tallinn, Algi 38</v>
      </c>
      <c r="N23" s="887"/>
      <c r="O23" s="379"/>
      <c r="P23" s="77"/>
      <c r="Q23" s="77"/>
      <c r="R23" s="77"/>
      <c r="S23" s="77"/>
    </row>
    <row r="24" spans="1:19" x14ac:dyDescent="0.2">
      <c r="A24" s="792"/>
      <c r="B24" s="125"/>
      <c r="C24" s="136"/>
      <c r="D24" s="125"/>
      <c r="E24" s="789"/>
      <c r="F24" s="793"/>
      <c r="G24" s="790"/>
      <c r="H24" s="775"/>
      <c r="I24" s="84"/>
      <c r="J24" s="117"/>
      <c r="K24" s="567"/>
      <c r="L24" s="69"/>
      <c r="M24" s="1203" t="str">
        <f>HYPERLINK("#V3!$A$5","Voka III sise-KV 3. etapp")</f>
        <v>Voka III sise-KV 3. etapp</v>
      </c>
      <c r="N24" s="394"/>
      <c r="O24" s="379"/>
      <c r="P24" s="77"/>
      <c r="Q24" s="77"/>
      <c r="R24" s="77"/>
      <c r="S24" s="77"/>
    </row>
    <row r="25" spans="1:19" x14ac:dyDescent="0.2">
      <c r="A25" s="792"/>
      <c r="B25" s="125"/>
      <c r="C25" s="136"/>
      <c r="D25" s="125"/>
      <c r="E25" s="789"/>
      <c r="F25" s="793"/>
      <c r="G25" s="790"/>
      <c r="H25" s="775"/>
      <c r="I25" s="84"/>
      <c r="J25" s="117"/>
      <c r="K25" s="567"/>
      <c r="L25" s="69"/>
      <c r="M25" s="1206" t="s">
        <v>74</v>
      </c>
      <c r="N25" s="85"/>
      <c r="O25" s="379"/>
      <c r="P25" s="77"/>
      <c r="Q25" s="77"/>
      <c r="R25" s="77"/>
      <c r="S25" s="77"/>
    </row>
    <row r="26" spans="1:19" x14ac:dyDescent="0.2">
      <c r="A26" s="792"/>
      <c r="B26" s="125"/>
      <c r="C26" s="136"/>
      <c r="D26" s="125"/>
      <c r="E26" s="789"/>
      <c r="F26" s="793"/>
      <c r="G26" s="794"/>
      <c r="H26" s="795"/>
      <c r="I26" s="570"/>
      <c r="J26" s="571"/>
      <c r="K26" s="568"/>
      <c r="L26" s="569"/>
      <c r="M26" s="1207" t="str">
        <f>HYPERLINK("https://kaart.delfi.ee/?bookmark=236e0f8de3f3d8e7138807663f9b5d14","Voka petangihall")</f>
        <v>Voka petangihall</v>
      </c>
      <c r="N26" s="888"/>
      <c r="O26" s="379"/>
      <c r="P26" s="77"/>
      <c r="Q26" s="77"/>
      <c r="R26" s="77"/>
      <c r="S26" s="77"/>
    </row>
    <row r="27" spans="1:19" ht="13.5" thickBot="1" x14ac:dyDescent="0.25">
      <c r="A27" s="792"/>
      <c r="B27" s="125"/>
      <c r="C27" s="136"/>
      <c r="D27" s="125"/>
      <c r="E27" s="789"/>
      <c r="F27" s="793"/>
      <c r="G27" s="796"/>
      <c r="H27" s="797"/>
      <c r="I27" s="740"/>
      <c r="J27" s="798" t="s">
        <v>244</v>
      </c>
      <c r="K27" s="799"/>
      <c r="L27" s="740"/>
      <c r="M27" s="741"/>
      <c r="N27" s="889" t="str">
        <f>HYPERLINK("https://www.tropheedesvilles.fr/programme/","ajakava")</f>
        <v>ajakava</v>
      </c>
      <c r="O27" s="379"/>
      <c r="P27" s="77"/>
      <c r="Q27" s="77"/>
      <c r="R27" s="77"/>
      <c r="S27" s="77"/>
    </row>
    <row r="28" spans="1:19" x14ac:dyDescent="0.2">
      <c r="A28" s="890"/>
      <c r="B28" s="891">
        <v>11</v>
      </c>
      <c r="C28" s="892"/>
      <c r="D28" s="891">
        <v>12</v>
      </c>
      <c r="E28" s="893"/>
      <c r="F28" s="891">
        <v>13</v>
      </c>
      <c r="G28" s="894"/>
      <c r="H28" s="891">
        <v>14</v>
      </c>
      <c r="I28" s="894"/>
      <c r="J28" s="891">
        <v>15</v>
      </c>
      <c r="K28" s="894"/>
      <c r="L28" s="895">
        <v>16</v>
      </c>
      <c r="M28" s="894"/>
      <c r="N28" s="896">
        <v>17</v>
      </c>
      <c r="O28" s="791"/>
      <c r="P28" s="77"/>
      <c r="Q28" s="77"/>
      <c r="R28" s="776"/>
      <c r="S28" s="776"/>
    </row>
    <row r="29" spans="1:19" hidden="1" x14ac:dyDescent="0.2">
      <c r="A29" s="792"/>
      <c r="B29" s="125"/>
      <c r="C29" s="136"/>
      <c r="D29" s="793"/>
      <c r="E29" s="789"/>
      <c r="F29" s="793"/>
      <c r="G29" s="790"/>
      <c r="H29" s="793"/>
      <c r="I29" s="790"/>
      <c r="J29" s="793"/>
      <c r="K29" s="790"/>
      <c r="L29" s="135"/>
      <c r="M29" s="790"/>
      <c r="N29" s="88"/>
      <c r="O29" s="791"/>
      <c r="P29" s="77"/>
      <c r="Q29" s="77"/>
      <c r="R29" s="776"/>
      <c r="S29" s="776"/>
    </row>
    <row r="30" spans="1:19" ht="13.5" thickBot="1" x14ac:dyDescent="0.25">
      <c r="A30" s="897"/>
      <c r="B30" s="898"/>
      <c r="C30" s="899"/>
      <c r="D30" s="898"/>
      <c r="E30" s="900"/>
      <c r="F30" s="901"/>
      <c r="G30" s="902"/>
      <c r="H30" s="901"/>
      <c r="I30" s="902"/>
      <c r="J30" s="901"/>
      <c r="K30" s="903"/>
      <c r="L30" s="904"/>
      <c r="M30" s="903"/>
      <c r="N30" s="904"/>
      <c r="O30" s="379"/>
      <c r="P30" s="77"/>
      <c r="Q30" s="77"/>
      <c r="R30" s="77"/>
      <c r="S30" s="776"/>
    </row>
    <row r="31" spans="1:19" x14ac:dyDescent="0.2">
      <c r="A31" s="905"/>
      <c r="B31" s="364">
        <v>18</v>
      </c>
      <c r="C31" s="362"/>
      <c r="D31" s="364">
        <v>19</v>
      </c>
      <c r="E31" s="362"/>
      <c r="F31" s="364">
        <v>20</v>
      </c>
      <c r="G31" s="362"/>
      <c r="H31" s="906">
        <v>21</v>
      </c>
      <c r="I31" s="362"/>
      <c r="J31" s="907">
        <v>22</v>
      </c>
      <c r="K31" s="1192" t="str">
        <f>HYPERLINK("#V4!$A$5","Voka III sise-KV 4. etapp")</f>
        <v>Voka III sise-KV 4. etapp</v>
      </c>
      <c r="L31" s="363">
        <v>23</v>
      </c>
      <c r="M31" s="362"/>
      <c r="N31" s="370">
        <v>24</v>
      </c>
      <c r="O31" s="791"/>
      <c r="P31" s="77"/>
      <c r="Q31" s="77"/>
      <c r="R31" s="776"/>
      <c r="S31" s="776"/>
    </row>
    <row r="32" spans="1:19" x14ac:dyDescent="0.2">
      <c r="A32" s="574"/>
      <c r="B32" s="575"/>
      <c r="C32" s="365"/>
      <c r="D32" s="572"/>
      <c r="E32" s="574"/>
      <c r="F32" s="575"/>
      <c r="G32" s="365"/>
      <c r="H32" s="572"/>
      <c r="I32" s="574"/>
      <c r="J32" s="575"/>
      <c r="K32" s="1193" t="s">
        <v>74</v>
      </c>
      <c r="L32" s="573"/>
      <c r="M32" s="574"/>
      <c r="N32" s="575"/>
      <c r="O32" s="791"/>
      <c r="P32" s="77"/>
      <c r="Q32" s="77"/>
      <c r="R32" s="776"/>
      <c r="S32" s="776"/>
    </row>
    <row r="33" spans="1:19" x14ac:dyDescent="0.2">
      <c r="A33" s="574"/>
      <c r="B33" s="575"/>
      <c r="C33" s="577"/>
      <c r="D33" s="578"/>
      <c r="E33" s="577"/>
      <c r="F33" s="579"/>
      <c r="G33" s="368"/>
      <c r="H33" s="578"/>
      <c r="I33" s="577"/>
      <c r="J33" s="579"/>
      <c r="K33" s="1194" t="str">
        <f>HYPERLINK("https://kaart.delfi.ee/?bookmark=236e0f8de3f3d8e7138807663f9b5d14","Voka petangihall")</f>
        <v>Voka petangihall</v>
      </c>
      <c r="L33" s="580"/>
      <c r="M33" s="574"/>
      <c r="N33" s="575"/>
      <c r="O33" s="791"/>
      <c r="P33" s="77"/>
      <c r="Q33" s="77"/>
      <c r="R33" s="776"/>
      <c r="S33" s="776"/>
    </row>
    <row r="34" spans="1:19" x14ac:dyDescent="0.2">
      <c r="A34" s="802"/>
      <c r="B34" s="369"/>
      <c r="C34" s="633" t="str">
        <f>HYPERLINK("https://fipjp.org/images/cambodia/programmCAMBODIA.pdf","ajakava")</f>
        <v>ajakava</v>
      </c>
      <c r="D34" s="367"/>
      <c r="E34" s="367"/>
      <c r="F34" s="366"/>
      <c r="G34" s="373"/>
      <c r="H34" s="803"/>
      <c r="I34" s="803"/>
      <c r="J34" s="367"/>
      <c r="K34" s="367"/>
      <c r="L34" s="581" t="s">
        <v>373</v>
      </c>
      <c r="M34" s="574"/>
      <c r="N34" s="576"/>
      <c r="O34" s="791"/>
      <c r="P34" s="776"/>
      <c r="Q34" s="776"/>
      <c r="R34" s="776"/>
      <c r="S34" s="776"/>
    </row>
    <row r="35" spans="1:19" ht="13.5" thickBot="1" x14ac:dyDescent="0.25">
      <c r="A35" s="908"/>
      <c r="B35" s="909"/>
      <c r="C35" s="910" t="str">
        <f>HYPERLINK("https://fipjp.org/images/cambodia/teams/cambodiaWOMEN.pdf","osalejad (naised)")</f>
        <v>osalejad (naised)</v>
      </c>
      <c r="D35" s="911"/>
      <c r="E35" s="912"/>
      <c r="F35" s="913"/>
      <c r="G35" s="912" t="s">
        <v>242</v>
      </c>
      <c r="H35" s="914"/>
      <c r="I35" s="913"/>
      <c r="J35" s="913"/>
      <c r="K35" s="912"/>
      <c r="L35" s="915" t="str">
        <f>HYPERLINK("https://fipjp.org/index.php/en/","tul")</f>
        <v>tul</v>
      </c>
      <c r="M35" s="916"/>
      <c r="N35" s="917"/>
      <c r="O35" s="791"/>
      <c r="P35" s="776"/>
      <c r="Q35" s="776"/>
      <c r="R35" s="776"/>
      <c r="S35" s="776"/>
    </row>
    <row r="36" spans="1:19" ht="13.5" thickBot="1" x14ac:dyDescent="0.25">
      <c r="A36" s="89" t="s">
        <v>236</v>
      </c>
      <c r="B36" s="787"/>
      <c r="C36" s="788"/>
      <c r="D36" s="649"/>
      <c r="E36" s="91"/>
      <c r="F36" s="90"/>
      <c r="G36" s="91"/>
      <c r="H36" s="92"/>
      <c r="I36" s="90"/>
      <c r="J36" s="92"/>
      <c r="K36" s="72"/>
      <c r="L36" s="93"/>
      <c r="M36" s="72"/>
      <c r="N36" s="93"/>
      <c r="O36" s="379"/>
      <c r="P36" s="77"/>
      <c r="Q36" s="77"/>
      <c r="R36" s="776"/>
      <c r="S36" s="776"/>
    </row>
    <row r="37" spans="1:19" x14ac:dyDescent="0.2">
      <c r="A37" s="119"/>
      <c r="B37" s="360">
        <v>25</v>
      </c>
      <c r="C37" s="604"/>
      <c r="D37" s="360">
        <v>26</v>
      </c>
      <c r="E37" s="119"/>
      <c r="F37" s="360">
        <v>27</v>
      </c>
      <c r="G37" s="119"/>
      <c r="H37" s="137">
        <v>28</v>
      </c>
      <c r="I37" s="858"/>
      <c r="J37" s="859">
        <v>29</v>
      </c>
      <c r="K37" s="860"/>
      <c r="L37" s="861">
        <v>30</v>
      </c>
      <c r="M37" s="860"/>
      <c r="N37" s="862">
        <v>1</v>
      </c>
      <c r="O37" s="791"/>
      <c r="P37" s="776"/>
      <c r="Q37" s="776"/>
      <c r="R37" s="776"/>
      <c r="S37" s="776"/>
    </row>
    <row r="38" spans="1:19" x14ac:dyDescent="0.2">
      <c r="A38" s="124"/>
      <c r="B38" s="125"/>
      <c r="C38" s="136"/>
      <c r="D38" s="125"/>
      <c r="E38" s="124"/>
      <c r="F38" s="793"/>
      <c r="G38" s="790"/>
      <c r="H38" s="126"/>
      <c r="I38" s="371"/>
      <c r="J38" s="372"/>
      <c r="K38" s="373"/>
      <c r="L38" s="374"/>
      <c r="M38" s="366"/>
      <c r="N38" s="863" t="s">
        <v>446</v>
      </c>
      <c r="O38" s="791"/>
      <c r="P38" s="776"/>
      <c r="Q38" s="776"/>
      <c r="R38" s="776"/>
      <c r="S38" s="776"/>
    </row>
    <row r="39" spans="1:19" ht="13.5" thickBot="1" x14ac:dyDescent="0.25">
      <c r="A39" s="124"/>
      <c r="B39" s="125"/>
      <c r="C39" s="136"/>
      <c r="D39" s="125"/>
      <c r="E39" s="124"/>
      <c r="F39" s="793"/>
      <c r="G39" s="790"/>
      <c r="H39" s="126"/>
      <c r="I39" s="390"/>
      <c r="J39" s="391"/>
      <c r="K39" s="392"/>
      <c r="L39" s="393" t="str">
        <f>HYPERLINK("https://www.google.com/maps/place/34+Impasse+des+Rouyeres,+16710+Saint-Yrieix-sur-Charente,+France/@45.691087,0.1434799,17z/data=!3m1!4b1!4m5!3m4!1s0x47fe2e199ca6e37d:0xd3c639b38a9a2239!8m2!3d45.691087!4d0.1456686","Saint-Yrieix-sur-Charente")</f>
        <v>Saint-Yrieix-sur-Charente</v>
      </c>
      <c r="M39" s="375"/>
      <c r="N39" s="864"/>
      <c r="O39" s="791"/>
      <c r="P39" s="776"/>
      <c r="Q39" s="776"/>
      <c r="R39" s="776"/>
      <c r="S39" s="776"/>
    </row>
    <row r="40" spans="1:19" ht="13.5" thickTop="1" x14ac:dyDescent="0.2">
      <c r="A40" s="94"/>
      <c r="B40" s="95">
        <v>2</v>
      </c>
      <c r="C40" s="96"/>
      <c r="D40" s="95">
        <v>3</v>
      </c>
      <c r="E40" s="94"/>
      <c r="F40" s="95">
        <v>4</v>
      </c>
      <c r="G40" s="97"/>
      <c r="H40" s="95">
        <v>5</v>
      </c>
      <c r="I40" s="124"/>
      <c r="J40" s="86">
        <v>6</v>
      </c>
      <c r="K40" s="1192" t="str">
        <f>HYPERLINK("#V5!$A$5","Voka III sise-KV 5. etapp")</f>
        <v>Voka III sise-KV 5. etapp</v>
      </c>
      <c r="L40" s="359">
        <v>7</v>
      </c>
      <c r="M40" s="1189" t="str">
        <f>HYPERLINK("http://www.petanque.ee/index.php?id=103785&amp;cid=698","Eesti sise-MV")</f>
        <v>Eesti sise-MV</v>
      </c>
      <c r="N40" s="865">
        <v>8</v>
      </c>
      <c r="O40" s="379"/>
      <c r="P40" s="77"/>
      <c r="Q40" s="77"/>
      <c r="R40" s="77"/>
      <c r="S40" s="77"/>
    </row>
    <row r="41" spans="1:19" x14ac:dyDescent="0.2">
      <c r="A41" s="98"/>
      <c r="B41" s="99"/>
      <c r="C41" s="100"/>
      <c r="D41" s="99"/>
      <c r="E41" s="98"/>
      <c r="F41" s="99"/>
      <c r="G41" s="101"/>
      <c r="H41" s="99"/>
      <c r="I41" s="124"/>
      <c r="J41" s="804"/>
      <c r="K41" s="1193" t="s">
        <v>74</v>
      </c>
      <c r="L41" s="805"/>
      <c r="M41" s="1190" t="s">
        <v>77</v>
      </c>
      <c r="N41" s="135"/>
      <c r="O41" s="379"/>
      <c r="P41" s="77"/>
      <c r="Q41" s="77"/>
      <c r="R41" s="77"/>
      <c r="S41" s="77"/>
    </row>
    <row r="42" spans="1:19" ht="13.5" thickBot="1" x14ac:dyDescent="0.25">
      <c r="A42" s="98"/>
      <c r="B42" s="99"/>
      <c r="C42" s="100"/>
      <c r="D42" s="99"/>
      <c r="E42" s="98"/>
      <c r="F42" s="99"/>
      <c r="G42" s="102"/>
      <c r="H42" s="99"/>
      <c r="I42" s="124"/>
      <c r="J42" s="804"/>
      <c r="K42" s="1180" t="str">
        <f>HYPERLINK("https://kaart.delfi.ee/?bookmark=236e0f8de3f3d8e7138807663f9b5d14","Voka petangihall")</f>
        <v>Voka petangihall</v>
      </c>
      <c r="L42" s="820"/>
      <c r="M42" s="1191" t="str">
        <f>HYPERLINK("https://kaart.delfi.ee/?bookmark=0807568cf7d8a03cedbb545921254497","Tallinn, Algi 38")</f>
        <v>Tallinn, Algi 38</v>
      </c>
      <c r="N42" s="866"/>
      <c r="O42" s="379"/>
      <c r="P42" s="77"/>
      <c r="Q42" s="77"/>
      <c r="R42" s="77"/>
      <c r="S42" s="77"/>
    </row>
    <row r="43" spans="1:19" x14ac:dyDescent="0.2">
      <c r="A43" s="103"/>
      <c r="B43" s="867">
        <v>9</v>
      </c>
      <c r="C43" s="104"/>
      <c r="D43" s="867">
        <v>10</v>
      </c>
      <c r="E43" s="103"/>
      <c r="F43" s="867">
        <v>11</v>
      </c>
      <c r="G43" s="103"/>
      <c r="H43" s="867">
        <v>12</v>
      </c>
      <c r="I43" s="105"/>
      <c r="J43" s="867">
        <v>13</v>
      </c>
      <c r="K43" s="105"/>
      <c r="L43" s="384">
        <v>14</v>
      </c>
      <c r="M43" s="105"/>
      <c r="N43" s="384">
        <v>15</v>
      </c>
      <c r="O43" s="379"/>
      <c r="P43" s="77"/>
      <c r="Q43" s="77"/>
      <c r="R43" s="77"/>
      <c r="S43" s="77"/>
    </row>
    <row r="44" spans="1:19" hidden="1" x14ac:dyDescent="0.2">
      <c r="A44" s="98"/>
      <c r="B44" s="99"/>
      <c r="C44" s="100"/>
      <c r="D44" s="99"/>
      <c r="E44" s="100"/>
      <c r="F44" s="99"/>
      <c r="G44" s="98"/>
      <c r="H44" s="99"/>
      <c r="I44" s="106"/>
      <c r="J44" s="99"/>
      <c r="K44" s="106"/>
      <c r="L44" s="99"/>
      <c r="M44" s="106"/>
      <c r="N44" s="107"/>
      <c r="O44" s="77"/>
      <c r="P44" s="77"/>
      <c r="Q44" s="77"/>
      <c r="R44" s="77"/>
      <c r="S44" s="77"/>
    </row>
    <row r="45" spans="1:19" ht="13.5" thickBot="1" x14ac:dyDescent="0.25">
      <c r="A45" s="868"/>
      <c r="B45" s="869"/>
      <c r="C45" s="870"/>
      <c r="D45" s="869"/>
      <c r="E45" s="870"/>
      <c r="F45" s="869"/>
      <c r="G45" s="870"/>
      <c r="H45" s="869"/>
      <c r="I45" s="687"/>
      <c r="J45" s="869"/>
      <c r="K45" s="687"/>
      <c r="L45" s="854"/>
      <c r="M45" s="687"/>
      <c r="N45" s="871"/>
      <c r="O45" s="77"/>
      <c r="P45" s="77"/>
      <c r="Q45" s="77"/>
      <c r="R45" s="77"/>
      <c r="S45" s="77"/>
    </row>
    <row r="46" spans="1:19" x14ac:dyDescent="0.2">
      <c r="A46" s="103"/>
      <c r="B46" s="109">
        <v>16</v>
      </c>
      <c r="C46" s="103"/>
      <c r="D46" s="867">
        <v>17</v>
      </c>
      <c r="E46" s="103"/>
      <c r="F46" s="109">
        <v>18</v>
      </c>
      <c r="G46" s="103"/>
      <c r="H46" s="867">
        <v>19</v>
      </c>
      <c r="I46" s="103"/>
      <c r="J46" s="867">
        <v>20</v>
      </c>
      <c r="K46" s="103"/>
      <c r="L46" s="110">
        <v>21</v>
      </c>
      <c r="M46" s="1159" t="str">
        <f>HYPERLINK("#V6!$A$5","Voka III sise-KV 6. etapp")</f>
        <v>Voka III sise-KV 6. etapp</v>
      </c>
      <c r="N46" s="872">
        <v>22</v>
      </c>
      <c r="O46" s="77"/>
      <c r="P46" s="77"/>
      <c r="Q46" s="77"/>
      <c r="R46" s="77"/>
      <c r="S46" s="77"/>
    </row>
    <row r="47" spans="1:19" x14ac:dyDescent="0.2">
      <c r="A47" s="98"/>
      <c r="B47" s="106"/>
      <c r="C47" s="98"/>
      <c r="D47" s="99"/>
      <c r="E47" s="98"/>
      <c r="F47" s="106"/>
      <c r="G47" s="98"/>
      <c r="H47" s="99"/>
      <c r="I47" s="98"/>
      <c r="J47" s="125"/>
      <c r="K47" s="98"/>
      <c r="L47" s="126"/>
      <c r="M47" s="685" t="s">
        <v>74</v>
      </c>
      <c r="N47" s="634"/>
      <c r="O47" s="77"/>
      <c r="P47" s="77"/>
      <c r="Q47" s="77"/>
      <c r="R47" s="77"/>
      <c r="S47" s="77"/>
    </row>
    <row r="48" spans="1:19" ht="13.5" thickBot="1" x14ac:dyDescent="0.25">
      <c r="A48" s="868"/>
      <c r="B48" s="870"/>
      <c r="C48" s="868"/>
      <c r="D48" s="869"/>
      <c r="E48" s="873"/>
      <c r="F48" s="869"/>
      <c r="G48" s="868"/>
      <c r="H48" s="869"/>
      <c r="I48" s="868"/>
      <c r="J48" s="125"/>
      <c r="K48" s="868"/>
      <c r="L48" s="125"/>
      <c r="M48" s="1180" t="str">
        <f>HYPERLINK("https://kaart.delfi.ee/?bookmark=236e0f8de3f3d8e7138807663f9b5d14","Voka petangihall")</f>
        <v>Voka petangihall</v>
      </c>
      <c r="N48" s="634"/>
      <c r="O48" s="77"/>
      <c r="P48" s="77"/>
      <c r="Q48" s="77"/>
      <c r="R48" s="77"/>
      <c r="S48" s="77"/>
    </row>
    <row r="49" spans="1:19" x14ac:dyDescent="0.2">
      <c r="A49" s="103"/>
      <c r="B49" s="109">
        <v>23</v>
      </c>
      <c r="C49" s="103"/>
      <c r="D49" s="874">
        <v>24</v>
      </c>
      <c r="E49" s="1181" t="str">
        <f>HYPERLINK("#'V-jh'!$A$5","''Jõuluhane''")</f>
        <v>''Jõuluhane''</v>
      </c>
      <c r="F49" s="874">
        <v>25</v>
      </c>
      <c r="G49" s="104"/>
      <c r="H49" s="874">
        <v>26</v>
      </c>
      <c r="I49" s="112"/>
      <c r="J49" s="867">
        <v>27</v>
      </c>
      <c r="K49" s="103"/>
      <c r="L49" s="872">
        <v>28</v>
      </c>
      <c r="M49" s="1181" t="str">
        <f>HYPERLINK("#'V-se'!$A$5","Aastalõpu ''Seeneturniir''")</f>
        <v>Aastalõpu ''Seeneturniir''</v>
      </c>
      <c r="N49" s="872">
        <v>29</v>
      </c>
      <c r="O49" s="77"/>
      <c r="P49" s="77"/>
      <c r="Q49" s="77"/>
      <c r="R49" s="77"/>
      <c r="S49" s="77"/>
    </row>
    <row r="50" spans="1:19" x14ac:dyDescent="0.2">
      <c r="A50" s="98"/>
      <c r="B50" s="106"/>
      <c r="C50" s="98"/>
      <c r="D50" s="99"/>
      <c r="E50" s="1182" t="s">
        <v>399</v>
      </c>
      <c r="F50" s="640"/>
      <c r="G50" s="124"/>
      <c r="H50" s="99"/>
      <c r="I50" s="98"/>
      <c r="J50" s="99"/>
      <c r="K50" s="98"/>
      <c r="L50" s="125"/>
      <c r="M50" s="1182" t="s">
        <v>74</v>
      </c>
      <c r="N50" s="648"/>
      <c r="O50" s="77"/>
      <c r="P50" s="77"/>
      <c r="Q50" s="77"/>
      <c r="R50" s="77"/>
      <c r="S50" s="77"/>
    </row>
    <row r="51" spans="1:19" ht="13.5" thickBot="1" x14ac:dyDescent="0.25">
      <c r="A51" s="868"/>
      <c r="B51" s="687"/>
      <c r="C51" s="868"/>
      <c r="D51" s="869"/>
      <c r="E51" s="1188" t="s">
        <v>74</v>
      </c>
      <c r="F51" s="875"/>
      <c r="G51" s="602"/>
      <c r="H51" s="869"/>
      <c r="I51" s="868"/>
      <c r="J51" s="869"/>
      <c r="K51" s="868"/>
      <c r="L51" s="856"/>
      <c r="M51" s="1183" t="str">
        <f>HYPERLINK("https://kaart.delfi.ee/?bookmark=236e0f8de3f3d8e7138807663f9b5d14","Voka petangihall")</f>
        <v>Voka petangihall</v>
      </c>
      <c r="N51" s="876"/>
      <c r="O51" s="77"/>
      <c r="P51" s="77"/>
      <c r="Q51" s="77"/>
      <c r="R51" s="77"/>
      <c r="S51" s="77"/>
    </row>
    <row r="52" spans="1:19" ht="13.5" thickBot="1" x14ac:dyDescent="0.25">
      <c r="A52" s="76" t="s">
        <v>237</v>
      </c>
      <c r="B52" s="139"/>
      <c r="C52" s="807"/>
      <c r="D52" s="739"/>
      <c r="E52" s="136"/>
      <c r="F52" s="126"/>
      <c r="G52" s="808"/>
      <c r="H52" s="775"/>
      <c r="I52" s="126"/>
      <c r="J52" s="776"/>
      <c r="K52" s="140"/>
      <c r="L52" s="138"/>
      <c r="M52" s="299"/>
      <c r="N52" s="138"/>
      <c r="O52" s="77"/>
      <c r="P52" s="77"/>
      <c r="Q52" s="77"/>
      <c r="R52" s="77"/>
      <c r="S52" s="77"/>
    </row>
    <row r="53" spans="1:19" x14ac:dyDescent="0.2">
      <c r="A53" s="103"/>
      <c r="B53" s="137">
        <v>30</v>
      </c>
      <c r="C53" s="103"/>
      <c r="D53" s="639">
        <v>31</v>
      </c>
      <c r="E53" s="104"/>
      <c r="F53" s="874">
        <v>1</v>
      </c>
      <c r="G53" s="119"/>
      <c r="H53" s="867">
        <v>2</v>
      </c>
      <c r="I53" s="113"/>
      <c r="J53" s="867">
        <v>3</v>
      </c>
      <c r="K53" s="103"/>
      <c r="L53" s="384">
        <v>4</v>
      </c>
      <c r="M53" s="1159" t="str">
        <f>HYPERLINK("#V7!$A$5","Voka III sise-KV 7. etapp")</f>
        <v>Voka III sise-KV 7. etapp</v>
      </c>
      <c r="N53" s="384">
        <v>5</v>
      </c>
      <c r="O53" s="77"/>
      <c r="P53" s="77"/>
      <c r="Q53" s="77"/>
      <c r="R53" s="77"/>
      <c r="S53" s="77"/>
    </row>
    <row r="54" spans="1:19" x14ac:dyDescent="0.2">
      <c r="A54" s="98"/>
      <c r="B54" s="106"/>
      <c r="C54" s="98"/>
      <c r="D54" s="382"/>
      <c r="E54" s="100"/>
      <c r="F54" s="99"/>
      <c r="G54" s="124"/>
      <c r="H54" s="106"/>
      <c r="I54" s="115"/>
      <c r="J54" s="99"/>
      <c r="K54" s="98"/>
      <c r="L54" s="125"/>
      <c r="M54" s="685" t="s">
        <v>74</v>
      </c>
      <c r="N54" s="634"/>
      <c r="O54" s="77"/>
      <c r="P54" s="77"/>
      <c r="Q54" s="77"/>
      <c r="R54" s="77"/>
      <c r="S54" s="77"/>
    </row>
    <row r="55" spans="1:19" ht="13.5" thickBot="1" x14ac:dyDescent="0.25">
      <c r="A55" s="116"/>
      <c r="B55" s="381"/>
      <c r="C55" s="116"/>
      <c r="D55" s="132"/>
      <c r="E55" s="100"/>
      <c r="F55" s="117"/>
      <c r="G55" s="124"/>
      <c r="H55" s="118"/>
      <c r="I55" s="115"/>
      <c r="J55" s="118"/>
      <c r="K55" s="98"/>
      <c r="L55" s="125"/>
      <c r="M55" s="1025" t="str">
        <f>HYPERLINK("https://kaart.delfi.ee/?bookmark=236e0f8de3f3d8e7138807663f9b5d14","Voka petangihall")</f>
        <v>Voka petangihall</v>
      </c>
      <c r="N55" s="634"/>
      <c r="O55" s="77"/>
      <c r="P55" s="77"/>
      <c r="Q55" s="77"/>
      <c r="R55" s="77"/>
      <c r="S55" s="77"/>
    </row>
    <row r="56" spans="1:19" ht="13.5" thickTop="1" x14ac:dyDescent="0.2">
      <c r="A56" s="124"/>
      <c r="B56" s="133">
        <v>6</v>
      </c>
      <c r="C56" s="136"/>
      <c r="D56" s="133">
        <v>7</v>
      </c>
      <c r="E56" s="119"/>
      <c r="F56" s="360">
        <v>8</v>
      </c>
      <c r="G56" s="801"/>
      <c r="H56" s="360">
        <v>9</v>
      </c>
      <c r="I56" s="809"/>
      <c r="J56" s="360">
        <v>10</v>
      </c>
      <c r="K56" s="1166" t="str">
        <f>HYPERLINK("#'T-ü'!$A$5","Toila valla lahtine sise-MV")</f>
        <v>Toila valla lahtine sise-MV</v>
      </c>
      <c r="L56" s="384">
        <v>11</v>
      </c>
      <c r="M56" s="1166" t="str">
        <f>HYPERLINK("#'Vi-t'!$A$5","Viru SK liikmete sise-MV")</f>
        <v>Viru SK liikmete sise-MV</v>
      </c>
      <c r="N56" s="384">
        <v>12</v>
      </c>
      <c r="O56" s="77"/>
      <c r="P56" s="77"/>
      <c r="Q56" s="77"/>
      <c r="R56" s="77"/>
      <c r="S56" s="77"/>
    </row>
    <row r="57" spans="1:19" s="53" customFormat="1" x14ac:dyDescent="0.2">
      <c r="A57" s="124"/>
      <c r="B57" s="125"/>
      <c r="C57" s="136"/>
      <c r="D57" s="125"/>
      <c r="E57" s="124"/>
      <c r="F57" s="126"/>
      <c r="G57" s="134"/>
      <c r="H57" s="125"/>
      <c r="I57" s="126"/>
      <c r="J57" s="126"/>
      <c r="K57" s="1163" t="s">
        <v>300</v>
      </c>
      <c r="L57" s="810"/>
      <c r="M57" s="836" t="s">
        <v>463</v>
      </c>
      <c r="N57" s="810"/>
      <c r="O57" s="379"/>
      <c r="P57" s="379"/>
      <c r="Q57" s="379"/>
      <c r="R57" s="379"/>
      <c r="S57" s="379"/>
    </row>
    <row r="58" spans="1:19" s="53" customFormat="1" x14ac:dyDescent="0.2">
      <c r="A58" s="124"/>
      <c r="B58" s="125"/>
      <c r="C58" s="136"/>
      <c r="D58" s="125"/>
      <c r="E58" s="124"/>
      <c r="F58" s="126"/>
      <c r="G58" s="134"/>
      <c r="H58" s="125"/>
      <c r="I58" s="126"/>
      <c r="J58" s="126"/>
      <c r="K58" s="1164" t="str">
        <f>HYPERLINK("https://kaart.delfi.ee/?bookmark=236e0f8de3f3d8e7138807663f9b5d14","Voka petangihall")</f>
        <v>Voka petangihall</v>
      </c>
      <c r="L58" s="811"/>
      <c r="M58" s="1164" t="str">
        <f>HYPERLINK("https://kaart.delfi.ee/?bookmark=236e0f8de3f3d8e7138807663f9b5d14","Voka petangihall")</f>
        <v>Voka petangihall</v>
      </c>
      <c r="N58" s="811"/>
      <c r="O58" s="379"/>
      <c r="P58" s="379"/>
      <c r="Q58" s="379"/>
      <c r="R58" s="379"/>
      <c r="S58" s="379"/>
    </row>
    <row r="59" spans="1:19" s="53" customFormat="1" x14ac:dyDescent="0.2">
      <c r="A59" s="124"/>
      <c r="B59" s="125"/>
      <c r="C59" s="136"/>
      <c r="D59" s="125"/>
      <c r="E59" s="124"/>
      <c r="F59" s="126"/>
      <c r="G59" s="134"/>
      <c r="H59" s="125"/>
      <c r="I59" s="126"/>
      <c r="J59" s="126"/>
      <c r="K59" s="1168" t="str">
        <f>HYPERLINK("https://www.petanque.ee/index.php?id=103798&amp;cid=709","3. Klubide sari, 1. etapp")</f>
        <v>3. Klubide sari, 1. etapp</v>
      </c>
      <c r="L59" s="1187" t="s">
        <v>358</v>
      </c>
      <c r="M59" s="1184"/>
      <c r="N59" s="135"/>
      <c r="O59" s="379"/>
      <c r="P59" s="379"/>
      <c r="Q59" s="379"/>
      <c r="R59" s="379"/>
      <c r="S59" s="379"/>
    </row>
    <row r="60" spans="1:19" ht="13.5" thickBot="1" x14ac:dyDescent="0.25">
      <c r="A60" s="954"/>
      <c r="B60" s="856"/>
      <c r="C60" s="959"/>
      <c r="D60" s="877"/>
      <c r="E60" s="954"/>
      <c r="F60" s="961"/>
      <c r="G60" s="962"/>
      <c r="H60" s="877"/>
      <c r="I60" s="961"/>
      <c r="J60" s="878"/>
      <c r="K60" s="1167" t="str">
        <f>HYPERLINK("https://kaart.delfi.ee/?bookmark=0807568cf7d8a03cedbb545921254497","Tallinn, Algi 38")</f>
        <v>Tallinn, Algi 38</v>
      </c>
      <c r="L60" s="960"/>
      <c r="M60" s="1185"/>
      <c r="N60" s="856"/>
      <c r="O60" s="77"/>
      <c r="P60" s="77"/>
      <c r="Q60" s="77"/>
      <c r="R60" s="77"/>
      <c r="S60" s="77"/>
    </row>
    <row r="61" spans="1:19" x14ac:dyDescent="0.2">
      <c r="A61" s="124"/>
      <c r="B61" s="133">
        <v>13</v>
      </c>
      <c r="C61" s="136"/>
      <c r="D61" s="133">
        <v>14</v>
      </c>
      <c r="E61" s="789"/>
      <c r="F61" s="133">
        <v>15</v>
      </c>
      <c r="G61" s="790"/>
      <c r="H61" s="133">
        <v>16</v>
      </c>
      <c r="I61" s="775"/>
      <c r="J61" s="816">
        <v>17</v>
      </c>
      <c r="K61" s="785"/>
      <c r="L61" s="817">
        <v>18</v>
      </c>
      <c r="M61" s="1186" t="str">
        <f>HYPERLINK("#V8!$A$5","Voka III sise-KV 8. etapp")</f>
        <v>Voka III sise-KV 8. etapp</v>
      </c>
      <c r="N61" s="817">
        <v>19</v>
      </c>
      <c r="O61" s="77"/>
      <c r="P61" s="77"/>
      <c r="Q61" s="77"/>
      <c r="R61" s="77"/>
      <c r="S61" s="77"/>
    </row>
    <row r="62" spans="1:19" x14ac:dyDescent="0.2">
      <c r="A62" s="124"/>
      <c r="B62" s="125"/>
      <c r="C62" s="136"/>
      <c r="D62" s="125"/>
      <c r="E62" s="124"/>
      <c r="F62" s="125"/>
      <c r="G62" s="134"/>
      <c r="H62" s="125"/>
      <c r="I62" s="126"/>
      <c r="J62" s="879"/>
      <c r="K62" s="819"/>
      <c r="L62" s="135"/>
      <c r="M62" s="685" t="s">
        <v>74</v>
      </c>
      <c r="N62" s="805"/>
      <c r="O62" s="77"/>
      <c r="P62" s="77"/>
      <c r="Q62" s="77"/>
      <c r="R62" s="77"/>
      <c r="S62" s="77"/>
    </row>
    <row r="63" spans="1:19" x14ac:dyDescent="0.2">
      <c r="A63" s="124"/>
      <c r="B63" s="125"/>
      <c r="C63" s="136"/>
      <c r="D63" s="125"/>
      <c r="E63" s="124"/>
      <c r="F63" s="125"/>
      <c r="G63" s="134"/>
      <c r="H63" s="125"/>
      <c r="I63" s="126"/>
      <c r="J63" s="818"/>
      <c r="K63" s="819"/>
      <c r="L63" s="135"/>
      <c r="M63" s="686" t="str">
        <f>HYPERLINK("https://kaart.delfi.ee/?bookmark=236e0f8de3f3d8e7138807663f9b5d14","Voka petangihall")</f>
        <v>Voka petangihall</v>
      </c>
      <c r="N63" s="820"/>
      <c r="O63" s="77"/>
      <c r="P63" s="77"/>
      <c r="Q63" s="77"/>
      <c r="R63" s="77"/>
      <c r="S63" s="77"/>
    </row>
    <row r="64" spans="1:19" hidden="1" x14ac:dyDescent="0.2">
      <c r="A64" s="124"/>
      <c r="B64" s="125"/>
      <c r="C64" s="136"/>
      <c r="D64" s="125"/>
      <c r="E64" s="124"/>
      <c r="F64" s="125"/>
      <c r="G64" s="134"/>
      <c r="H64" s="125"/>
      <c r="I64" s="126"/>
      <c r="J64" s="818"/>
      <c r="K64" s="821" t="str">
        <f>HYPERLINK("https://www.petanque.ee/index.php?id=103798&amp;cid=711","EM katsevõistlus (n),TRIO eelv")</f>
        <v>EM katsevõistlus (n),TRIO eelv</v>
      </c>
      <c r="L64" s="850"/>
      <c r="M64" s="822" t="str">
        <f>HYPERLINK("https://www.petanque.ee/index.php?id=103798&amp;cid=712","EM katsevõistlus (n), TRIO pf")</f>
        <v>EM katsevõistlus (n), TRIO pf</v>
      </c>
      <c r="N64" s="849"/>
      <c r="O64" s="77"/>
      <c r="P64" s="77"/>
      <c r="Q64" s="77"/>
      <c r="R64" s="77"/>
      <c r="S64" s="77"/>
    </row>
    <row r="65" spans="1:19" hidden="1" x14ac:dyDescent="0.2">
      <c r="A65" s="124"/>
      <c r="B65" s="125"/>
      <c r="C65" s="136"/>
      <c r="D65" s="125"/>
      <c r="E65" s="789"/>
      <c r="F65" s="793"/>
      <c r="G65" s="790"/>
      <c r="H65" s="793"/>
      <c r="I65" s="775"/>
      <c r="J65" s="812"/>
      <c r="K65" s="823" t="s">
        <v>75</v>
      </c>
      <c r="L65" s="125"/>
      <c r="M65" s="823" t="s">
        <v>359</v>
      </c>
      <c r="N65" s="125"/>
      <c r="O65" s="77"/>
      <c r="P65" s="77"/>
      <c r="Q65" s="77"/>
      <c r="R65" s="77"/>
      <c r="S65" s="77"/>
    </row>
    <row r="66" spans="1:19" ht="13.5" thickBot="1" x14ac:dyDescent="0.25">
      <c r="A66" s="602"/>
      <c r="B66" s="856"/>
      <c r="C66" s="606"/>
      <c r="D66" s="856"/>
      <c r="E66" s="828"/>
      <c r="F66" s="877"/>
      <c r="G66" s="815"/>
      <c r="H66" s="877"/>
      <c r="I66" s="815"/>
      <c r="J66" s="824"/>
      <c r="K66" s="880" t="str">
        <f>HYPERLINK("https://www.petanque.ee/index.php?id=103798&amp;cid=711","EM katsevõistlus (n),TRIO eelvoor, poolfinaal")</f>
        <v>EM katsevõistlus (n),TRIO eelvoor, poolfinaal</v>
      </c>
      <c r="L66" s="856"/>
      <c r="M66" s="880"/>
      <c r="N66" s="881" t="str">
        <f>HYPERLINK("https://kaart.delfi.ee/?bookmark=0807568cf7d8a03cedbb545921254497","Tallinn, Algi 38")</f>
        <v>Tallinn, Algi 38</v>
      </c>
      <c r="O66" s="77"/>
      <c r="P66" s="77"/>
      <c r="Q66" s="77"/>
      <c r="R66" s="77"/>
      <c r="S66" s="77"/>
    </row>
    <row r="67" spans="1:19" x14ac:dyDescent="0.2">
      <c r="A67" s="119"/>
      <c r="B67" s="360">
        <v>20</v>
      </c>
      <c r="C67" s="604"/>
      <c r="D67" s="121">
        <v>21</v>
      </c>
      <c r="E67" s="800"/>
      <c r="F67" s="360">
        <v>22</v>
      </c>
      <c r="G67" s="801"/>
      <c r="H67" s="121">
        <v>23</v>
      </c>
      <c r="I67" s="112"/>
      <c r="J67" s="360">
        <v>24</v>
      </c>
      <c r="K67" s="119"/>
      <c r="L67" s="137">
        <v>25</v>
      </c>
      <c r="M67" s="1174" t="str">
        <f>HYPERLINK("#'iv-ü'!$A$5","Ida-Virumaa sise-MV")</f>
        <v>Ida-Virumaa sise-MV</v>
      </c>
      <c r="N67" s="384">
        <v>26</v>
      </c>
      <c r="O67" s="77"/>
      <c r="P67" s="77"/>
      <c r="Q67" s="77"/>
      <c r="R67" s="77"/>
      <c r="S67" s="77"/>
    </row>
    <row r="68" spans="1:19" x14ac:dyDescent="0.2">
      <c r="A68" s="124"/>
      <c r="B68" s="125"/>
      <c r="C68" s="136"/>
      <c r="D68" s="126"/>
      <c r="E68" s="789"/>
      <c r="F68" s="793"/>
      <c r="G68" s="790"/>
      <c r="H68" s="775"/>
      <c r="I68" s="98"/>
      <c r="J68" s="825"/>
      <c r="K68" s="124"/>
      <c r="L68" s="125"/>
      <c r="M68" s="1155" t="s">
        <v>300</v>
      </c>
      <c r="N68" s="826"/>
      <c r="O68" s="77"/>
      <c r="P68" s="77"/>
      <c r="Q68" s="77"/>
      <c r="R68" s="77"/>
      <c r="S68" s="77"/>
    </row>
    <row r="69" spans="1:19" ht="13.5" thickBot="1" x14ac:dyDescent="0.25">
      <c r="A69" s="602"/>
      <c r="B69" s="856"/>
      <c r="C69" s="606"/>
      <c r="D69" s="603"/>
      <c r="E69" s="828"/>
      <c r="F69" s="877"/>
      <c r="G69" s="815"/>
      <c r="H69" s="814"/>
      <c r="I69" s="601"/>
      <c r="J69" s="877"/>
      <c r="K69" s="602"/>
      <c r="L69" s="856"/>
      <c r="M69" s="1175" t="str">
        <f>HYPERLINK("https://kaart.delfi.ee/?bookmark=236e0f8de3f3d8e7138807663f9b5d14","Voka petangihall")</f>
        <v>Voka petangihall</v>
      </c>
      <c r="N69" s="882"/>
      <c r="O69" s="77"/>
      <c r="P69" s="77"/>
      <c r="Q69" s="77"/>
      <c r="R69" s="77"/>
      <c r="S69" s="77"/>
    </row>
    <row r="70" spans="1:19" ht="13.5" thickBot="1" x14ac:dyDescent="0.25">
      <c r="A70" s="76" t="s">
        <v>238</v>
      </c>
      <c r="B70" s="139"/>
      <c r="C70" s="807"/>
      <c r="D70" s="650"/>
      <c r="E70" s="100"/>
      <c r="F70" s="100"/>
      <c r="G70" s="106"/>
      <c r="H70" s="106"/>
      <c r="I70" s="106"/>
      <c r="J70" s="106"/>
      <c r="K70" s="106"/>
      <c r="L70" s="106"/>
      <c r="M70" s="1176"/>
      <c r="N70" s="106"/>
      <c r="O70" s="77"/>
      <c r="P70" s="77"/>
      <c r="Q70" s="77"/>
      <c r="R70" s="77"/>
      <c r="S70" s="77"/>
    </row>
    <row r="71" spans="1:19" x14ac:dyDescent="0.2">
      <c r="A71" s="119"/>
      <c r="B71" s="360">
        <v>27</v>
      </c>
      <c r="C71" s="119"/>
      <c r="D71" s="360">
        <v>28</v>
      </c>
      <c r="E71" s="119"/>
      <c r="F71" s="121">
        <v>29</v>
      </c>
      <c r="G71" s="122"/>
      <c r="H71" s="121">
        <v>30</v>
      </c>
      <c r="I71" s="122"/>
      <c r="J71" s="123">
        <v>31</v>
      </c>
      <c r="K71" s="1179" t="str">
        <f>HYPERLINK("https://www.petanque.ee/index.php?id=103798&amp;cid=713","Eesti sise-MV")</f>
        <v>Eesti sise-MV</v>
      </c>
      <c r="L71" s="384">
        <v>1</v>
      </c>
      <c r="M71" s="1177" t="str">
        <f>HYPERLINK("https://www.petanque.ee/index.php?id=103798&amp;cid=714","Eesti sise-MV")</f>
        <v>Eesti sise-MV</v>
      </c>
      <c r="N71" s="384">
        <v>2</v>
      </c>
      <c r="O71" s="77"/>
      <c r="P71" s="77"/>
      <c r="Q71" s="77"/>
      <c r="R71" s="77"/>
      <c r="S71" s="77"/>
    </row>
    <row r="72" spans="1:19" x14ac:dyDescent="0.2">
      <c r="A72" s="124"/>
      <c r="B72" s="125"/>
      <c r="C72" s="124"/>
      <c r="D72" s="125"/>
      <c r="E72" s="124"/>
      <c r="F72" s="126"/>
      <c r="G72" s="124"/>
      <c r="H72" s="126"/>
      <c r="I72" s="134"/>
      <c r="J72" s="361"/>
      <c r="K72" s="829" t="s">
        <v>300</v>
      </c>
      <c r="L72" s="125"/>
      <c r="M72" s="829" t="s">
        <v>356</v>
      </c>
      <c r="N72" s="125"/>
      <c r="O72" s="77"/>
      <c r="P72" s="77"/>
      <c r="Q72" s="77"/>
      <c r="R72" s="77"/>
      <c r="S72" s="77"/>
    </row>
    <row r="73" spans="1:19" x14ac:dyDescent="0.2">
      <c r="A73" s="124"/>
      <c r="B73" s="125"/>
      <c r="C73" s="124"/>
      <c r="D73" s="125"/>
      <c r="E73" s="124"/>
      <c r="F73" s="126"/>
      <c r="G73" s="124"/>
      <c r="H73" s="126"/>
      <c r="I73" s="134"/>
      <c r="J73" s="361"/>
      <c r="K73" s="598" t="str">
        <f>HYPERLINK("https://kaart.delfi.ee/?bookmark=0807568cf7d8a03cedbb545921254497","Tallinn, Algi 38")</f>
        <v>Tallinn, Algi 38</v>
      </c>
      <c r="L73" s="125"/>
      <c r="M73" s="1178" t="str">
        <f>HYPERLINK("https://kaart.delfi.ee/?bookmark=0807568cf7d8a03cedbb545921254497","Tallinn, Algi 38")</f>
        <v>Tallinn, Algi 38</v>
      </c>
      <c r="N73" s="846"/>
      <c r="O73" s="77"/>
      <c r="P73" s="77"/>
      <c r="Q73" s="77"/>
      <c r="R73" s="77"/>
      <c r="S73" s="77"/>
    </row>
    <row r="74" spans="1:19" x14ac:dyDescent="0.2">
      <c r="A74" s="124"/>
      <c r="B74" s="125"/>
      <c r="C74" s="124"/>
      <c r="D74" s="125"/>
      <c r="E74" s="124"/>
      <c r="F74" s="126"/>
      <c r="G74" s="124"/>
      <c r="H74" s="126"/>
      <c r="I74" s="134"/>
      <c r="J74" s="361"/>
      <c r="K74" s="785"/>
      <c r="L74" s="125"/>
      <c r="M74" s="1162" t="str">
        <f>HYPERLINK("#'T-d'!$A$5","Toila valla lahtine sise-MV")</f>
        <v>Toila valla lahtine sise-MV</v>
      </c>
      <c r="N74" s="857"/>
      <c r="O74" s="77"/>
      <c r="Q74" s="77"/>
      <c r="R74" s="77"/>
      <c r="S74" s="77"/>
    </row>
    <row r="75" spans="1:19" x14ac:dyDescent="0.2">
      <c r="A75" s="124"/>
      <c r="B75" s="125"/>
      <c r="C75" s="124"/>
      <c r="D75" s="125"/>
      <c r="E75" s="124"/>
      <c r="F75" s="126"/>
      <c r="G75" s="124"/>
      <c r="H75" s="126"/>
      <c r="I75" s="134"/>
      <c r="J75" s="361"/>
      <c r="K75" s="785"/>
      <c r="L75" s="125"/>
      <c r="M75" s="1163" t="s">
        <v>74</v>
      </c>
      <c r="N75" s="837"/>
      <c r="O75" s="77"/>
      <c r="Q75" s="77"/>
      <c r="R75" s="77"/>
      <c r="S75" s="77"/>
    </row>
    <row r="76" spans="1:19" ht="13.5" thickBot="1" x14ac:dyDescent="0.25">
      <c r="A76" s="128"/>
      <c r="B76" s="129"/>
      <c r="C76" s="128"/>
      <c r="D76" s="129"/>
      <c r="E76" s="128"/>
      <c r="F76" s="130"/>
      <c r="G76" s="131"/>
      <c r="H76" s="130"/>
      <c r="I76" s="131"/>
      <c r="J76" s="132"/>
      <c r="K76" s="1435"/>
      <c r="L76" s="1436"/>
      <c r="M76" s="1440" t="str">
        <f>HYPERLINK("https://kaart.delfi.ee/?bookmark=236e0f8de3f3d8e7138807663f9b5d14","Voka petangihall")</f>
        <v>Voka petangihall</v>
      </c>
      <c r="N76" s="1441"/>
      <c r="O76" s="77"/>
      <c r="Q76" s="77"/>
      <c r="R76" s="77"/>
      <c r="S76" s="77"/>
    </row>
    <row r="77" spans="1:19" ht="13.5" thickTop="1" x14ac:dyDescent="0.2">
      <c r="A77" s="124"/>
      <c r="B77" s="133">
        <v>3</v>
      </c>
      <c r="C77" s="124"/>
      <c r="D77" s="133">
        <v>4</v>
      </c>
      <c r="E77" s="124"/>
      <c r="F77" s="133">
        <v>5</v>
      </c>
      <c r="G77" s="134"/>
      <c r="H77" s="133">
        <v>6</v>
      </c>
      <c r="I77" s="134"/>
      <c r="J77" s="133">
        <v>7</v>
      </c>
      <c r="K77" s="1437"/>
      <c r="L77" s="1438">
        <v>8</v>
      </c>
      <c r="M77" s="1439" t="str">
        <f>HYPERLINK("#V9!$A$5","Voka III sise-KV 9. etapp")</f>
        <v>Voka III sise-KV 9. etapp</v>
      </c>
      <c r="N77" s="1438">
        <v>9</v>
      </c>
      <c r="O77" s="77"/>
      <c r="P77" s="77"/>
      <c r="Q77" s="77"/>
      <c r="R77" s="77"/>
      <c r="S77" s="77"/>
    </row>
    <row r="78" spans="1:19" x14ac:dyDescent="0.2">
      <c r="A78" s="124"/>
      <c r="B78" s="125"/>
      <c r="C78" s="124"/>
      <c r="D78" s="808"/>
      <c r="E78" s="124"/>
      <c r="F78" s="125"/>
      <c r="G78" s="134"/>
      <c r="H78" s="125"/>
      <c r="I78" s="134"/>
      <c r="J78" s="127"/>
      <c r="K78" s="124"/>
      <c r="L78" s="135"/>
      <c r="M78" s="1165" t="s">
        <v>74</v>
      </c>
      <c r="N78" s="805"/>
      <c r="O78" s="77"/>
      <c r="P78" s="77"/>
      <c r="Q78" s="77"/>
      <c r="R78" s="77"/>
      <c r="S78" s="77"/>
    </row>
    <row r="79" spans="1:19" ht="13.5" thickBot="1" x14ac:dyDescent="0.25">
      <c r="A79" s="124"/>
      <c r="B79" s="125"/>
      <c r="C79" s="124"/>
      <c r="D79" s="808"/>
      <c r="E79" s="124"/>
      <c r="F79" s="125"/>
      <c r="G79" s="134"/>
      <c r="H79" s="125"/>
      <c r="I79" s="599"/>
      <c r="J79" s="853"/>
      <c r="K79" s="602"/>
      <c r="L79" s="854"/>
      <c r="M79" s="686" t="str">
        <f>HYPERLINK("https://kaart.delfi.ee/?bookmark=236e0f8de3f3d8e7138807663f9b5d14","Voka petangihall")</f>
        <v>Voka petangihall</v>
      </c>
      <c r="N79" s="855"/>
      <c r="O79" s="77"/>
    </row>
    <row r="80" spans="1:19" x14ac:dyDescent="0.2">
      <c r="A80" s="119"/>
      <c r="B80" s="360">
        <v>10</v>
      </c>
      <c r="C80" s="119"/>
      <c r="D80" s="360">
        <v>11</v>
      </c>
      <c r="E80" s="119"/>
      <c r="F80" s="360">
        <v>12</v>
      </c>
      <c r="G80" s="122"/>
      <c r="H80" s="360">
        <v>13</v>
      </c>
      <c r="I80" s="134"/>
      <c r="J80" s="133">
        <v>14</v>
      </c>
      <c r="L80" s="817">
        <v>15</v>
      </c>
      <c r="M80" s="1166" t="str">
        <f>HYPERLINK("#'Vi-d'!$A$5","Viru SK liikmete sise-MV")</f>
        <v>Viru SK liikmete sise-MV</v>
      </c>
      <c r="N80" s="817">
        <v>16</v>
      </c>
      <c r="O80" s="77"/>
    </row>
    <row r="81" spans="1:19" x14ac:dyDescent="0.2">
      <c r="A81" s="124"/>
      <c r="B81" s="125"/>
      <c r="C81" s="124"/>
      <c r="D81" s="125"/>
      <c r="E81" s="124"/>
      <c r="F81" s="125"/>
      <c r="G81" s="134"/>
      <c r="H81" s="125"/>
      <c r="I81" s="134"/>
      <c r="J81" s="125"/>
      <c r="L81" s="125"/>
      <c r="M81" s="836" t="s">
        <v>74</v>
      </c>
      <c r="N81" s="837"/>
      <c r="O81" s="77"/>
    </row>
    <row r="82" spans="1:19" x14ac:dyDescent="0.2">
      <c r="A82" s="124"/>
      <c r="B82" s="125"/>
      <c r="C82" s="124"/>
      <c r="D82" s="125"/>
      <c r="E82" s="124"/>
      <c r="F82" s="125"/>
      <c r="G82" s="134"/>
      <c r="H82" s="125"/>
      <c r="I82" s="134"/>
      <c r="J82" s="125"/>
      <c r="K82" s="949"/>
      <c r="L82" s="125"/>
      <c r="M82" s="844" t="str">
        <f>HYPERLINK("https://kaart.delfi.ee/?bookmark=236e0f8de3f3d8e7138807663f9b5d14","Voka petangihall")</f>
        <v>Voka petangihall</v>
      </c>
      <c r="N82" s="845"/>
      <c r="O82" s="77"/>
    </row>
    <row r="83" spans="1:19" x14ac:dyDescent="0.2">
      <c r="A83" s="124"/>
      <c r="B83" s="125"/>
      <c r="C83" s="124"/>
      <c r="D83" s="125"/>
      <c r="E83" s="124"/>
      <c r="F83" s="125"/>
      <c r="G83" s="134"/>
      <c r="H83" s="125"/>
      <c r="I83" s="134"/>
      <c r="J83" s="125"/>
      <c r="K83" s="1168" t="str">
        <f>HYPERLINK("https://www.petanque.ee/index.php?id=103798&amp;cid=715","3. Klubide sari, 2. etapp")</f>
        <v>3. Klubide sari, 2. etapp</v>
      </c>
      <c r="L83" s="125"/>
      <c r="M83" s="1160" t="str">
        <f>HYPERLINK("https://www.petanque.ee/index.php?id=103798&amp;cid=716","3.Klubide sari, 2. etapp")</f>
        <v>3.Klubide sari, 2. etapp</v>
      </c>
      <c r="N83" s="732"/>
      <c r="O83" s="77"/>
    </row>
    <row r="84" spans="1:19" x14ac:dyDescent="0.2">
      <c r="A84" s="124"/>
      <c r="B84" s="125"/>
      <c r="C84" s="124"/>
      <c r="D84" s="125"/>
      <c r="E84" s="124"/>
      <c r="F84" s="125"/>
      <c r="G84" s="134"/>
      <c r="H84" s="125"/>
      <c r="I84" s="134"/>
      <c r="J84" s="125"/>
      <c r="K84" s="813" t="s">
        <v>358</v>
      </c>
      <c r="L84" s="125"/>
      <c r="M84" s="813" t="s">
        <v>358</v>
      </c>
      <c r="N84" s="125"/>
      <c r="O84" s="77"/>
    </row>
    <row r="85" spans="1:19" ht="13.5" thickBot="1" x14ac:dyDescent="0.25">
      <c r="A85" s="124"/>
      <c r="B85" s="125"/>
      <c r="C85" s="124"/>
      <c r="D85" s="125"/>
      <c r="E85" s="124"/>
      <c r="F85" s="125"/>
      <c r="G85" s="134"/>
      <c r="H85" s="125"/>
      <c r="I85" s="134"/>
      <c r="J85" s="125"/>
      <c r="K85" s="1167" t="str">
        <f>HYPERLINK("https://kaart.delfi.ee/?bookmark=0807568cf7d8a03cedbb545921254497","Tallinn, Algi 38")</f>
        <v>Tallinn, Algi 38</v>
      </c>
      <c r="L85" s="125"/>
      <c r="M85" s="1167" t="str">
        <f>HYPERLINK("https://kaart.delfi.ee/?bookmark=0807568cf7d8a03cedbb545921254497","Tallinn, Algi 38")</f>
        <v>Tallinn, Algi 38</v>
      </c>
      <c r="N85" s="125"/>
      <c r="O85" s="77"/>
    </row>
    <row r="86" spans="1:19" ht="15.75" x14ac:dyDescent="0.25">
      <c r="A86" s="119"/>
      <c r="B86" s="360">
        <v>17</v>
      </c>
      <c r="C86" s="119"/>
      <c r="D86" s="360">
        <v>18</v>
      </c>
      <c r="E86" s="119"/>
      <c r="F86" s="360">
        <v>19</v>
      </c>
      <c r="G86" s="119"/>
      <c r="H86" s="121">
        <v>20</v>
      </c>
      <c r="I86" s="1166" t="str">
        <f>HYPERLINK("#pl!$A$5","Pliks-plaks")</f>
        <v>Pliks-plaks</v>
      </c>
      <c r="J86" s="384">
        <v>21</v>
      </c>
      <c r="K86" s="1055" t="str">
        <f>HYPERLINK("#EW102!$A$5","Eesti Wabariik 102")</f>
        <v>Eesti Wabariik 102</v>
      </c>
      <c r="L86" s="137">
        <v>22</v>
      </c>
      <c r="M86" s="1168" t="str">
        <f>HYPERLINK("http://www.valgapetank.ee/Kalender","Valga lahtised sise-MV")</f>
        <v>Valga lahtised sise-MV</v>
      </c>
      <c r="N86" s="384">
        <v>23</v>
      </c>
      <c r="O86" s="77"/>
    </row>
    <row r="87" spans="1:19" x14ac:dyDescent="0.2">
      <c r="A87" s="124"/>
      <c r="B87" s="125"/>
      <c r="C87" s="124"/>
      <c r="D87" s="125"/>
      <c r="E87" s="124"/>
      <c r="F87" s="125"/>
      <c r="G87" s="124"/>
      <c r="H87" s="125"/>
      <c r="I87" s="836" t="s">
        <v>610</v>
      </c>
      <c r="J87" s="837"/>
      <c r="K87" s="1171" t="s">
        <v>75</v>
      </c>
      <c r="L87" s="834"/>
      <c r="M87" s="1169" t="s">
        <v>609</v>
      </c>
      <c r="N87" s="125"/>
      <c r="O87" s="77"/>
    </row>
    <row r="88" spans="1:19" ht="13.5" thickBot="1" x14ac:dyDescent="0.25">
      <c r="A88" s="124"/>
      <c r="B88" s="125"/>
      <c r="C88" s="124"/>
      <c r="D88" s="125"/>
      <c r="E88" s="124"/>
      <c r="F88" s="125"/>
      <c r="G88" s="124"/>
      <c r="H88" s="125"/>
      <c r="I88" s="1173" t="str">
        <f>HYPERLINK("https://kaart.delfi.ee/?bookmark=236e0f8de3f3d8e7138807663f9b5d14","Voka petangihall")</f>
        <v>Voka petangihall</v>
      </c>
      <c r="J88" s="837"/>
      <c r="K88" s="1172" t="str">
        <f>HYPERLINK("https://kaart.delfi.ee/?bookmark=236e0f8de3f3d8e7138807663f9b5d14","Voka petangihall")</f>
        <v>Voka petangihall</v>
      </c>
      <c r="L88" s="835" t="str">
        <f>HYPERLINK("https://webzone.ee/petank/juhendid/voka-ev102-juhend.pdf","juh")</f>
        <v>juh</v>
      </c>
      <c r="M88" s="1170" t="str">
        <f>HYPERLINK("https://kaart.delfi.ee/?bookmark=cf0b53e184e309b424705dc86fb45753","Valga petangihall")</f>
        <v>Valga petangihall</v>
      </c>
      <c r="N88" s="856"/>
      <c r="O88" s="379"/>
    </row>
    <row r="89" spans="1:19" ht="13.5" thickBot="1" x14ac:dyDescent="0.25">
      <c r="A89" s="1065"/>
      <c r="B89" s="1066">
        <v>24</v>
      </c>
      <c r="C89" s="1065"/>
      <c r="D89" s="891">
        <v>25</v>
      </c>
      <c r="E89" s="1065"/>
      <c r="F89" s="121">
        <v>26</v>
      </c>
      <c r="G89" s="1513" t="str">
        <f>HYPERLINK("#'n+v'!$A$5","EW102")</f>
        <v>EW102</v>
      </c>
      <c r="H89" s="121">
        <v>27</v>
      </c>
      <c r="I89" s="1065"/>
      <c r="J89" s="891">
        <v>28</v>
      </c>
      <c r="K89" s="919" t="str">
        <f>HYPERLINK("https://www.petanque.ee/index.php?id=103798&amp;cid=717","EM katsevõistlus (n), finaal")</f>
        <v>EM katsevõistlus (n), finaal</v>
      </c>
      <c r="L89" s="1067">
        <v>29</v>
      </c>
      <c r="M89" s="957"/>
      <c r="O89" s="77"/>
      <c r="P89" s="77"/>
      <c r="Q89" s="77"/>
      <c r="R89" s="77"/>
      <c r="S89" s="77"/>
    </row>
    <row r="90" spans="1:19" x14ac:dyDescent="0.2">
      <c r="A90" s="124"/>
      <c r="B90" s="125"/>
      <c r="C90" s="124"/>
      <c r="D90" s="125"/>
      <c r="E90" s="124"/>
      <c r="F90" s="126"/>
      <c r="G90" s="1514" t="s">
        <v>74</v>
      </c>
      <c r="H90" s="834"/>
      <c r="I90" s="124"/>
      <c r="J90" s="125"/>
      <c r="K90" s="823" t="s">
        <v>75</v>
      </c>
      <c r="L90" s="126"/>
      <c r="M90" s="1304" t="str">
        <f>HYPERLINK("#'iv-d'!$A$5","Ida-Virumaa sise-MV")</f>
        <v>Ida-Virumaa sise-MV</v>
      </c>
      <c r="N90" s="384">
        <v>1</v>
      </c>
      <c r="O90" s="77"/>
      <c r="P90" s="77"/>
      <c r="Q90" s="77"/>
      <c r="R90" s="77"/>
      <c r="S90" s="77"/>
    </row>
    <row r="91" spans="1:19" ht="13.5" thickBot="1" x14ac:dyDescent="0.25">
      <c r="A91" s="954"/>
      <c r="B91" s="856"/>
      <c r="C91" s="954"/>
      <c r="D91" s="856"/>
      <c r="E91" s="954"/>
      <c r="F91" s="955"/>
      <c r="G91" s="1172" t="str">
        <f>HYPERLINK("https://kaart.delfi.ee/?bookmark=236e0f8de3f3d8e7138807663f9b5d14","Voka petangihall")</f>
        <v>Voka petangihall</v>
      </c>
      <c r="H91" s="834"/>
      <c r="I91" s="954"/>
      <c r="J91" s="856"/>
      <c r="K91" s="956" t="str">
        <f>HYPERLINK("https://kaart.delfi.ee/?bookmark=0807568cf7d8a03cedbb545921254497","Tallinn, Algi 38")</f>
        <v>Tallinn, Algi 38</v>
      </c>
      <c r="L91" s="955"/>
      <c r="M91" s="1153" t="s">
        <v>74</v>
      </c>
      <c r="N91" s="847"/>
      <c r="O91" s="77"/>
      <c r="P91" s="77"/>
      <c r="Q91" s="77"/>
      <c r="R91" s="77"/>
      <c r="S91" s="77"/>
    </row>
    <row r="92" spans="1:19" ht="13.5" thickBot="1" x14ac:dyDescent="0.25">
      <c r="A92" s="1021" t="s">
        <v>239</v>
      </c>
      <c r="B92" s="1022"/>
      <c r="C92" s="1023"/>
      <c r="D92" s="1024"/>
      <c r="E92" s="892"/>
      <c r="F92" s="1018"/>
      <c r="G92" s="892"/>
      <c r="H92" s="1018"/>
      <c r="I92" s="892"/>
      <c r="J92" s="1018"/>
      <c r="K92" s="1019"/>
      <c r="L92" s="1020"/>
      <c r="M92" s="1154" t="str">
        <f>HYPERLINK("https://kaart.delfi.ee/?bookmark=236e0f8de3f3d8e7138807663f9b5d14","Voka petangihall")</f>
        <v>Voka petangihall</v>
      </c>
      <c r="N92" s="847"/>
      <c r="O92" s="77"/>
      <c r="P92" s="77"/>
      <c r="Q92" s="77"/>
      <c r="R92" s="77"/>
      <c r="S92" s="77"/>
    </row>
    <row r="93" spans="1:19" x14ac:dyDescent="0.2">
      <c r="A93" s="103"/>
      <c r="B93" s="360">
        <v>2</v>
      </c>
      <c r="C93" s="103"/>
      <c r="D93" s="360">
        <v>3</v>
      </c>
      <c r="E93" s="103"/>
      <c r="F93" s="360">
        <v>4</v>
      </c>
      <c r="G93" s="103"/>
      <c r="H93" s="360">
        <v>5</v>
      </c>
      <c r="I93" s="103"/>
      <c r="J93" s="360">
        <v>6</v>
      </c>
      <c r="K93" s="1159" t="str">
        <f>HYPERLINK("#V10!$A$5","Voka III sise-KV 10. etapp")</f>
        <v>Voka III sise-KV 10. etapp</v>
      </c>
      <c r="L93" s="384">
        <v>7</v>
      </c>
      <c r="M93" s="1174" t="str">
        <f>HYPERLINK("#'iv-sd'!$A$5","Ida-Virumaa sise-MV")</f>
        <v>Ida-Virumaa sise-MV</v>
      </c>
      <c r="N93" s="384">
        <v>8</v>
      </c>
      <c r="O93" s="77"/>
      <c r="P93" s="77"/>
      <c r="Q93" s="77"/>
      <c r="R93" s="77"/>
      <c r="S93" s="379"/>
    </row>
    <row r="94" spans="1:19" x14ac:dyDescent="0.2">
      <c r="A94" s="98"/>
      <c r="B94" s="125"/>
      <c r="C94" s="98"/>
      <c r="D94" s="125"/>
      <c r="E94" s="98"/>
      <c r="F94" s="125"/>
      <c r="G94" s="98"/>
      <c r="H94" s="125"/>
      <c r="I94" s="98"/>
      <c r="J94" s="99"/>
      <c r="K94" s="685" t="s">
        <v>74</v>
      </c>
      <c r="L94" s="976"/>
      <c r="M94" s="1155" t="s">
        <v>77</v>
      </c>
      <c r="N94" s="847"/>
      <c r="O94" s="77"/>
    </row>
    <row r="95" spans="1:19" x14ac:dyDescent="0.2">
      <c r="A95" s="98"/>
      <c r="B95" s="125"/>
      <c r="C95" s="98"/>
      <c r="D95" s="125"/>
      <c r="E95" s="98"/>
      <c r="F95" s="125"/>
      <c r="G95" s="98"/>
      <c r="H95" s="125"/>
      <c r="I95" s="98"/>
      <c r="J95" s="99"/>
      <c r="K95" s="686" t="str">
        <f>HYPERLINK("https://kaart.delfi.ee/?bookmark=236e0f8de3f3d8e7138807663f9b5d14","Voka petangihall")</f>
        <v>Voka petangihall</v>
      </c>
      <c r="L95" s="977"/>
      <c r="M95" s="1156" t="str">
        <f>HYPERLINK("https://kaart.delfi.ee/?bookmark=236e0f8de3f3d8e7138807663f9b5d14","Voka petangihall")</f>
        <v>Voka petangihall</v>
      </c>
      <c r="N95" s="847"/>
      <c r="O95" s="77"/>
    </row>
    <row r="96" spans="1:19" x14ac:dyDescent="0.2">
      <c r="A96" s="98"/>
      <c r="B96" s="99"/>
      <c r="C96" s="98"/>
      <c r="D96" s="99"/>
      <c r="E96" s="98"/>
      <c r="F96" s="99"/>
      <c r="G96" s="98"/>
      <c r="H96" s="99"/>
      <c r="I96" s="98"/>
      <c r="J96" s="99"/>
      <c r="K96" s="1160" t="str">
        <f>HYPERLINK("https://sites.google.com/view/tartupetank/juhendid/tartu-lahtised-sisemeistrivoistlused-triodele","Tartu lahtised sise-MV, TRIO")</f>
        <v>Tartu lahtised sise-MV, TRIO</v>
      </c>
      <c r="L96" s="958"/>
      <c r="M96" s="1157"/>
      <c r="N96" s="847"/>
      <c r="O96" s="77"/>
    </row>
    <row r="97" spans="1:19" ht="13.5" thickBot="1" x14ac:dyDescent="0.25">
      <c r="A97" s="98"/>
      <c r="B97" s="99"/>
      <c r="C97" s="98"/>
      <c r="D97" s="99"/>
      <c r="E97" s="98"/>
      <c r="F97" s="99"/>
      <c r="G97" s="98"/>
      <c r="H97" s="99"/>
      <c r="I97" s="98"/>
      <c r="J97" s="99"/>
      <c r="K97" s="1521" t="str">
        <f>HYPERLINK("https://kaart.delfi.ee?bookmark=b800dcc52cedb1f675265b88652410e2","Tartu petangihall")</f>
        <v>Tartu petangihall</v>
      </c>
      <c r="L97" s="99"/>
      <c r="M97" s="1158"/>
      <c r="N97" s="847"/>
      <c r="O97" s="77"/>
    </row>
    <row r="98" spans="1:19" ht="13.5" hidden="1" thickBot="1" x14ac:dyDescent="0.25">
      <c r="A98" s="98"/>
      <c r="B98" s="99"/>
      <c r="C98" s="98"/>
      <c r="D98" s="99"/>
      <c r="E98" s="98"/>
      <c r="F98" s="99"/>
      <c r="G98" s="98"/>
      <c r="H98" s="99"/>
      <c r="I98" s="98"/>
      <c r="J98" s="99"/>
      <c r="K98" s="822" t="str">
        <f>HYPERLINK("https://www.hpet.fi/kilpailut/hpet-open-2020/","HPet Open 2020, DUO")</f>
        <v>HPet Open 2020, DUO</v>
      </c>
      <c r="L98" s="734" t="str">
        <f>HYPERLINK("https://www.google.fi/maps/place/Pohjoinen+Hesperiankatu+24,+00260+Helsinki,+Soome/@60.1769272,24.9181523,17z/data=!4m5!3m4!1s0x46920a3011cda835:0x7443e5f2b27974f2!8m2!3d60.1769272!4d24.920341","Soome (Helsingi, Pasila)")</f>
        <v>Soome (Helsingi, Pasila)</v>
      </c>
      <c r="M98" s="1161"/>
      <c r="N98" s="733"/>
      <c r="O98" s="77"/>
    </row>
    <row r="99" spans="1:19" x14ac:dyDescent="0.2">
      <c r="A99" s="103"/>
      <c r="B99" s="120">
        <v>9</v>
      </c>
      <c r="C99" s="103"/>
      <c r="D99" s="120">
        <v>10</v>
      </c>
      <c r="E99" s="103"/>
      <c r="F99" s="120">
        <v>11</v>
      </c>
      <c r="G99" s="103"/>
      <c r="H99" s="120">
        <v>12</v>
      </c>
      <c r="I99" s="103"/>
      <c r="J99" s="120">
        <v>13</v>
      </c>
      <c r="K99" s="1124" t="str">
        <f>HYPERLINK("https://www.petanque.ee/index.php?id=103798&amp;cid=718","Eesti sise-MV")</f>
        <v>Eesti sise-MV</v>
      </c>
      <c r="L99" s="114">
        <v>14</v>
      </c>
      <c r="M99" s="1124" t="str">
        <f>HYPERLINK("https://www.petanque.ee/index.php?id=103798&amp;cid=719","Eesti sise-MV")</f>
        <v>Eesti sise-MV</v>
      </c>
      <c r="N99" s="114">
        <v>15</v>
      </c>
      <c r="O99" s="77"/>
    </row>
    <row r="100" spans="1:19" x14ac:dyDescent="0.2">
      <c r="A100" s="98"/>
      <c r="B100" s="99"/>
      <c r="C100" s="98"/>
      <c r="D100" s="99"/>
      <c r="E100" s="98"/>
      <c r="F100" s="99"/>
      <c r="G100" s="98"/>
      <c r="H100" s="99"/>
      <c r="I100" s="98"/>
      <c r="J100" s="99"/>
      <c r="K100" s="1125" t="s">
        <v>74</v>
      </c>
      <c r="L100" s="99"/>
      <c r="M100" s="1125" t="s">
        <v>75</v>
      </c>
      <c r="N100" s="125"/>
      <c r="O100" s="77"/>
    </row>
    <row r="101" spans="1:19" ht="13.5" thickBot="1" x14ac:dyDescent="0.25">
      <c r="A101" s="98"/>
      <c r="B101" s="99"/>
      <c r="C101" s="98"/>
      <c r="D101" s="99"/>
      <c r="E101" s="98"/>
      <c r="F101" s="99"/>
      <c r="G101" s="98"/>
      <c r="H101" s="99"/>
      <c r="I101" s="98"/>
      <c r="J101" s="99"/>
      <c r="K101" s="1126" t="str">
        <f>HYPERLINK("https://kaart.delfi.ee/?bookmark=0807568cf7d8a03cedbb545921254497","Tallinn, Algi 38")</f>
        <v>Tallinn, Algi 38</v>
      </c>
      <c r="L101" s="99"/>
      <c r="M101" s="1126" t="str">
        <f>HYPERLINK("https://kaart.delfi.ee/?bookmark=0807568cf7d8a03cedbb545921254497","Tallinn, Algi 38")</f>
        <v>Tallinn, Algi 38</v>
      </c>
      <c r="N101" s="125"/>
      <c r="O101" s="77"/>
    </row>
    <row r="102" spans="1:19" x14ac:dyDescent="0.2">
      <c r="A102" s="103"/>
      <c r="B102" s="360">
        <v>16</v>
      </c>
      <c r="C102" s="103"/>
      <c r="D102" s="360">
        <v>17</v>
      </c>
      <c r="E102" s="103"/>
      <c r="F102" s="360">
        <v>18</v>
      </c>
      <c r="G102" s="103"/>
      <c r="H102" s="360">
        <v>19</v>
      </c>
      <c r="I102" s="103"/>
      <c r="J102" s="360">
        <v>20</v>
      </c>
      <c r="K102" s="1127"/>
      <c r="L102" s="383"/>
      <c r="M102" s="1130" t="str">
        <f>HYPERLINK("#V11!$A$5","Voka III sise-KV 11. etapp")</f>
        <v>Voka III sise-KV 11. etapp</v>
      </c>
      <c r="N102" s="384">
        <v>22</v>
      </c>
      <c r="O102" s="77"/>
    </row>
    <row r="103" spans="1:19" x14ac:dyDescent="0.2">
      <c r="A103" s="98"/>
      <c r="B103" s="99"/>
      <c r="C103" s="98"/>
      <c r="D103" s="99"/>
      <c r="E103" s="98"/>
      <c r="F103" s="99"/>
      <c r="G103" s="98"/>
      <c r="H103" s="99"/>
      <c r="I103" s="98"/>
      <c r="J103" s="99"/>
      <c r="K103" s="1128"/>
      <c r="L103" s="99"/>
      <c r="M103" s="1131" t="s">
        <v>74</v>
      </c>
      <c r="N103" s="843"/>
      <c r="O103" s="77"/>
    </row>
    <row r="104" spans="1:19" ht="13.5" thickBot="1" x14ac:dyDescent="0.25">
      <c r="A104" s="111"/>
      <c r="B104" s="385"/>
      <c r="C104" s="111"/>
      <c r="D104" s="385"/>
      <c r="E104" s="111"/>
      <c r="F104" s="378"/>
      <c r="G104" s="111"/>
      <c r="H104" s="385"/>
      <c r="I104" s="111"/>
      <c r="J104" s="385"/>
      <c r="K104" s="1129"/>
      <c r="L104" s="385"/>
      <c r="M104" s="1133" t="str">
        <f>HYPERLINK("https://kaart.delfi.ee/?bookmark=236e0f8de3f3d8e7138807663f9b5d14","Voka petangihall")</f>
        <v>Voka petangihall</v>
      </c>
      <c r="N104" s="843"/>
      <c r="O104" s="77"/>
    </row>
    <row r="105" spans="1:19" x14ac:dyDescent="0.2">
      <c r="A105" s="119"/>
      <c r="B105" s="360">
        <v>23</v>
      </c>
      <c r="C105" s="604"/>
      <c r="D105" s="360">
        <v>24</v>
      </c>
      <c r="E105" s="119"/>
      <c r="F105" s="360">
        <v>25</v>
      </c>
      <c r="G105" s="122"/>
      <c r="H105" s="360">
        <v>26</v>
      </c>
      <c r="I105" s="605"/>
      <c r="J105" s="360">
        <v>27</v>
      </c>
      <c r="K105" s="1130" t="str">
        <f>HYPERLINK("#V12!$A$5","Voka III sise-KV 12. etapp")</f>
        <v>Voka III sise-KV 12. etapp</v>
      </c>
      <c r="L105" s="137">
        <v>28</v>
      </c>
      <c r="M105" s="1134" t="str">
        <f>HYPERLINK("#'shk-viru'!$A$5","K-Järve SHK - Viru SK")</f>
        <v>K-Järve SHK - Viru SK</v>
      </c>
      <c r="N105" s="895">
        <v>29</v>
      </c>
      <c r="O105" s="77"/>
    </row>
    <row r="106" spans="1:19" x14ac:dyDescent="0.2">
      <c r="A106" s="124"/>
      <c r="B106" s="125"/>
      <c r="C106" s="136"/>
      <c r="D106" s="125"/>
      <c r="E106" s="124"/>
      <c r="F106" s="125"/>
      <c r="G106" s="134"/>
      <c r="H106" s="125"/>
      <c r="I106" s="126"/>
      <c r="J106" s="125"/>
      <c r="K106" s="1131" t="s">
        <v>74</v>
      </c>
      <c r="L106" s="952"/>
      <c r="M106" s="1135" t="s">
        <v>464</v>
      </c>
      <c r="N106" s="953"/>
      <c r="O106" s="77"/>
    </row>
    <row r="107" spans="1:19" ht="13.5" thickBot="1" x14ac:dyDescent="0.25">
      <c r="A107" s="124"/>
      <c r="B107" s="125"/>
      <c r="C107" s="136"/>
      <c r="D107" s="125"/>
      <c r="E107" s="124"/>
      <c r="F107" s="125"/>
      <c r="G107" s="134"/>
      <c r="H107" s="125"/>
      <c r="I107" s="126"/>
      <c r="J107" s="125"/>
      <c r="K107" s="1132" t="str">
        <f>HYPERLINK("https://kaart.delfi.ee/?bookmark=236e0f8de3f3d8e7138807663f9b5d14","Voka petangihall")</f>
        <v>Voka petangihall</v>
      </c>
      <c r="L107" s="952"/>
      <c r="M107" s="1136" t="str">
        <f>HYPERLINK("https://kaart.delfi.ee/?bookmark=236e0f8de3f3d8e7138807663f9b5d14","Voka petangihall")</f>
        <v>Voka petangihall</v>
      </c>
      <c r="N107" s="953"/>
      <c r="O107" s="77"/>
    </row>
    <row r="108" spans="1:19" hidden="1" x14ac:dyDescent="0.2">
      <c r="A108" s="124"/>
      <c r="B108" s="125"/>
      <c r="C108" s="136"/>
      <c r="D108" s="125"/>
      <c r="E108" s="124"/>
      <c r="F108" s="125"/>
      <c r="G108" s="134"/>
      <c r="H108" s="125"/>
      <c r="I108" s="126"/>
      <c r="J108" s="125"/>
      <c r="K108" s="1451" t="str">
        <f>HYPERLINK("https://www.petanque.ee/index.php?id=103589&amp;cid=775","Petangikohtunike koolitus")</f>
        <v>Petangikohtunike koolitus</v>
      </c>
      <c r="L108" s="1452" t="str">
        <f>HYPERLINK("https://kaart.delfi.ee/?bookmark=0807568cf7d8a03cedbb545921254497","Tallinn, Algi 38")</f>
        <v>Tallinn, Algi 38</v>
      </c>
      <c r="N108" s="953"/>
    </row>
    <row r="109" spans="1:19" ht="13.5" thickBot="1" x14ac:dyDescent="0.25">
      <c r="A109" s="89" t="s">
        <v>240</v>
      </c>
      <c r="B109" s="787"/>
      <c r="C109" s="738"/>
      <c r="D109" s="1453"/>
      <c r="E109" s="1428"/>
      <c r="F109" s="1454"/>
      <c r="G109" s="1428"/>
      <c r="H109" s="1454"/>
      <c r="I109" s="1454"/>
      <c r="J109" s="1454"/>
      <c r="K109" s="1455"/>
      <c r="L109" s="1454"/>
      <c r="M109" s="1455"/>
      <c r="N109" s="1454"/>
      <c r="S109" s="136"/>
    </row>
    <row r="110" spans="1:19" x14ac:dyDescent="0.2">
      <c r="A110" s="119"/>
      <c r="B110" s="360">
        <v>30</v>
      </c>
      <c r="C110" s="604"/>
      <c r="D110" s="123">
        <v>31</v>
      </c>
      <c r="E110" s="604"/>
      <c r="F110" s="360">
        <v>1</v>
      </c>
      <c r="G110" s="122"/>
      <c r="H110" s="360">
        <v>2</v>
      </c>
      <c r="I110" s="122"/>
      <c r="J110" s="947">
        <v>3</v>
      </c>
      <c r="K110" s="950"/>
      <c r="L110" s="948">
        <v>4</v>
      </c>
      <c r="M110" s="1137" t="str">
        <f>HYPERLINK("#'Vi-t'!$A$5","Viru SK liikmete sise-MV")</f>
        <v>Viru SK liikmete sise-MV</v>
      </c>
      <c r="N110" s="948">
        <v>5</v>
      </c>
      <c r="S110" s="77"/>
    </row>
    <row r="111" spans="1:19" x14ac:dyDescent="0.2">
      <c r="A111" s="124"/>
      <c r="B111" s="125"/>
      <c r="C111" s="136"/>
      <c r="D111" s="382"/>
      <c r="E111" s="136"/>
      <c r="F111" s="125"/>
      <c r="G111" s="124"/>
      <c r="H111" s="125"/>
      <c r="I111" s="134"/>
      <c r="J111" s="126"/>
      <c r="K111" s="852"/>
      <c r="L111" s="125"/>
      <c r="M111" s="1138" t="s">
        <v>300</v>
      </c>
      <c r="N111" s="837"/>
      <c r="O111" s="53"/>
      <c r="S111" s="77"/>
    </row>
    <row r="112" spans="1:19" x14ac:dyDescent="0.2">
      <c r="A112" s="124"/>
      <c r="B112" s="125"/>
      <c r="C112" s="136"/>
      <c r="D112" s="382"/>
      <c r="E112" s="136"/>
      <c r="F112" s="125"/>
      <c r="G112" s="124"/>
      <c r="H112" s="125"/>
      <c r="I112" s="134"/>
      <c r="J112" s="126"/>
      <c r="K112" s="951"/>
      <c r="L112" s="125"/>
      <c r="M112" s="1139" t="str">
        <f>HYPERLINK("https://kaart.delfi.ee/?bookmark=236e0f8de3f3d8e7138807663f9b5d14","Voka petangihall")</f>
        <v>Voka petangihall</v>
      </c>
      <c r="N112" s="845"/>
      <c r="S112" s="77"/>
    </row>
    <row r="113" spans="1:19" ht="13.5" thickBot="1" x14ac:dyDescent="0.25">
      <c r="A113" s="954"/>
      <c r="B113" s="856"/>
      <c r="C113" s="959"/>
      <c r="D113" s="918"/>
      <c r="E113" s="136"/>
      <c r="F113" s="125"/>
      <c r="G113" s="124"/>
      <c r="H113" s="125"/>
      <c r="I113" s="134"/>
      <c r="J113" s="126"/>
      <c r="K113" s="1469" t="str">
        <f>HYPERLINK("https://www.petanque.ee/index.php?id=103798&amp;cid=720","3. Klubide sari, 3. etapp")</f>
        <v>3. Klubide sari, 3. etapp</v>
      </c>
      <c r="L113" s="1141" t="s">
        <v>475</v>
      </c>
      <c r="M113" s="1140"/>
      <c r="N113" s="1212" t="str">
        <f>HYPERLINK("https://kaart.delfi.ee/?bookmark=0807568cf7d8a03cedbb545921254497","Tallinn, Algi 38")</f>
        <v>Tallinn, Algi 38</v>
      </c>
      <c r="S113" s="77"/>
    </row>
    <row r="114" spans="1:19" hidden="1" x14ac:dyDescent="0.2">
      <c r="A114" s="124"/>
      <c r="B114" s="125"/>
      <c r="C114" s="136"/>
      <c r="D114" s="382"/>
      <c r="E114" s="136"/>
      <c r="F114" s="125"/>
      <c r="G114" s="124"/>
      <c r="H114" s="125"/>
      <c r="I114" s="134"/>
      <c r="J114" s="126"/>
      <c r="K114" s="1151"/>
      <c r="L114" s="126"/>
      <c r="M114" s="1141"/>
      <c r="N114" s="125"/>
      <c r="S114" s="77"/>
    </row>
    <row r="115" spans="1:19" ht="13.5" hidden="1" thickBot="1" x14ac:dyDescent="0.25">
      <c r="A115" s="128"/>
      <c r="B115" s="129"/>
      <c r="C115" s="831"/>
      <c r="D115" s="132"/>
      <c r="E115" s="827"/>
      <c r="F115" s="380"/>
      <c r="G115" s="830"/>
      <c r="H115" s="380"/>
      <c r="I115" s="599"/>
      <c r="J115" s="603"/>
      <c r="K115" s="1151"/>
      <c r="L115" s="955"/>
      <c r="M115" s="1142"/>
      <c r="N115" s="600"/>
      <c r="S115" s="77"/>
    </row>
    <row r="116" spans="1:19" x14ac:dyDescent="0.2">
      <c r="A116" s="124"/>
      <c r="B116" s="133">
        <v>6</v>
      </c>
      <c r="C116" s="136"/>
      <c r="D116" s="133">
        <v>7</v>
      </c>
      <c r="E116" s="119"/>
      <c r="F116" s="360">
        <v>8</v>
      </c>
      <c r="G116" s="119"/>
      <c r="H116" s="121">
        <v>9</v>
      </c>
      <c r="I116" s="119"/>
      <c r="J116" s="350">
        <v>10</v>
      </c>
      <c r="K116" s="1130" t="str">
        <f>HYPERLINK("#V13!$A$5","Voka III sise-KV 13. etapp")</f>
        <v>Voka III sise-KV 13. etapp</v>
      </c>
      <c r="L116" s="360">
        <v>11</v>
      </c>
      <c r="M116" s="1143" t="str">
        <f>HYPERLINK("#'iv-t'!$A$5","Ida-Virumaa sise-MV")</f>
        <v>Ida-Virumaa sise-MV</v>
      </c>
      <c r="N116" s="386">
        <v>12</v>
      </c>
      <c r="S116" s="77"/>
    </row>
    <row r="117" spans="1:19" x14ac:dyDescent="0.2">
      <c r="A117" s="124"/>
      <c r="B117" s="125"/>
      <c r="C117" s="136"/>
      <c r="D117" s="125"/>
      <c r="E117" s="124"/>
      <c r="F117" s="125"/>
      <c r="G117" s="124"/>
      <c r="H117" s="818"/>
      <c r="I117" s="124"/>
      <c r="J117" s="818"/>
      <c r="K117" s="1131" t="s">
        <v>74</v>
      </c>
      <c r="L117" s="838"/>
      <c r="M117" s="1144" t="s">
        <v>75</v>
      </c>
      <c r="N117" s="840"/>
      <c r="S117" s="379"/>
    </row>
    <row r="118" spans="1:19" ht="13.5" thickBot="1" x14ac:dyDescent="0.25">
      <c r="A118" s="806"/>
      <c r="B118" s="380"/>
      <c r="C118" s="606"/>
      <c r="D118" s="380"/>
      <c r="E118" s="806"/>
      <c r="F118" s="380"/>
      <c r="G118" s="806"/>
      <c r="H118" s="832"/>
      <c r="I118" s="806"/>
      <c r="J118" s="832"/>
      <c r="K118" s="1152" t="str">
        <f>HYPERLINK("https://kaart.delfi.ee/?bookmark=236e0f8de3f3d8e7138807663f9b5d14","Voka petangihall")</f>
        <v>Voka petangihall</v>
      </c>
      <c r="L118" s="839"/>
      <c r="M118" s="1145" t="str">
        <f>HYPERLINK("https://kaart.delfi.ee/?bookmark=236e0f8de3f3d8e7138807663f9b5d14","Voka petangihall")</f>
        <v>Voka petangihall</v>
      </c>
      <c r="N118" s="841"/>
      <c r="O118" s="77"/>
      <c r="P118" s="77"/>
      <c r="Q118" s="77"/>
      <c r="R118" s="379"/>
      <c r="S118" s="379"/>
    </row>
    <row r="119" spans="1:19" x14ac:dyDescent="0.2">
      <c r="A119" s="124"/>
      <c r="B119" s="133">
        <v>13</v>
      </c>
      <c r="C119" s="124"/>
      <c r="D119" s="133">
        <v>14</v>
      </c>
      <c r="E119" s="136"/>
      <c r="F119" s="133">
        <v>15</v>
      </c>
      <c r="G119" s="124"/>
      <c r="H119" s="133">
        <v>16</v>
      </c>
      <c r="I119" s="124"/>
      <c r="J119" s="133">
        <v>17</v>
      </c>
      <c r="K119" s="829"/>
      <c r="L119" s="657">
        <v>18</v>
      </c>
      <c r="M119" s="1146" t="str">
        <f>HYPERLINK("#'V-Fin'!$A$5","Voka III sise-KV superfinaal")</f>
        <v>Voka III sise-KV superfinaal</v>
      </c>
      <c r="N119" s="133">
        <v>19</v>
      </c>
      <c r="O119" s="77"/>
      <c r="Q119" s="77"/>
      <c r="S119" s="77"/>
    </row>
    <row r="120" spans="1:19" x14ac:dyDescent="0.2">
      <c r="A120" s="124"/>
      <c r="B120" s="126"/>
      <c r="C120" s="124"/>
      <c r="D120" s="125"/>
      <c r="E120" s="136"/>
      <c r="F120" s="126"/>
      <c r="G120" s="124"/>
      <c r="H120" s="125"/>
      <c r="I120" s="124"/>
      <c r="J120" s="125"/>
      <c r="K120" s="829"/>
      <c r="L120" s="126"/>
      <c r="M120" s="1147" t="s">
        <v>463</v>
      </c>
      <c r="N120" s="634"/>
      <c r="O120" s="77"/>
      <c r="P120" s="77"/>
      <c r="Q120" s="77"/>
      <c r="R120" s="77"/>
      <c r="S120" s="77"/>
    </row>
    <row r="121" spans="1:19" ht="13.5" thickBot="1" x14ac:dyDescent="0.25">
      <c r="A121" s="806"/>
      <c r="B121" s="603"/>
      <c r="C121" s="806"/>
      <c r="D121" s="380"/>
      <c r="E121" s="606"/>
      <c r="F121" s="603"/>
      <c r="G121" s="806"/>
      <c r="H121" s="380"/>
      <c r="I121" s="806"/>
      <c r="J121" s="380"/>
      <c r="K121" s="848"/>
      <c r="L121" s="603"/>
      <c r="M121" s="1148" t="str">
        <f>HYPERLINK("https://kaart.delfi.ee/?bookmark=236e0f8de3f3d8e7138807663f9b5d14","Voka petangihall")</f>
        <v>Voka petangihall</v>
      </c>
      <c r="N121" s="842"/>
      <c r="S121" s="77"/>
    </row>
    <row r="122" spans="1:19" x14ac:dyDescent="0.2">
      <c r="A122" s="119"/>
      <c r="B122" s="121">
        <v>20</v>
      </c>
      <c r="C122" s="119"/>
      <c r="D122" s="360">
        <v>21</v>
      </c>
      <c r="E122" s="604"/>
      <c r="F122" s="360">
        <v>22</v>
      </c>
      <c r="G122" s="122"/>
      <c r="H122" s="360">
        <v>23</v>
      </c>
      <c r="I122" s="605"/>
      <c r="J122" s="360">
        <v>24</v>
      </c>
      <c r="K122" s="119"/>
      <c r="L122" s="360">
        <v>25</v>
      </c>
      <c r="M122" s="1149" t="str">
        <f>HYPERLINK("#'OV'!$A$5","Ida-Virumaa omavalitsuste ")</f>
        <v xml:space="preserve">Ida-Virumaa omavalitsuste </v>
      </c>
      <c r="N122" s="360">
        <v>26</v>
      </c>
      <c r="S122" s="77"/>
    </row>
    <row r="123" spans="1:19" x14ac:dyDescent="0.2">
      <c r="A123" s="124"/>
      <c r="B123" s="126"/>
      <c r="C123" s="124"/>
      <c r="D123" s="833"/>
      <c r="E123" s="124"/>
      <c r="F123" s="125"/>
      <c r="G123" s="134"/>
      <c r="H123" s="126"/>
      <c r="I123" s="134"/>
      <c r="J123" s="125"/>
      <c r="K123" s="124"/>
      <c r="L123" s="125"/>
      <c r="M123" s="1150" t="s">
        <v>465</v>
      </c>
      <c r="N123" s="773"/>
      <c r="S123" s="77"/>
    </row>
    <row r="124" spans="1:19" ht="13.5" thickBot="1" x14ac:dyDescent="0.25">
      <c r="A124" s="1446"/>
      <c r="B124" s="1449"/>
      <c r="C124" s="1446"/>
      <c r="D124" s="1462"/>
      <c r="E124" s="1447"/>
      <c r="F124" s="1449"/>
      <c r="G124" s="1448"/>
      <c r="H124" s="1449"/>
      <c r="I124" s="1448"/>
      <c r="J124" s="1436"/>
      <c r="K124" s="1446"/>
      <c r="L124" s="1436"/>
      <c r="M124" s="1450" t="str">
        <f>HYPERLINK("https://kaart.delfi.ee/?bookmark=236e0f8de3f3d8e7138807663f9b5d14","Voka petangihall")</f>
        <v>Voka petangihall</v>
      </c>
      <c r="N124" s="1467"/>
      <c r="S124" s="77"/>
    </row>
    <row r="125" spans="1:19" ht="13.5" hidden="1" thickBot="1" x14ac:dyDescent="0.25">
      <c r="A125" s="1446"/>
      <c r="B125" s="1449"/>
      <c r="C125" s="1446"/>
      <c r="D125" s="1462"/>
      <c r="E125" s="1447"/>
      <c r="F125" s="1449"/>
      <c r="G125" s="1448"/>
      <c r="H125" s="1449"/>
      <c r="I125" s="1448"/>
      <c r="J125" s="1436"/>
      <c r="K125" s="1463" t="str">
        <f>HYPERLINK("https://www.petanque.ee/index.php?id=103589&amp;cid=776","Petangitreenerite koolitus")</f>
        <v>Petangitreenerite koolitus</v>
      </c>
      <c r="L125" s="1464" t="str">
        <f>HYPERLINK("https://kaart.delfi.ee/?bookmark=0807568cf7d8a03cedbb545921254497","Tallinn, Algi 38")</f>
        <v>Tallinn, Algi 38</v>
      </c>
      <c r="M125" s="1465"/>
      <c r="N125" s="1466"/>
      <c r="S125" s="77"/>
    </row>
    <row r="126" spans="1:19" ht="13.5" thickBot="1" x14ac:dyDescent="0.25">
      <c r="A126" s="1456" t="s">
        <v>611</v>
      </c>
      <c r="B126" s="1457"/>
      <c r="C126" s="1458"/>
      <c r="D126" s="1459"/>
      <c r="E126" s="1460"/>
      <c r="F126" s="1460"/>
      <c r="G126" s="1461"/>
      <c r="H126" s="1460"/>
      <c r="I126" s="1460"/>
      <c r="J126" s="1460"/>
      <c r="K126" s="1460"/>
      <c r="L126" s="1460"/>
      <c r="M126" s="1460"/>
      <c r="N126" s="1460"/>
      <c r="S126" s="77"/>
    </row>
    <row r="127" spans="1:19" x14ac:dyDescent="0.2">
      <c r="A127" s="362"/>
      <c r="B127" s="363">
        <v>26</v>
      </c>
      <c r="C127" s="362"/>
      <c r="D127" s="364">
        <v>27</v>
      </c>
      <c r="E127" s="1306"/>
      <c r="F127" s="364">
        <v>28</v>
      </c>
      <c r="G127" s="1307"/>
      <c r="H127" s="364">
        <v>29</v>
      </c>
      <c r="I127" s="1306"/>
      <c r="J127" s="363">
        <v>30</v>
      </c>
      <c r="K127" s="1308"/>
      <c r="L127" s="364">
        <v>31</v>
      </c>
      <c r="M127" s="1439" t="str">
        <f>HYPERLINK("#V11!$A$5","Voka III sise-KV 11. etapp")</f>
        <v>Voka III sise-KV 11. etapp</v>
      </c>
      <c r="N127" s="364">
        <v>1</v>
      </c>
      <c r="S127" s="77"/>
    </row>
    <row r="128" spans="1:19" x14ac:dyDescent="0.2">
      <c r="A128" s="1309"/>
      <c r="B128" s="572"/>
      <c r="C128" s="1310"/>
      <c r="D128" s="1311"/>
      <c r="E128" s="334"/>
      <c r="F128" s="1311"/>
      <c r="G128" s="1312"/>
      <c r="H128" s="1313"/>
      <c r="I128" s="1314" t="str">
        <f>HYPERLINK("http://www.cep-petanque.com/women.html","10. Naiste EM, TRIO, TUL")</f>
        <v>10. Naiste EM, TRIO, TUL</v>
      </c>
      <c r="J128" s="1"/>
      <c r="K128" s="1315"/>
      <c r="L128" s="1316" t="s">
        <v>612</v>
      </c>
      <c r="M128" s="685" t="s">
        <v>74</v>
      </c>
      <c r="N128" s="1317"/>
      <c r="S128" s="77"/>
    </row>
    <row r="129" spans="1:19" ht="13.5" thickBot="1" x14ac:dyDescent="0.25">
      <c r="A129" s="1318"/>
      <c r="B129" s="1319"/>
      <c r="C129" s="1320"/>
      <c r="D129" s="1321"/>
      <c r="E129" s="1322"/>
      <c r="F129" s="1321"/>
      <c r="G129" s="1323"/>
      <c r="H129" s="1324"/>
      <c r="I129" s="1325" t="str">
        <f>HYPERLINK("https://www.google.com/maps/place/39300+Torrelavega,+Cantabria,+Spain/@43.343543,-4.0637601,14z/data=!3m1!4b1!4m5!3m4!1s0xd493e72ed01f43d:0xb11dcb6f47adc1a3!8m2!3d43.3488503!4d-4.0501505","Hispaania (Torrelavega)")</f>
        <v>Hispaania (Torrelavega)</v>
      </c>
      <c r="J129" s="1"/>
      <c r="K129" s="1326"/>
      <c r="L129" s="1327"/>
      <c r="M129" s="1180" t="str">
        <f>HYPERLINK("https://kaart.delfi.ee/?bookmark=236e0f8de3f3d8e7138807663f9b5d14","Voka petangihall")</f>
        <v>Voka petangihall</v>
      </c>
      <c r="N129" s="1328"/>
      <c r="S129" s="77"/>
    </row>
    <row r="130" spans="1:19" x14ac:dyDescent="0.2">
      <c r="A130" s="362"/>
      <c r="B130" s="363">
        <v>2</v>
      </c>
      <c r="C130" s="362"/>
      <c r="D130" s="363">
        <v>3</v>
      </c>
      <c r="E130" s="362"/>
      <c r="F130" s="363">
        <v>4</v>
      </c>
      <c r="G130" s="362"/>
      <c r="H130" s="363">
        <v>5</v>
      </c>
      <c r="I130" s="362"/>
      <c r="J130" s="363">
        <v>6</v>
      </c>
      <c r="K130" s="1329" t="str">
        <f>HYPERLINK("https://www.petanque.ee/index.php?id=103798&amp;cid=718","Eesti sise-MV")</f>
        <v>Eesti sise-MV</v>
      </c>
      <c r="L130" s="1330">
        <v>7</v>
      </c>
      <c r="M130" s="1331" t="str">
        <f>HYPERLINK("https://www.petanque.ee/index.php?id=103798&amp;cid=757","Eesti sise-MV")</f>
        <v>Eesti sise-MV</v>
      </c>
      <c r="N130" s="370">
        <v>8</v>
      </c>
      <c r="S130" s="77"/>
    </row>
    <row r="131" spans="1:19" x14ac:dyDescent="0.2">
      <c r="A131" s="1309"/>
      <c r="B131" s="572"/>
      <c r="C131" s="1309"/>
      <c r="D131" s="572"/>
      <c r="E131" s="1309"/>
      <c r="F131" s="572"/>
      <c r="G131" s="1309"/>
      <c r="H131" s="572"/>
      <c r="I131" s="1309"/>
      <c r="J131" s="572"/>
      <c r="K131" s="1332" t="s">
        <v>74</v>
      </c>
      <c r="L131" s="572"/>
      <c r="M131" s="1332" t="s">
        <v>77</v>
      </c>
      <c r="N131" s="1333"/>
      <c r="S131" s="77"/>
    </row>
    <row r="132" spans="1:19" ht="13.5" thickBot="1" x14ac:dyDescent="0.25">
      <c r="A132" s="1318"/>
      <c r="B132" s="1334"/>
      <c r="C132" s="1318"/>
      <c r="D132" s="1334"/>
      <c r="E132" s="1318"/>
      <c r="F132" s="1334"/>
      <c r="G132" s="1318"/>
      <c r="H132" s="1334"/>
      <c r="I132" s="1318"/>
      <c r="J132" s="1334"/>
      <c r="K132" s="1335" t="str">
        <f>HYPERLINK("","Harku petangihall")</f>
        <v>Harku petangihall</v>
      </c>
      <c r="L132" s="1334"/>
      <c r="M132" s="1335" t="str">
        <f>HYPERLINK("","Harku petangihall")</f>
        <v>Harku petangihall</v>
      </c>
      <c r="N132" s="1336"/>
      <c r="S132" s="77"/>
    </row>
    <row r="133" spans="1:19" x14ac:dyDescent="0.2">
      <c r="A133" s="362"/>
      <c r="B133" s="363">
        <v>9</v>
      </c>
      <c r="C133" s="362"/>
      <c r="D133" s="363">
        <v>10</v>
      </c>
      <c r="E133" s="362"/>
      <c r="F133" s="363">
        <v>11</v>
      </c>
      <c r="G133" s="1337"/>
      <c r="H133" s="364">
        <v>12</v>
      </c>
      <c r="I133" s="362"/>
      <c r="J133" s="363">
        <v>13</v>
      </c>
      <c r="K133" s="362"/>
      <c r="L133" s="363">
        <v>14</v>
      </c>
      <c r="M133" s="1439" t="str">
        <f>HYPERLINK("#V12!$A$5","Voka III sise-KV 12. etapp")</f>
        <v>Voka III sise-KV 12. etapp</v>
      </c>
      <c r="N133" s="364">
        <v>15</v>
      </c>
      <c r="S133" s="77"/>
    </row>
    <row r="134" spans="1:19" x14ac:dyDescent="0.2">
      <c r="A134" s="1309"/>
      <c r="B134" s="572"/>
      <c r="C134" s="1309"/>
      <c r="D134" s="572"/>
      <c r="E134" s="1309"/>
      <c r="F134" s="572"/>
      <c r="G134" s="1309"/>
      <c r="H134" s="572"/>
      <c r="I134" s="1309"/>
      <c r="J134" s="572"/>
      <c r="K134" s="1309"/>
      <c r="L134" s="572"/>
      <c r="M134" s="685" t="s">
        <v>74</v>
      </c>
      <c r="N134" s="1317"/>
      <c r="S134" s="77"/>
    </row>
    <row r="135" spans="1:19" ht="13.5" thickBot="1" x14ac:dyDescent="0.25">
      <c r="A135" s="1318"/>
      <c r="B135" s="1334"/>
      <c r="C135" s="1318"/>
      <c r="D135" s="1334"/>
      <c r="E135" s="1318"/>
      <c r="F135" s="1334"/>
      <c r="G135" s="1318"/>
      <c r="H135" s="1334"/>
      <c r="I135" s="1318"/>
      <c r="J135" s="1334"/>
      <c r="K135" s="1318"/>
      <c r="L135" s="1334"/>
      <c r="M135" s="1180" t="str">
        <f>HYPERLINK("https://kaart.delfi.ee/?bookmark=236e0f8de3f3d8e7138807663f9b5d14","Voka petangihall")</f>
        <v>Voka petangihall</v>
      </c>
      <c r="N135" s="1328"/>
      <c r="S135" s="77"/>
    </row>
    <row r="136" spans="1:19" x14ac:dyDescent="0.2">
      <c r="A136" s="362"/>
      <c r="B136" s="363">
        <v>16</v>
      </c>
      <c r="C136" s="362"/>
      <c r="D136" s="363">
        <v>17</v>
      </c>
      <c r="E136" s="362"/>
      <c r="F136" s="363">
        <v>18</v>
      </c>
      <c r="G136" s="1337"/>
      <c r="H136" s="364">
        <v>19</v>
      </c>
      <c r="I136" s="362"/>
      <c r="J136" s="363">
        <v>20</v>
      </c>
      <c r="K136" s="1470" t="str">
        <f>HYPERLINK("https://www.petanque.ee/index.php?id=103798&amp;cid=720","3. Klubide sari, 3. etapp")</f>
        <v>3. Klubide sari, 3. etapp</v>
      </c>
      <c r="L136" s="364">
        <v>21</v>
      </c>
      <c r="M136" s="1468" t="str">
        <f>HYPERLINK("#V13!$A$5","Voka III sise-KV 13. etapp")</f>
        <v>Voka III sise-KV 13. etapp</v>
      </c>
      <c r="N136" s="364">
        <v>22</v>
      </c>
      <c r="S136" s="77"/>
    </row>
    <row r="137" spans="1:19" x14ac:dyDescent="0.2">
      <c r="A137" s="1309"/>
      <c r="B137" s="572"/>
      <c r="C137" s="1309"/>
      <c r="D137" s="572"/>
      <c r="E137" s="1309"/>
      <c r="F137" s="572"/>
      <c r="G137" s="1309"/>
      <c r="H137" s="572"/>
      <c r="I137" s="1309"/>
      <c r="J137" s="572"/>
      <c r="K137" s="1309" t="s">
        <v>358</v>
      </c>
      <c r="L137" s="1338"/>
      <c r="M137" s="1193" t="s">
        <v>74</v>
      </c>
      <c r="N137" s="1317"/>
      <c r="S137" s="77"/>
    </row>
    <row r="138" spans="1:19" ht="13.5" thickBot="1" x14ac:dyDescent="0.25">
      <c r="A138" s="1309"/>
      <c r="B138" s="365"/>
      <c r="C138" s="1309"/>
      <c r="D138" s="365"/>
      <c r="E138" s="1309"/>
      <c r="F138" s="365"/>
      <c r="G138" s="1309"/>
      <c r="H138" s="365"/>
      <c r="I138" s="1309"/>
      <c r="J138" s="365"/>
      <c r="K138" s="1339" t="str">
        <f>HYPERLINK("","Harku petangihall")</f>
        <v>Harku petangihall</v>
      </c>
      <c r="L138" s="1340"/>
      <c r="M138" s="1341" t="str">
        <f>HYPERLINK("https://kaart.delfi.ee/?bookmark=236e0f8de3f3d8e7138807663f9b5d14","Voka petangihall")</f>
        <v>Voka petangihall</v>
      </c>
      <c r="N138" s="1342"/>
      <c r="S138" s="77"/>
    </row>
    <row r="139" spans="1:19" hidden="1" x14ac:dyDescent="0.2">
      <c r="A139" s="1309"/>
      <c r="B139" s="365"/>
      <c r="C139" s="1309"/>
      <c r="D139" s="365"/>
      <c r="E139" s="1309"/>
      <c r="F139" s="365"/>
      <c r="G139" s="1309"/>
      <c r="H139" s="365"/>
      <c r="I139" s="1309"/>
      <c r="J139" s="365"/>
      <c r="K139" s="1309"/>
      <c r="L139" s="1340"/>
      <c r="M139" s="1343" t="s">
        <v>613</v>
      </c>
      <c r="N139" s="1344"/>
      <c r="S139" s="77"/>
    </row>
    <row r="140" spans="1:19" ht="13.5" hidden="1" thickBot="1" x14ac:dyDescent="0.25">
      <c r="A140" s="1318"/>
      <c r="B140" s="1334"/>
      <c r="C140" s="1318"/>
      <c r="D140" s="1334"/>
      <c r="E140" s="1318"/>
      <c r="F140" s="1334"/>
      <c r="G140" s="1318"/>
      <c r="H140" s="1334"/>
      <c r="I140" s="1318"/>
      <c r="J140" s="1334"/>
      <c r="K140" s="1318"/>
      <c r="L140" s="1345"/>
      <c r="M140" s="1346" t="str">
        <f>HYPERLINK("","Harku petangihall")</f>
        <v>Harku petangihall</v>
      </c>
      <c r="N140" s="1345"/>
      <c r="S140" s="136"/>
    </row>
    <row r="141" spans="1:19" hidden="1" x14ac:dyDescent="0.2">
      <c r="A141" s="1421"/>
      <c r="B141" s="1421"/>
      <c r="C141" s="1421"/>
      <c r="D141" s="1421"/>
      <c r="E141" s="1422"/>
      <c r="F141" s="1422"/>
      <c r="G141" s="1421"/>
      <c r="H141" s="1421"/>
      <c r="I141" s="1421"/>
      <c r="J141" s="1421"/>
      <c r="K141" s="1421"/>
      <c r="L141" s="1421"/>
      <c r="M141" s="1421"/>
      <c r="N141" s="1422"/>
      <c r="O141" s="53"/>
      <c r="S141" s="77"/>
    </row>
    <row r="142" spans="1:19" hidden="1" x14ac:dyDescent="0.2">
      <c r="A142" s="1442" t="s">
        <v>357</v>
      </c>
      <c r="B142" s="1443"/>
      <c r="C142" s="1443"/>
      <c r="D142" s="1443"/>
      <c r="E142" s="1443"/>
      <c r="F142" s="1443"/>
      <c r="G142" s="1443"/>
      <c r="H142" s="1443"/>
      <c r="I142" s="1443"/>
      <c r="J142" s="1443"/>
      <c r="K142" s="1443"/>
      <c r="L142" s="1443"/>
      <c r="M142" s="1443"/>
      <c r="N142" s="1443"/>
      <c r="O142" s="1305"/>
      <c r="P142" s="141"/>
      <c r="Q142" s="141"/>
      <c r="R142" s="141"/>
      <c r="S142" s="141"/>
    </row>
    <row r="143" spans="1:19" x14ac:dyDescent="0.2">
      <c r="A143" s="1444" t="s">
        <v>65</v>
      </c>
      <c r="B143" s="1444"/>
      <c r="C143" s="1444"/>
      <c r="D143" s="1444"/>
      <c r="E143" s="1444"/>
      <c r="F143" s="1444"/>
      <c r="G143" s="1444"/>
      <c r="H143" s="1444"/>
      <c r="I143" s="1444"/>
      <c r="J143" s="1445"/>
      <c r="K143" s="1445"/>
      <c r="L143" s="1445"/>
      <c r="M143" s="1445"/>
      <c r="N143" s="1445"/>
      <c r="O143" s="141"/>
      <c r="P143" s="141"/>
      <c r="Q143" s="141"/>
      <c r="R143" s="141"/>
      <c r="S143" s="141"/>
    </row>
    <row r="144" spans="1:19" x14ac:dyDescent="0.2">
      <c r="A144" s="142" t="s">
        <v>302</v>
      </c>
      <c r="B144" s="142"/>
      <c r="C144" s="142"/>
      <c r="D144" s="142"/>
      <c r="E144" s="142"/>
      <c r="F144" s="142"/>
      <c r="G144" s="142"/>
      <c r="H144" s="142"/>
      <c r="I144" s="142"/>
      <c r="J144" s="142"/>
      <c r="K144" s="142"/>
      <c r="L144" s="142"/>
      <c r="M144" s="142"/>
      <c r="N144" s="141"/>
      <c r="O144" s="141"/>
      <c r="P144" s="143"/>
      <c r="Q144" s="143"/>
      <c r="R144" s="143"/>
      <c r="S144" s="143"/>
    </row>
    <row r="145" spans="1:19" x14ac:dyDescent="0.2">
      <c r="A145" s="144" t="s">
        <v>66</v>
      </c>
      <c r="B145" s="143"/>
      <c r="C145" s="143"/>
      <c r="D145" s="143"/>
      <c r="E145" s="143"/>
      <c r="F145" s="143"/>
      <c r="G145" s="143"/>
      <c r="H145" s="143"/>
      <c r="I145" s="143"/>
      <c r="J145" s="143"/>
      <c r="K145" s="143"/>
      <c r="L145" s="143"/>
      <c r="M145" s="143"/>
      <c r="N145" s="145" t="s">
        <v>360</v>
      </c>
      <c r="O145" s="143"/>
      <c r="P145" s="143"/>
      <c r="Q145" s="143"/>
      <c r="R145" s="143"/>
      <c r="S145" s="143"/>
    </row>
    <row r="146" spans="1:19" x14ac:dyDescent="0.2">
      <c r="A146" s="146"/>
      <c r="B146" s="147"/>
      <c r="C146" s="148"/>
      <c r="D146" s="148"/>
      <c r="E146" s="149"/>
      <c r="F146" s="149"/>
      <c r="G146" s="148"/>
      <c r="H146" s="150"/>
      <c r="I146" s="148"/>
      <c r="J146" s="148"/>
      <c r="K146" s="148"/>
      <c r="L146" s="148"/>
      <c r="M146" s="148"/>
      <c r="N146" s="148"/>
      <c r="O146" s="148"/>
      <c r="P146" s="148"/>
      <c r="Q146" s="148"/>
      <c r="R146" s="148"/>
      <c r="S146" s="148"/>
    </row>
    <row r="147" spans="1:19" x14ac:dyDescent="0.2">
      <c r="B147" s="77"/>
      <c r="C147" s="77"/>
      <c r="D147" s="77"/>
      <c r="E147" s="776"/>
      <c r="F147" s="776"/>
      <c r="G147" s="77"/>
      <c r="H147" s="77"/>
      <c r="I147" s="77"/>
      <c r="J147" s="77"/>
      <c r="K147" s="77"/>
      <c r="L147" s="77"/>
      <c r="M147" s="77"/>
      <c r="N147" s="776"/>
      <c r="O147" s="77"/>
      <c r="P147" s="77"/>
      <c r="Q147" s="77"/>
      <c r="R147" s="77"/>
      <c r="S147" s="77"/>
    </row>
    <row r="148" spans="1:19" x14ac:dyDescent="0.2">
      <c r="A148" s="77"/>
      <c r="B148" s="77"/>
      <c r="C148" s="77"/>
      <c r="D148" s="77"/>
      <c r="E148" s="776"/>
      <c r="F148" s="776"/>
      <c r="G148" s="77"/>
      <c r="H148" s="77"/>
      <c r="I148" s="77"/>
      <c r="J148" s="77"/>
      <c r="K148" s="77"/>
      <c r="L148" s="77"/>
      <c r="M148" s="77"/>
      <c r="N148" s="776"/>
      <c r="O148" s="77"/>
      <c r="P148" s="77"/>
      <c r="Q148" s="77"/>
      <c r="R148" s="77"/>
      <c r="S148" s="77"/>
    </row>
    <row r="149" spans="1:19" x14ac:dyDescent="0.2">
      <c r="A149" s="77"/>
      <c r="B149" s="77"/>
      <c r="C149" s="77"/>
      <c r="D149" s="77"/>
      <c r="E149" s="776"/>
      <c r="F149" s="776"/>
      <c r="G149" s="77"/>
      <c r="H149" s="77"/>
      <c r="I149" s="77"/>
      <c r="J149" s="77"/>
      <c r="K149" s="77"/>
      <c r="L149" s="77"/>
      <c r="M149" s="77"/>
      <c r="N149" s="776"/>
      <c r="O149" s="77"/>
      <c r="P149" s="77"/>
      <c r="Q149" s="77"/>
      <c r="R149" s="77"/>
      <c r="S149" s="77"/>
    </row>
  </sheetData>
  <mergeCells count="1">
    <mergeCell ref="I3:J3"/>
  </mergeCells>
  <pageMargins left="0.31496062992125984" right="0.27559055118110237" top="0.27559055118110237" bottom="0.27559055118110237" header="0.27559055118110237" footer="0"/>
  <pageSetup paperSize="9" fitToHeight="0" orientation="portrait" verticalDpi="1200" r:id="rId1"/>
  <headerFooter>
    <oddHeader>&amp;R&amp;9&amp;P. leht &amp;N&amp; -st</oddHeader>
  </headerFooter>
  <rowBreaks count="2" manualBreakCount="2">
    <brk id="69" max="16383" man="1"/>
    <brk id="125"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00"/>
    <pageSetUpPr fitToPage="1"/>
  </sheetPr>
  <dimension ref="A1:BK78"/>
  <sheetViews>
    <sheetView showGridLines="0" showRowColHeaders="0" zoomScaleNormal="100" workbookViewId="0">
      <pane ySplit="6" topLeftCell="A7" activePane="bottomLeft" state="frozen"/>
      <selection pane="bottomLeft" activeCell="AA1" sqref="AA1"/>
    </sheetView>
  </sheetViews>
  <sheetFormatPr defaultRowHeight="12.75" x14ac:dyDescent="0.2"/>
  <cols>
    <col min="1" max="1" width="6.140625" style="1" customWidth="1"/>
    <col min="2" max="2" width="7.42578125" style="1" hidden="1" customWidth="1"/>
    <col min="3" max="3" width="7.5703125" style="1" customWidth="1"/>
    <col min="4" max="4" width="9.140625" style="1" hidden="1" customWidth="1"/>
    <col min="5" max="5" width="3.140625" style="1" hidden="1" customWidth="1"/>
    <col min="6" max="6" width="0.85546875" style="1" hidden="1" customWidth="1"/>
    <col min="7" max="7" width="3" style="1" customWidth="1"/>
    <col min="8" max="8" width="6.7109375" style="1" hidden="1" customWidth="1"/>
    <col min="9" max="9" width="2.7109375" style="1" customWidth="1"/>
    <col min="10" max="10" width="8.28515625" style="1" hidden="1" customWidth="1"/>
    <col min="11" max="11" width="6" style="1" customWidth="1"/>
    <col min="12" max="12" width="22.140625" style="1" customWidth="1"/>
    <col min="13" max="17" width="3" style="1" hidden="1" customWidth="1"/>
    <col min="18" max="18" width="7.5703125" style="1" customWidth="1"/>
    <col min="19" max="19" width="23" style="1" hidden="1" customWidth="1"/>
    <col min="20" max="20" width="28.28515625" style="1" hidden="1" customWidth="1"/>
    <col min="21" max="21" width="9" style="1" hidden="1" customWidth="1"/>
    <col min="22" max="22" width="7.5703125" style="1" hidden="1" customWidth="1"/>
    <col min="23" max="23" width="32" style="1" hidden="1" customWidth="1"/>
    <col min="24" max="24" width="11.28515625" style="1" hidden="1" customWidth="1"/>
    <col min="25" max="25" width="5" style="1" hidden="1" customWidth="1"/>
    <col min="26" max="31" width="3.28515625" style="1" customWidth="1"/>
    <col min="32" max="32" width="5" style="1" customWidth="1"/>
    <col min="33" max="34" width="3.28515625" style="1" customWidth="1"/>
    <col min="35" max="37" width="4.140625" style="1" customWidth="1"/>
    <col min="38" max="38" width="4.28515625" style="1" customWidth="1"/>
    <col min="39" max="40" width="4.28515625" style="1" hidden="1" customWidth="1"/>
    <col min="41" max="41" width="3" style="1" hidden="1" customWidth="1"/>
    <col min="42" max="42" width="6.28515625" style="1" hidden="1" customWidth="1"/>
    <col min="43" max="43" width="8" style="1" hidden="1" customWidth="1"/>
    <col min="44" max="44" width="5.42578125" style="1" customWidth="1"/>
    <col min="45" max="47" width="3.28515625" style="1" customWidth="1"/>
    <col min="48" max="48" width="0.28515625" style="1" customWidth="1"/>
    <col min="49" max="58" width="8" style="1" hidden="1" customWidth="1"/>
    <col min="59" max="59" width="7" style="1" hidden="1" customWidth="1"/>
    <col min="60" max="62" width="8" style="1" hidden="1" customWidth="1"/>
    <col min="63" max="63" width="9.140625" style="1" customWidth="1"/>
    <col min="64" max="16384" width="9.140625" style="1"/>
  </cols>
  <sheetData>
    <row r="1" spans="1:63" x14ac:dyDescent="0.2">
      <c r="A1" s="156"/>
      <c r="B1" s="154"/>
      <c r="C1" s="159" t="s">
        <v>243</v>
      </c>
      <c r="D1" s="157"/>
      <c r="E1" s="157"/>
      <c r="F1" s="157"/>
      <c r="H1" s="157"/>
      <c r="J1" s="157"/>
      <c r="K1" s="158"/>
      <c r="L1" s="156"/>
      <c r="M1" s="160"/>
      <c r="N1" s="160"/>
      <c r="O1" s="160"/>
      <c r="P1" s="161"/>
      <c r="Q1" s="161"/>
      <c r="R1" s="162"/>
      <c r="S1" s="160"/>
      <c r="T1" s="160"/>
      <c r="U1" s="160"/>
      <c r="V1" s="160"/>
      <c r="W1" s="160"/>
      <c r="X1" s="160"/>
      <c r="Y1" s="160"/>
      <c r="Z1" s="162"/>
      <c r="AA1" s="162"/>
      <c r="AB1" s="162"/>
      <c r="AC1" s="162"/>
      <c r="AD1" s="162"/>
      <c r="AE1" s="162"/>
      <c r="AF1" s="162" t="s">
        <v>32</v>
      </c>
      <c r="AG1" s="162"/>
      <c r="AH1" s="158"/>
      <c r="AI1" s="408" t="str">
        <f>HYPERLINK("#Juhend!B1","Juhend")</f>
        <v>Juhend</v>
      </c>
      <c r="AJ1" s="156"/>
      <c r="AK1" s="156"/>
      <c r="AL1" s="156"/>
      <c r="AM1" s="157"/>
      <c r="AN1" s="154"/>
      <c r="AO1" s="163"/>
      <c r="AP1" s="163"/>
      <c r="AQ1" s="532"/>
      <c r="AR1" s="531" t="s">
        <v>93</v>
      </c>
      <c r="AS1" s="153" t="s">
        <v>90</v>
      </c>
      <c r="AT1" s="153"/>
      <c r="AU1" s="164"/>
      <c r="AV1" s="156"/>
      <c r="AW1" s="152" t="s">
        <v>94</v>
      </c>
      <c r="AX1" s="154"/>
      <c r="AY1" s="154"/>
      <c r="AZ1" s="154"/>
      <c r="BA1" s="154"/>
      <c r="BB1" s="154"/>
      <c r="BC1" s="154"/>
      <c r="BD1" s="154"/>
      <c r="BE1" s="154"/>
      <c r="BF1" s="154"/>
      <c r="BG1" s="154"/>
      <c r="BH1" s="154"/>
      <c r="BI1" s="154"/>
      <c r="BJ1" s="154"/>
    </row>
    <row r="2" spans="1:63" x14ac:dyDescent="0.2">
      <c r="A2" s="156"/>
      <c r="B2" s="156"/>
      <c r="C2" s="165" t="s">
        <v>301</v>
      </c>
      <c r="D2" s="158"/>
      <c r="E2" s="158"/>
      <c r="F2" s="158"/>
      <c r="H2" s="158"/>
      <c r="J2" s="158"/>
      <c r="K2" s="158"/>
      <c r="L2" s="156"/>
      <c r="M2" s="162"/>
      <c r="N2" s="162"/>
      <c r="O2" s="162"/>
      <c r="P2" s="166"/>
      <c r="Q2" s="166"/>
      <c r="R2" s="162"/>
      <c r="S2" s="162"/>
      <c r="T2" s="162"/>
      <c r="U2" s="162"/>
      <c r="V2" s="162"/>
      <c r="W2" s="162"/>
      <c r="X2" s="162"/>
      <c r="Y2" s="162"/>
      <c r="Z2" s="162"/>
      <c r="AA2" s="162"/>
      <c r="AB2" s="162"/>
      <c r="AC2" s="162"/>
      <c r="AD2" s="162"/>
      <c r="AE2" s="162"/>
      <c r="AF2" s="162"/>
      <c r="AG2" s="167"/>
      <c r="AH2" s="167"/>
      <c r="AI2" s="167"/>
      <c r="AJ2" s="162"/>
      <c r="AK2" s="162"/>
      <c r="AL2" s="162"/>
      <c r="AM2" s="162"/>
      <c r="AN2" s="162"/>
      <c r="AO2" s="162"/>
      <c r="AP2" s="162"/>
      <c r="AQ2" s="162"/>
      <c r="AS2" s="154" t="s">
        <v>91</v>
      </c>
      <c r="AT2" s="154"/>
      <c r="AU2" s="156"/>
      <c r="AV2" s="156"/>
      <c r="AW2" s="168">
        <v>3</v>
      </c>
      <c r="AX2" s="169" t="s">
        <v>287</v>
      </c>
      <c r="AY2" s="170"/>
      <c r="AZ2" s="170"/>
      <c r="BA2" s="170"/>
      <c r="BB2" s="170"/>
      <c r="BC2" s="170"/>
      <c r="BD2" s="156"/>
      <c r="BE2" s="156"/>
      <c r="BF2" s="156"/>
      <c r="BG2" s="156"/>
      <c r="BH2" s="156"/>
      <c r="BI2" s="156"/>
      <c r="BJ2" s="156"/>
    </row>
    <row r="3" spans="1:63" x14ac:dyDescent="0.2">
      <c r="A3" s="156"/>
      <c r="B3" s="156"/>
      <c r="C3" s="165" t="s">
        <v>303</v>
      </c>
      <c r="D3" s="158"/>
      <c r="E3" s="158"/>
      <c r="F3" s="158"/>
      <c r="H3" s="158"/>
      <c r="J3" s="158"/>
      <c r="K3" s="158"/>
      <c r="L3" s="156"/>
      <c r="M3" s="162"/>
      <c r="N3" s="162"/>
      <c r="O3" s="162"/>
      <c r="P3" s="166"/>
      <c r="Q3" s="166"/>
      <c r="R3" s="166"/>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S3" s="155" t="s">
        <v>92</v>
      </c>
      <c r="AT3" s="155"/>
      <c r="AU3" s="156"/>
      <c r="AV3" s="156"/>
      <c r="AW3" s="168">
        <v>3</v>
      </c>
      <c r="AX3" s="169" t="s">
        <v>286</v>
      </c>
      <c r="AY3" s="170"/>
      <c r="AZ3" s="170"/>
      <c r="BA3" s="170"/>
      <c r="BB3" s="170"/>
      <c r="BC3" s="170"/>
      <c r="BD3" s="170"/>
      <c r="BE3" s="170"/>
      <c r="BF3" s="156"/>
      <c r="BG3" s="156"/>
      <c r="BH3" s="156"/>
      <c r="BI3" s="156"/>
      <c r="BJ3" s="156"/>
    </row>
    <row r="4" spans="1:63" ht="29.25" x14ac:dyDescent="0.2">
      <c r="A4" s="171"/>
      <c r="B4" s="559"/>
      <c r="C4" s="562"/>
      <c r="D4" s="563"/>
      <c r="E4" s="171"/>
      <c r="F4" s="171"/>
      <c r="G4" s="171"/>
      <c r="H4" s="171"/>
      <c r="I4" s="171"/>
      <c r="J4" s="171"/>
      <c r="K4" s="171"/>
      <c r="L4" s="171"/>
      <c r="M4" s="171"/>
      <c r="N4" s="171"/>
      <c r="O4" s="171"/>
      <c r="P4" s="171"/>
      <c r="Q4" s="171"/>
      <c r="R4" s="566"/>
      <c r="S4" s="172" t="s">
        <v>95</v>
      </c>
      <c r="T4" s="172"/>
      <c r="U4" s="173" t="s">
        <v>96</v>
      </c>
      <c r="V4" s="172" t="s">
        <v>97</v>
      </c>
      <c r="W4" s="172" t="s">
        <v>98</v>
      </c>
      <c r="X4" s="172"/>
      <c r="Y4" s="174" t="s">
        <v>99</v>
      </c>
      <c r="Z4" s="175" t="str">
        <f>MID(Kalend!$A5,4,5)</f>
        <v>13.10</v>
      </c>
      <c r="AA4" s="175" t="str">
        <f>MID(Kalend!$A7,4,5)</f>
        <v>27.10</v>
      </c>
      <c r="AB4" s="175" t="str">
        <f>MID(Kalend!$A9,4,5)</f>
        <v>10.11</v>
      </c>
      <c r="AC4" s="175" t="str">
        <f>MID(Kalend!$A10,4,5)</f>
        <v>23.11</v>
      </c>
      <c r="AD4" s="175" t="str">
        <f>MID(Kalend!$A12,4,5)</f>
        <v>07.12</v>
      </c>
      <c r="AE4" s="175" t="str">
        <f>MID(Kalend!$A13,4,5)</f>
        <v>22.12</v>
      </c>
      <c r="AF4" s="175" t="str">
        <f>MID(Kalend!$A18,4,5)</f>
        <v>05.01</v>
      </c>
      <c r="AG4" s="175" t="str">
        <f>MID(Kalend!$A21,4,5)</f>
        <v>19.01</v>
      </c>
      <c r="AH4" s="175" t="str">
        <f>MID(Kalend!$A26,4,5)</f>
        <v>09.02</v>
      </c>
      <c r="AI4" s="175" t="str">
        <f>MID(Kalend!$A39,4,5)</f>
        <v>07.03</v>
      </c>
      <c r="AJ4" s="175" t="str">
        <f>MID(Kalend!$A51,4,5)</f>
        <v>01.11</v>
      </c>
      <c r="AK4" s="175" t="str">
        <f>MID(Kalend!$A52,4,5)</f>
        <v>15.11</v>
      </c>
      <c r="AL4" s="175" t="str">
        <f>MID(Kalend!$A53,4,5)</f>
        <v>22.11</v>
      </c>
      <c r="AM4" s="175" t="str">
        <f>MID(Kalend!$A35,4,5)</f>
        <v/>
      </c>
      <c r="AN4" s="175" t="str">
        <f>MID(Kalend!$A37,4,5)</f>
        <v/>
      </c>
      <c r="AO4" s="176"/>
      <c r="AP4" s="626"/>
      <c r="AQ4" s="177" t="s">
        <v>100</v>
      </c>
      <c r="AR4" s="966" t="str">
        <f>MID(Kalend!$A48,4,5)</f>
        <v>19.04</v>
      </c>
      <c r="AS4" s="1517" t="s">
        <v>101</v>
      </c>
      <c r="AT4" s="1518" t="s">
        <v>222</v>
      </c>
      <c r="AU4" s="1520" t="s">
        <v>102</v>
      </c>
      <c r="AV4" s="156"/>
      <c r="AW4" s="156"/>
      <c r="AZ4" s="156"/>
      <c r="BA4" s="156"/>
      <c r="BB4" s="156"/>
      <c r="BC4" s="156"/>
      <c r="BD4" s="156"/>
      <c r="BE4" s="156"/>
      <c r="BF4" s="156"/>
      <c r="BG4" s="156"/>
      <c r="BH4" s="156"/>
      <c r="BI4" s="156"/>
      <c r="BJ4" s="156"/>
      <c r="BK4" s="156"/>
    </row>
    <row r="5" spans="1:63" x14ac:dyDescent="0.2">
      <c r="A5" s="265" t="s">
        <v>100</v>
      </c>
      <c r="B5" s="266"/>
      <c r="C5" s="266"/>
      <c r="D5" s="266"/>
      <c r="E5" s="267" t="s">
        <v>100</v>
      </c>
      <c r="F5" s="266"/>
      <c r="G5" s="267" t="s">
        <v>100</v>
      </c>
      <c r="H5" s="266"/>
      <c r="I5" s="267"/>
      <c r="J5" s="266"/>
      <c r="K5" s="965" t="s">
        <v>78</v>
      </c>
      <c r="L5" s="179"/>
      <c r="M5" s="180" t="s">
        <v>100</v>
      </c>
      <c r="N5" s="180" t="s">
        <v>100</v>
      </c>
      <c r="O5" s="180" t="s">
        <v>100</v>
      </c>
      <c r="P5" s="180" t="s">
        <v>100</v>
      </c>
      <c r="Q5" s="180" t="s">
        <v>100</v>
      </c>
      <c r="R5" s="178" t="s">
        <v>80</v>
      </c>
      <c r="S5" s="181" t="s">
        <v>103</v>
      </c>
      <c r="T5" s="182"/>
      <c r="U5" s="183" t="s">
        <v>104</v>
      </c>
      <c r="V5" s="184"/>
      <c r="W5" s="184"/>
      <c r="X5" s="184"/>
      <c r="Y5" s="185" t="s">
        <v>105</v>
      </c>
      <c r="Z5" s="186" t="s">
        <v>106</v>
      </c>
      <c r="AA5" s="186" t="s">
        <v>106</v>
      </c>
      <c r="AB5" s="186" t="s">
        <v>106</v>
      </c>
      <c r="AC5" s="186" t="s">
        <v>106</v>
      </c>
      <c r="AD5" s="186" t="s">
        <v>106</v>
      </c>
      <c r="AE5" s="186" t="s">
        <v>106</v>
      </c>
      <c r="AF5" s="186" t="s">
        <v>106</v>
      </c>
      <c r="AG5" s="186" t="s">
        <v>106</v>
      </c>
      <c r="AH5" s="186" t="s">
        <v>106</v>
      </c>
      <c r="AI5" s="186" t="s">
        <v>106</v>
      </c>
      <c r="AJ5" s="186" t="s">
        <v>106</v>
      </c>
      <c r="AK5" s="186" t="s">
        <v>106</v>
      </c>
      <c r="AL5" s="186" t="s">
        <v>106</v>
      </c>
      <c r="AM5" s="186" t="s">
        <v>106</v>
      </c>
      <c r="AN5" s="186" t="s">
        <v>106</v>
      </c>
      <c r="AO5" s="187"/>
      <c r="AP5" s="628" t="s">
        <v>370</v>
      </c>
      <c r="AQ5" s="188" t="s">
        <v>107</v>
      </c>
      <c r="AR5" s="558" t="s">
        <v>108</v>
      </c>
      <c r="AS5" s="1517"/>
      <c r="AT5" s="1519"/>
      <c r="AU5" s="1520"/>
      <c r="AV5" s="156"/>
      <c r="AW5" s="156"/>
      <c r="AX5" s="156"/>
      <c r="AY5" s="156"/>
      <c r="AZ5" s="156"/>
      <c r="BA5" s="156"/>
      <c r="BB5" s="156"/>
      <c r="BC5" s="156"/>
      <c r="BD5" s="156"/>
      <c r="BE5" s="156"/>
      <c r="BF5" s="156"/>
      <c r="BG5" s="156"/>
      <c r="BH5" s="156"/>
      <c r="BI5" s="156"/>
      <c r="BJ5" s="156"/>
      <c r="BK5" s="156"/>
    </row>
    <row r="6" spans="1:63" x14ac:dyDescent="0.2">
      <c r="A6" s="189" t="s">
        <v>109</v>
      </c>
      <c r="B6" s="560" t="s">
        <v>109</v>
      </c>
      <c r="C6" s="735" t="s">
        <v>306</v>
      </c>
      <c r="D6" s="564" t="s">
        <v>306</v>
      </c>
      <c r="E6" s="191" t="s">
        <v>12</v>
      </c>
      <c r="F6" s="190" t="s">
        <v>110</v>
      </c>
      <c r="G6" s="192" t="s">
        <v>13</v>
      </c>
      <c r="H6" s="190" t="s">
        <v>111</v>
      </c>
      <c r="I6" s="193" t="s">
        <v>9</v>
      </c>
      <c r="J6" s="190" t="s">
        <v>112</v>
      </c>
      <c r="K6" s="194" t="s">
        <v>113</v>
      </c>
      <c r="L6" s="195" t="s">
        <v>79</v>
      </c>
      <c r="M6" s="196" t="s">
        <v>13</v>
      </c>
      <c r="N6" s="197" t="s">
        <v>12</v>
      </c>
      <c r="O6" s="198" t="s">
        <v>9</v>
      </c>
      <c r="P6" s="199" t="s">
        <v>19</v>
      </c>
      <c r="Q6" s="200" t="s">
        <v>21</v>
      </c>
      <c r="R6" s="201" t="s">
        <v>10</v>
      </c>
      <c r="S6" s="202" t="s">
        <v>114</v>
      </c>
      <c r="T6" s="202" t="s">
        <v>115</v>
      </c>
      <c r="U6" s="202" t="s">
        <v>116</v>
      </c>
      <c r="V6" s="203" t="s">
        <v>117</v>
      </c>
      <c r="W6" s="202" t="s">
        <v>118</v>
      </c>
      <c r="X6" s="202" t="s">
        <v>119</v>
      </c>
      <c r="Y6" s="202" t="s">
        <v>120</v>
      </c>
      <c r="Z6" s="187" t="str">
        <f>HYPERLINK("#V1!K1","V1")</f>
        <v>V1</v>
      </c>
      <c r="AA6" s="187" t="str">
        <f>HYPERLINK("#V2!H1","V2")</f>
        <v>V2</v>
      </c>
      <c r="AB6" s="187" t="str">
        <f>HYPERLINK("#V3!K1","V3")</f>
        <v>V3</v>
      </c>
      <c r="AC6" s="204" t="str">
        <f>HYPERLINK("#V4!n1","V4")</f>
        <v>V4</v>
      </c>
      <c r="AD6" s="187" t="str">
        <f>HYPERLINK("#V5!L1","V5")</f>
        <v>V5</v>
      </c>
      <c r="AE6" s="187" t="str">
        <f>HYPERLINK("#V6!J1","V6")</f>
        <v>V6</v>
      </c>
      <c r="AF6" s="187" t="str">
        <f>HYPERLINK("#V7!K1","V7")</f>
        <v>V7</v>
      </c>
      <c r="AG6" s="187" t="str">
        <f>HYPERLINK("#V8!J1","V8")</f>
        <v>V8</v>
      </c>
      <c r="AH6" s="187" t="str">
        <f>HYPERLINK("#V9!L1","V9")</f>
        <v>V9</v>
      </c>
      <c r="AI6" s="187" t="str">
        <f>HYPERLINK("#V10!I1","V10")</f>
        <v>V10</v>
      </c>
      <c r="AJ6" s="187" t="str">
        <f>HYPERLINK("#V11!I1","V11")</f>
        <v>V11</v>
      </c>
      <c r="AK6" s="187" t="str">
        <f>HYPERLINK("#V12!I1","V12")</f>
        <v>V12</v>
      </c>
      <c r="AL6" s="204" t="str">
        <f>HYPERLINK("#V13!K1","V13")</f>
        <v>V13</v>
      </c>
      <c r="AM6" s="204" t="str">
        <f>HYPERLINK("#V14!I1","V14")</f>
        <v>V14</v>
      </c>
      <c r="AN6" s="204" t="str">
        <f>HYPERLINK("#V15!I1","V15")</f>
        <v>V15</v>
      </c>
      <c r="AO6" s="205"/>
      <c r="AP6" s="629" t="s">
        <v>371</v>
      </c>
      <c r="AQ6" s="206" t="s">
        <v>121</v>
      </c>
      <c r="AR6" s="207" t="str">
        <f>HYPERLINK("#'V-Fin'!J1","V-Fin")</f>
        <v>V-Fin</v>
      </c>
      <c r="AS6" s="1517"/>
      <c r="AT6" s="1519"/>
      <c r="AU6" s="1520"/>
      <c r="AV6" s="156"/>
      <c r="AW6" s="156"/>
      <c r="AX6" s="156"/>
      <c r="AY6" s="156"/>
      <c r="AZ6" s="156"/>
      <c r="BA6" s="156"/>
      <c r="BB6" s="156"/>
      <c r="BC6" s="156"/>
      <c r="BD6" s="156"/>
      <c r="BE6" s="156"/>
      <c r="BF6" s="156"/>
      <c r="BG6" s="156"/>
      <c r="BH6" s="156"/>
      <c r="BI6" s="156"/>
      <c r="BJ6" s="156"/>
      <c r="BK6" s="156"/>
    </row>
    <row r="7" spans="1:63" x14ac:dyDescent="0.2">
      <c r="A7" s="208">
        <f t="shared" ref="A7:A38" si="0">IF(R7&gt;0,IF(Q7="v",RANK(B7,B$7:B$73,1)-COUNTBLANK(Q$7:Q$73),""),"")</f>
        <v>1</v>
      </c>
      <c r="B7" s="561">
        <f t="shared" ref="B7:B38" si="1">IF((Q7="v"),U7,U7-1000)</f>
        <v>1</v>
      </c>
      <c r="C7" s="736">
        <f t="shared" ref="C7:C38" si="2">IF(R7&gt;0,IF(P7="t",RANK(D7,D$7:D$73,1)-COUNTBLANK(P$7:P$73),""),"")</f>
        <v>1</v>
      </c>
      <c r="D7" s="565">
        <f t="shared" ref="D7:D38" si="3">IF((P7="t"),U7,U7-1000)</f>
        <v>1</v>
      </c>
      <c r="E7" s="210">
        <f t="shared" ref="E7:E38" si="4">IF(R7&gt;0,IF(N7="m",RANK(F7,F$7:F$73,1)-COUNTBLANK(N$7:N$73),""),"")</f>
        <v>1</v>
      </c>
      <c r="F7" s="209">
        <f t="shared" ref="F7:F38" si="5">IF((N7="m"),U7,U7-1000)</f>
        <v>1</v>
      </c>
      <c r="G7" s="211" t="str">
        <f t="shared" ref="G7:G38" si="6">IF(R7&gt;0,IF(M7="n",RANK(H7,H$7:H$73,1)-COUNTBLANK(M$7:M$73),""),"")</f>
        <v/>
      </c>
      <c r="H7" s="209">
        <f t="shared" ref="H7:H38" si="7">IF((M7="n"),U7,U7-1000)</f>
        <v>-999</v>
      </c>
      <c r="I7" s="212" t="str">
        <f t="shared" ref="I7:I38" si="8">IF(R7&gt;0,IF(O7="j",RANK(J7,J$7:J$73,1)-COUNTBLANK(O$7:O$73),""),"")</f>
        <v/>
      </c>
      <c r="J7" s="213">
        <f t="shared" ref="J7:J38" si="9">IF((O7="j"),U7,U7-1000)</f>
        <v>-999</v>
      </c>
      <c r="K7" s="178">
        <f t="shared" ref="K7:K38" si="10">IF(R7&gt;0,RANK(U7,U$7:U$73,1),"")</f>
        <v>1</v>
      </c>
      <c r="L7" s="232" t="s">
        <v>85</v>
      </c>
      <c r="M7" s="215"/>
      <c r="N7" s="216" t="str">
        <f>IF(M7="","m","")</f>
        <v>m</v>
      </c>
      <c r="O7" s="217"/>
      <c r="P7" s="218" t="s">
        <v>478</v>
      </c>
      <c r="Q7" s="219" t="s">
        <v>124</v>
      </c>
      <c r="R7" s="220">
        <f t="array" ref="R7">(IF(COUNT(Z7,AA7,AB7,AC7,AD7,AE7,AF7,AG7,AH7,AI7,AJ7,AK7,AL7,AM7,AN7)&lt;11,SUM(Z7,AA7,AB7,AC7,AD7,AE7,AF7,AG7,AH7,AI7,AJ7,AK7,AL7,AM7,AN7),SUM(LARGE((Z7,AA7,AB7,AC7,AD7,AE7,AF7,AG7,AH7,AI7,AJ7,AK7,AL7,AM7,AN7),{1;2;3;4;5;6;7;8;9;10}))))</f>
        <v>187</v>
      </c>
      <c r="S7" s="221" t="str">
        <f>INDEX(ETAPP!B$1:B$32,MATCH(COUNTIF(Z7:AN7,PVO!A$1),ETAPP!A$1:A$32,0))&amp;INDEX(ETAPP!B$1:B$32,MATCH(COUNTIF(Z7:AN7,PVO!A$2),ETAPP!A$1:A$32,0))&amp;INDEX(ETAPP!B$1:B$32,MATCH(COUNTIF(Z7:AN7,PVO!A$3),ETAPP!A$1:A$32,0))&amp;INDEX(ETAPP!B$1:B$32,MATCH(COUNTIF(Z7:AN7,PVO!A$4),ETAPP!A$1:A$32,0))&amp;INDEX(ETAPP!B$1:B$32,MATCH(COUNTIF(Z7:AN7,PVO!A$5),ETAPP!A$1:A$32,0))&amp;INDEX(ETAPP!B$1:B$32,MATCH(COUNTIF(Z7:AN7,PVO!A$6),ETAPP!A$1:A$32,0))&amp;INDEX(ETAPP!B$1:B$32,MATCH(COUNTIF(Z7:AN7,PVO!A$7),ETAPP!A$1:A$32,0))&amp;INDEX(ETAPP!B$1:B$32,MATCH(COUNTIF(Z7:AN7,PVO!A$8),ETAPP!A$1:A$32,0))&amp;INDEX(ETAPP!B$1:B$32,MATCH(COUNTIF(Z7:AN7,PVO!A$9),ETAPP!A$1:A$32,0))&amp;INDEX(ETAPP!B$1:B$32,MATCH(COUNTIF(Z7:AN7,PVO!A$10),ETAPP!A$1:A$32,0))&amp;INDEX(ETAPP!B$1:B$32,MATCH(COUNTIF(Z7:AN7,PVO!A$11),ETAPP!A$1:A$32,0))&amp;INDEX(ETAPP!B$1:B$32,MATCH(COUNTIF(Z7:AN7,PVO!A$12),ETAPP!A$1:A$32,0))&amp;INDEX(ETAPP!B$1:B$32,MATCH(COUNTIF(Z7:AN7,PVO!A$13),ETAPP!A$1:A$32,0))&amp;INDEX(ETAPP!B$1:B$32,MATCH(COUNTIF(Z7:AN7,PVO!A$14),ETAPP!A$1:A$32,0))&amp;INDEX(ETAPP!B$1:B$32,MATCH(COUNTIF(Z7:AN7,PVO!A$15),ETAPP!A$1:A$32,0))&amp;INDEX(ETAPP!B$1:B$32,MATCH(COUNTIF(Z7:AN7,PVO!A$16),ETAPP!A$1:A$32,0))&amp;INDEX(ETAPP!B$1:B$32,MATCH(COUNTIF(Z7:AN7,PVO!A$17),ETAPP!A$1:A$32,0))&amp;INDEX(ETAPP!B$1:B$32,MATCH(COUNTIF(Z7:AN7,PVO!A$18),ETAPP!A$1:A$32,0))&amp;INDEX(ETAPP!B$1:B$32,MATCH(COUNTIF(Z7:AN7,PVO!A$19),ETAPP!A$1:A$32,0))&amp;INDEX(ETAPP!B$1:B$32,MATCH(COUNTIF(Z7:AN7,PVO!A$20),ETAPP!A$1:A$32,0))&amp;INDEX(ETAPP!B$1:B$32,MATCH(COUNTIF(Z7:AN7,PVO!A$21),ETAPP!A$1:A$32,0))</f>
        <v>CBDAA00AA000000000000</v>
      </c>
      <c r="T7" s="221" t="str">
        <f t="shared" ref="T7:T38" si="11">TEXT(R7,"000,0")&amp;"-"&amp;S7</f>
        <v>187,0-CBDAA00AA000000000000</v>
      </c>
      <c r="U7" s="221">
        <f t="shared" ref="U7:U38" si="12">COUNTIF(T$7:T$73,"&gt;="&amp;T7)</f>
        <v>1</v>
      </c>
      <c r="V7" s="221">
        <f t="shared" ref="V7:V38" si="13">COUNTIF(L$7:L$73,"&gt;="&amp;L7)</f>
        <v>41</v>
      </c>
      <c r="W7" s="221" t="str">
        <f t="shared" ref="W7:W38" si="14">TEXT(R7,"000,0")&amp;"-"&amp;S7&amp;"-"&amp;TEXT(V7,"000")</f>
        <v>187,0-CBDAA00AA000000000000-041</v>
      </c>
      <c r="X7" s="221">
        <f t="shared" ref="X7:X38" si="15">COUNTIF(W$7:W$73,"&gt;="&amp;W7)</f>
        <v>1</v>
      </c>
      <c r="Y7" s="222">
        <f t="shared" ref="Y7:Y38" si="16">RANK(X7,X$7:X$73,0)</f>
        <v>67</v>
      </c>
      <c r="Z7" s="223">
        <f>IFERROR(INDEX('V1'!C$300:C$400,MATCH("*"&amp;L7&amp;"*",'V1'!B$300:B$400,0)),"  ")</f>
        <v>18</v>
      </c>
      <c r="AA7" s="223">
        <f>IFERROR(INDEX('V2'!C$300:C$400,MATCH("*"&amp;L7&amp;"*",'V2'!B$300:B$400,0)),"  ")</f>
        <v>18</v>
      </c>
      <c r="AB7" s="223">
        <f>IFERROR(INDEX('V3'!C$300:C$400,MATCH("*"&amp;L7&amp;"*",'V3'!B$300:B$400,0)),"  ")</f>
        <v>20</v>
      </c>
      <c r="AC7" s="223">
        <f>IFERROR(INDEX('V4'!C$300:C$400,MATCH("*"&amp;L7&amp;"*",'V4'!B$300:B$400,0)),"  ")</f>
        <v>16</v>
      </c>
      <c r="AD7" s="223">
        <f>IFERROR(INDEX('V5'!C$300:C$400,MATCH("*"&amp;L7&amp;"*",'V5'!B$300:B$400,0)),"  ")</f>
        <v>20</v>
      </c>
      <c r="AE7" s="223">
        <f>IFERROR(INDEX('V6'!C$300:C$400,MATCH("*"&amp;L7&amp;"*",'V6'!B$300:B$400,0)),"  ")</f>
        <v>12</v>
      </c>
      <c r="AF7" s="223">
        <f>IFERROR(INDEX('V7'!C$300:C$400,MATCH("*"&amp;L7&amp;"*",'V7'!B$300:B$400,0)),"  ")</f>
        <v>18</v>
      </c>
      <c r="AG7" s="223">
        <f>IFERROR(INDEX('V8'!C$300:C$400,MATCH("*"&amp;L7&amp;"*",'V8'!B$300:B$400,0)),"  ")</f>
        <v>18</v>
      </c>
      <c r="AH7" s="223">
        <f>IFERROR(INDEX('V9'!C$300:C$400,MATCH("*"&amp;L7&amp;"*",'V9'!B$300:B$400,0)),"  ")</f>
        <v>19</v>
      </c>
      <c r="AI7" s="223">
        <f>IFERROR(INDEX('V10'!C$300:C$400,MATCH("*"&amp;L7&amp;"*",'V10'!B$300:B$400,0)),"  ")</f>
        <v>17</v>
      </c>
      <c r="AJ7" s="223">
        <f>IFERROR(INDEX('V11'!C$300:C$400,MATCH("*"&amp;L7&amp;"*",'V11'!B$300:B$400,0)),"  ")</f>
        <v>20</v>
      </c>
      <c r="AK7" s="223">
        <f>IFERROR(INDEX('V12'!C$300:C$400,MATCH("*"&amp;L7&amp;"*",'V12'!B$300:B$400,0)),"  ")</f>
        <v>19</v>
      </c>
      <c r="AL7" s="223">
        <f>IFERROR(INDEX('V13'!C$300:C$400,MATCH("*"&amp;L7&amp;"*",'V13'!B$300:B$400,0)),"  ")</f>
        <v>13</v>
      </c>
      <c r="AM7" s="223"/>
      <c r="AN7" s="223"/>
      <c r="AO7" s="224">
        <f t="shared" ref="AO7:AO38" si="17">IF(AS7&gt;(AW$2-1),K7,"")</f>
        <v>1</v>
      </c>
      <c r="AP7" s="627">
        <f t="shared" ref="AP7:AP38" si="18">SUM(Z7:AN7)</f>
        <v>228</v>
      </c>
      <c r="AQ7" s="225" t="str">
        <f t="shared" ref="AQ7:AQ38" si="19">IFERROR("edasi "&amp;RANK(AO7,AO$7:AO$73,1),K7)</f>
        <v>edasi 1</v>
      </c>
      <c r="AR7" s="226" t="str">
        <f>IFERROR(INDEX(#REF!,MATCH("*"&amp;L7&amp;"*",#REF!,0)),"  ")</f>
        <v xml:space="preserve">  </v>
      </c>
      <c r="AS7" s="227">
        <f t="shared" ref="AS7:AS38" si="20">COUNTIF(Z7:AN7,"&gt;=0")</f>
        <v>13</v>
      </c>
      <c r="AT7" s="228">
        <f t="shared" ref="AT7:AT38" si="21">IFERROR(IF(Z7+1&gt;LARGE(Z$7:Z$73,1)-2,1),0)+IFERROR(IF(AA7+1&gt;LARGE(AA$7:AA$73,1)-2,1),0)+IFERROR(IF(AB7+1&gt;LARGE(AB$7:AB$73,1)-2,1),0)+IFERROR(IF(AC7+1&gt;LARGE(AC$7:AC$73,1)-2,1),0)+IFERROR(IF(AD7+1&gt;LARGE(AD$7:AD$73,1)-2,1),0)+IFERROR(IF(AE7+1&gt;LARGE(AE$7:AE$73,1)-2,1),0)+IFERROR(IF(AF7+1&gt;LARGE(AF$7:AF$73,1)-2,1),0)+IFERROR(IF(AG7+1&gt;LARGE(AG$7:AG$73,1)-2,1),0)+IFERROR(IF(AH7+1&gt;LARGE(AH$7:AH$73,1)-2,1),0)+IFERROR(IF(AI7+1&gt;LARGE(AI$7:AI$73,1)-2,1),0)+IFERROR(IF(AJ7+1&gt;LARGE(AJ$7:AJ$73,1)-2,1),0)+IFERROR(IF(AK7+1&gt;LARGE(AK$7:AK$73,1)-2,1),0)+IFERROR(IF(AL7+1&gt;LARGE(AL$7:AL$73,1)-2,1),0)+IFERROR(IF(AM7+1&gt;LARGE(AM$7:AM$73,1)-2,1),0)+IFERROR(IF(AN7+1&gt;LARGE(AN$7:AN$73,1)-2,1),0)</f>
        <v>9</v>
      </c>
      <c r="AU7" s="228">
        <f t="shared" ref="AU7:AU38" si="22">IF(Z7=0,0,IF(Z7=IFERROR(LARGE(Z$7:Z$73,1),0),1,0))+IF(AA7=0,0,IF(AA7=IFERROR(LARGE(AA$7:AA$73,1),0),1,0))+IF(AB7=0,0,IF(AB7=IFERROR(LARGE(AB$7:AB$73,1),0),1,0))+IF(AC7=0,0,IF(AC7=IFERROR(LARGE(AC$7:AC$73,1),0),1,0))+IF(AD7=0,0,IF(AD7=IFERROR(LARGE(AD$7:AD$73,1),0),1,0))+IF(AE7=0,0,IF(AE7=IFERROR(LARGE(AE$7:AE$73,1),0),1,0))+IF(AF7=0,0,IF(AF7=IFERROR(LARGE(AF$7:AF$73,1),0),1,0))+IF(AG7=0,0,IF(AG7=IFERROR(LARGE(AG$7:AG$73,1),0),1,0))+IF(AH7=0,0,IF(AH7=IFERROR(LARGE(AH$7:AH$73,1),0),1,0))+IF(AI7=0,0,IF(AI7=IFERROR(LARGE(AI$7:AI$73,1),0),1,0))+IF(AJ7=0,0,IF(AJ7=IFERROR(LARGE(AJ$7:AJ$73,1),0),1,0))+IF(AK7=0,0,IF(AK7=IFERROR(LARGE(AK$7:AK$73,1),0),1,0))+IF(AL7=0,0,IF(AL7=IFERROR(LARGE(AL$7:AL$73,1),0),1,0))+IF(AM7=0,0,IF(AM7=IFERROR(LARGE(AM$7:AM$73,1),0),1,0))+IF(AN7=0,0,IF(AN7=IFERROR(LARGE(AN$7:AN$73,1),0),1,0))</f>
        <v>3</v>
      </c>
      <c r="AV7" s="156"/>
      <c r="AW7" s="229">
        <f t="shared" ref="AW7:AW38" si="23">SMALL(AX7:BJ7,AW$3)</f>
        <v>16.000399999999999</v>
      </c>
      <c r="AX7" s="230">
        <f t="shared" ref="AX7:AX38" si="24">IF(Z7="  ",0+MID(Z$6,FIND("V",Z$6)+1,256)/10000,Z7+MID(Z$6,FIND("V",Z$6)+1,256)/10000)</f>
        <v>18.0001</v>
      </c>
      <c r="AY7" s="230">
        <f t="shared" ref="AY7:AY38" si="25">IF(AA7="  ",0+MID(AA$6,FIND("V",AA$6)+1,256)/10000,AA7+MID(AA$6,FIND("V",AA$6)+1,256)/10000)</f>
        <v>18.0002</v>
      </c>
      <c r="AZ7" s="230">
        <f t="shared" ref="AZ7:AZ38" si="26">IF(AB7="  ",0+MID(AB$6,FIND("V",AB$6)+1,256)/10000,AB7+MID(AB$6,FIND("V",AB$6)+1,256)/10000)</f>
        <v>20.000299999999999</v>
      </c>
      <c r="BA7" s="230">
        <f t="shared" ref="BA7:BA38" si="27">IF(AC7="  ",0+MID(AC$6,FIND("V",AC$6)+1,256)/10000,AC7+MID(AC$6,FIND("V",AC$6)+1,256)/10000)</f>
        <v>16.000399999999999</v>
      </c>
      <c r="BB7" s="230">
        <f t="shared" ref="BB7:BB38" si="28">IF(AD7="  ",0+MID(AD$6,FIND("V",AD$6)+1,256)/10000,AD7+MID(AD$6,FIND("V",AD$6)+1,256)/10000)</f>
        <v>20.000499999999999</v>
      </c>
      <c r="BC7" s="230">
        <f t="shared" ref="BC7:BC38" si="29">IF(AE7="  ",0+MID(AE$6,FIND("V",AE$6)+1,256)/10000,AE7+MID(AE$6,FIND("V",AE$6)+1,256)/10000)</f>
        <v>12.0006</v>
      </c>
      <c r="BD7" s="230">
        <f t="shared" ref="BD7:BD38" si="30">IF(AF7="  ",0+MID(AF$6,FIND("V",AF$6)+1,256)/10000,AF7+MID(AF$6,FIND("V",AF$6)+1,256)/10000)</f>
        <v>18.000699999999998</v>
      </c>
      <c r="BE7" s="230">
        <f t="shared" ref="BE7:BE38" si="31">IF(AG7="  ",0+MID(AG$6,FIND("V",AG$6)+1,256)/10000,AG7+MID(AG$6,FIND("V",AG$6)+1,256)/10000)</f>
        <v>18.000800000000002</v>
      </c>
      <c r="BF7" s="230">
        <f t="shared" ref="BF7:BF38" si="32">IF(AH7="  ",0+MID(AH$6,FIND("V",AH$6)+1,256)/10000,AH7+MID(AH$6,FIND("V",AH$6)+1,256)/10000)</f>
        <v>19.000900000000001</v>
      </c>
      <c r="BG7" s="230">
        <f t="shared" ref="BG7:BG38" si="33">IF(AI7="  ",0+MID(AI$6,FIND("V",AI$6)+1,256)/10000,AI7+MID(AI$6,FIND("V",AI$6)+1,256)/10000)</f>
        <v>17.001000000000001</v>
      </c>
      <c r="BH7" s="230">
        <f t="shared" ref="BH7:BH38" si="34">IF(AJ7="  ",0+MID(AJ$6,FIND("V",AJ$6)+1,256)/10000,AJ7+MID(AJ$6,FIND("V",AJ$6)+1,256)/10000)</f>
        <v>20.001100000000001</v>
      </c>
      <c r="BI7" s="230">
        <f t="shared" ref="BI7:BI38" si="35">IF(AK7="  ",0+MID(AK$6,FIND("V",AK$6)+1,256)/10000,AK7+MID(AK$6,FIND("V",AK$6)+1,256)/10000)</f>
        <v>19.001200000000001</v>
      </c>
      <c r="BJ7" s="230">
        <f t="shared" ref="BJ7:BJ38" si="36">IF(AL7="  ",0+MID(AL$6,FIND("V",AL$6)+1,256)/10000,AL7+MID(AL$6,FIND("V",AL$6)+1,256)/10000)</f>
        <v>13.001300000000001</v>
      </c>
      <c r="BK7" s="156"/>
    </row>
    <row r="8" spans="1:63" x14ac:dyDescent="0.2">
      <c r="A8" s="208" t="str">
        <f t="shared" si="0"/>
        <v/>
      </c>
      <c r="B8" s="561">
        <f t="shared" si="1"/>
        <v>-998</v>
      </c>
      <c r="C8" s="736">
        <f t="shared" si="2"/>
        <v>2</v>
      </c>
      <c r="D8" s="565">
        <f t="shared" si="3"/>
        <v>2</v>
      </c>
      <c r="E8" s="210">
        <f t="shared" si="4"/>
        <v>2</v>
      </c>
      <c r="F8" s="209">
        <f t="shared" si="5"/>
        <v>2</v>
      </c>
      <c r="G8" s="211" t="str">
        <f t="shared" si="6"/>
        <v/>
      </c>
      <c r="H8" s="209">
        <f t="shared" si="7"/>
        <v>-998</v>
      </c>
      <c r="I8" s="212" t="str">
        <f t="shared" si="8"/>
        <v/>
      </c>
      <c r="J8" s="213">
        <f t="shared" si="9"/>
        <v>-998</v>
      </c>
      <c r="K8" s="178">
        <f t="shared" si="10"/>
        <v>2</v>
      </c>
      <c r="L8" s="232" t="s">
        <v>132</v>
      </c>
      <c r="M8" s="215"/>
      <c r="N8" s="216" t="str">
        <f>IF(M8="","m","")</f>
        <v>m</v>
      </c>
      <c r="O8" s="217"/>
      <c r="P8" s="218" t="s">
        <v>478</v>
      </c>
      <c r="Q8" s="219"/>
      <c r="R8" s="220">
        <f t="array" ref="R8">(IF(COUNT(Z8,AA8,AB8,AC8,AD8,AE8,AF8,AG8,AH8,AI8,AJ8,AK8,AL8,AM8,AN8)&lt;11,SUM(Z8,AA8,AB8,AC8,AD8,AE8,AF8,AG8,AH8,AI8,AJ8,AK8,AL8,AM8,AN8),SUM(LARGE((Z8,AA8,AB8,AC8,AD8,AE8,AF8,AG8,AH8,AI8,AJ8,AK8,AL8,AM8,AN8),{1;2;3;4;5;6;7;8;9;10}))))</f>
        <v>178</v>
      </c>
      <c r="S8" s="221" t="str">
        <f>INDEX(ETAPP!B$1:B$32,MATCH(COUNTIF(Z8:AN8,PVO!A$1),ETAPP!A$1:A$32,0))&amp;INDEX(ETAPP!B$1:B$32,MATCH(COUNTIF(Z8:AN8,PVO!A$2),ETAPP!A$1:A$32,0))&amp;INDEX(ETAPP!B$1:B$32,MATCH(COUNTIF(Z8:AN8,PVO!A$3),ETAPP!A$1:A$32,0))&amp;INDEX(ETAPP!B$1:B$32,MATCH(COUNTIF(Z8:AN8,PVO!A$4),ETAPP!A$1:A$32,0))&amp;INDEX(ETAPP!B$1:B$32,MATCH(COUNTIF(Z8:AN8,PVO!A$5),ETAPP!A$1:A$32,0))&amp;INDEX(ETAPP!B$1:B$32,MATCH(COUNTIF(Z8:AN8,PVO!A$6),ETAPP!A$1:A$32,0))&amp;INDEX(ETAPP!B$1:B$32,MATCH(COUNTIF(Z8:AN8,PVO!A$7),ETAPP!A$1:A$32,0))&amp;INDEX(ETAPP!B$1:B$32,MATCH(COUNTIF(Z8:AN8,PVO!A$8),ETAPP!A$1:A$32,0))&amp;INDEX(ETAPP!B$1:B$32,MATCH(COUNTIF(Z8:AN8,PVO!A$9),ETAPP!A$1:A$32,0))&amp;INDEX(ETAPP!B$1:B$32,MATCH(COUNTIF(Z8:AN8,PVO!A$10),ETAPP!A$1:A$32,0))&amp;INDEX(ETAPP!B$1:B$32,MATCH(COUNTIF(Z8:AN8,PVO!A$11),ETAPP!A$1:A$32,0))&amp;INDEX(ETAPP!B$1:B$32,MATCH(COUNTIF(Z8:AN8,PVO!A$12),ETAPP!A$1:A$32,0))&amp;INDEX(ETAPP!B$1:B$32,MATCH(COUNTIF(Z8:AN8,PVO!A$13),ETAPP!A$1:A$32,0))&amp;INDEX(ETAPP!B$1:B$32,MATCH(COUNTIF(Z8:AN8,PVO!A$14),ETAPP!A$1:A$32,0))&amp;INDEX(ETAPP!B$1:B$32,MATCH(COUNTIF(Z8:AN8,PVO!A$15),ETAPP!A$1:A$32,0))&amp;INDEX(ETAPP!B$1:B$32,MATCH(COUNTIF(Z8:AN8,PVO!A$16),ETAPP!A$1:A$32,0))&amp;INDEX(ETAPP!B$1:B$32,MATCH(COUNTIF(Z8:AN8,PVO!A$17),ETAPP!A$1:A$32,0))&amp;INDEX(ETAPP!B$1:B$32,MATCH(COUNTIF(Z8:AN8,PVO!A$18),ETAPP!A$1:A$32,0))&amp;INDEX(ETAPP!B$1:B$32,MATCH(COUNTIF(Z8:AN8,PVO!A$19),ETAPP!A$1:A$32,0))&amp;INDEX(ETAPP!B$1:B$32,MATCH(COUNTIF(Z8:AN8,PVO!A$20),ETAPP!A$1:A$32,0))&amp;INDEX(ETAPP!B$1:B$32,MATCH(COUNTIF(Z8:AN8,PVO!A$21),ETAPP!A$1:A$32,0))</f>
        <v>BBCAA00AA000000000000</v>
      </c>
      <c r="T8" s="221" t="str">
        <f t="shared" si="11"/>
        <v>178,0-BBCAA00AA000000000000</v>
      </c>
      <c r="U8" s="221">
        <f t="shared" si="12"/>
        <v>2</v>
      </c>
      <c r="V8" s="221">
        <f t="shared" si="13"/>
        <v>33</v>
      </c>
      <c r="W8" s="221" t="str">
        <f t="shared" si="14"/>
        <v>178,0-BBCAA00AA000000000000-033</v>
      </c>
      <c r="X8" s="221">
        <f t="shared" si="15"/>
        <v>2</v>
      </c>
      <c r="Y8" s="222">
        <f t="shared" si="16"/>
        <v>66</v>
      </c>
      <c r="Z8" s="223">
        <f>IFERROR(INDEX('V1'!C$300:C$400,MATCH("*"&amp;L8&amp;"*",'V1'!B$300:B$400,0)),"  ")</f>
        <v>18</v>
      </c>
      <c r="AA8" s="223" t="str">
        <f>IFERROR(INDEX('V2'!C$300:C$400,MATCH("*"&amp;L8&amp;"*",'V2'!B$300:B$400,0)),"  ")</f>
        <v xml:space="preserve">  </v>
      </c>
      <c r="AB8" s="223">
        <f>IFERROR(INDEX('V3'!C$300:C$400,MATCH("*"&amp;L8&amp;"*",'V3'!B$300:B$400,0)),"  ")</f>
        <v>20</v>
      </c>
      <c r="AC8" s="223">
        <f>IFERROR(INDEX('V4'!C$300:C$400,MATCH("*"&amp;L8&amp;"*",'V4'!B$300:B$400,0)),"  ")</f>
        <v>16</v>
      </c>
      <c r="AD8" s="223">
        <f>IFERROR(INDEX('V5'!C$300:C$400,MATCH("*"&amp;L8&amp;"*",'V5'!B$300:B$400,0)),"  ")</f>
        <v>20</v>
      </c>
      <c r="AE8" s="223">
        <f>IFERROR(INDEX('V6'!C$300:C$400,MATCH("*"&amp;L8&amp;"*",'V6'!B$300:B$400,0)),"  ")</f>
        <v>12</v>
      </c>
      <c r="AF8" s="223">
        <f>IFERROR(INDEX('V7'!C$300:C$400,MATCH("*"&amp;L8&amp;"*",'V7'!B$300:B$400,0)),"  ")</f>
        <v>18</v>
      </c>
      <c r="AG8" s="223">
        <f>IFERROR(INDEX('V8'!C$300:C$400,MATCH("*"&amp;L8&amp;"*",'V8'!B$300:B$400,0)),"  ")</f>
        <v>18</v>
      </c>
      <c r="AH8" s="223">
        <f>IFERROR(INDEX('V9'!C$300:C$400,MATCH("*"&amp;L8&amp;"*",'V9'!B$300:B$400,0)),"  ")</f>
        <v>19</v>
      </c>
      <c r="AI8" s="223">
        <f>IFERROR(INDEX('V10'!C$300:C$400,MATCH("*"&amp;L8&amp;"*",'V10'!B$300:B$400,0)),"  ")</f>
        <v>17</v>
      </c>
      <c r="AJ8" s="223" t="str">
        <f>IFERROR(INDEX('V11'!C$300:C$400,MATCH("*"&amp;L8&amp;"*",'V11'!B$300:B$400,0)),"  ")</f>
        <v xml:space="preserve">  </v>
      </c>
      <c r="AK8" s="223">
        <f>IFERROR(INDEX('V12'!C$300:C$400,MATCH("*"&amp;L8&amp;"*",'V12'!B$300:B$400,0)),"  ")</f>
        <v>19</v>
      </c>
      <c r="AL8" s="223">
        <f>IFERROR(INDEX('V13'!C$300:C$400,MATCH("*"&amp;L8&amp;"*",'V13'!B$300:B$400,0)),"  ")</f>
        <v>13</v>
      </c>
      <c r="AM8" s="223"/>
      <c r="AN8" s="223"/>
      <c r="AO8" s="224">
        <f t="shared" si="17"/>
        <v>2</v>
      </c>
      <c r="AP8" s="627">
        <f t="shared" si="18"/>
        <v>190</v>
      </c>
      <c r="AQ8" s="225" t="str">
        <f t="shared" si="19"/>
        <v>edasi 2</v>
      </c>
      <c r="AR8" s="226" t="str">
        <f>IFERROR(INDEX(#REF!,MATCH("*"&amp;L8&amp;"*",#REF!,0)),"  ")</f>
        <v xml:space="preserve">  </v>
      </c>
      <c r="AS8" s="227">
        <f t="shared" si="20"/>
        <v>11</v>
      </c>
      <c r="AT8" s="228">
        <f t="shared" si="21"/>
        <v>7</v>
      </c>
      <c r="AU8" s="228">
        <f t="shared" si="22"/>
        <v>2</v>
      </c>
      <c r="AV8" s="233"/>
      <c r="AW8" s="229">
        <f t="shared" si="23"/>
        <v>12.0006</v>
      </c>
      <c r="AX8" s="230">
        <f t="shared" si="24"/>
        <v>18.0001</v>
      </c>
      <c r="AY8" s="230">
        <f t="shared" si="25"/>
        <v>2.0000000000000001E-4</v>
      </c>
      <c r="AZ8" s="230">
        <f t="shared" si="26"/>
        <v>20.000299999999999</v>
      </c>
      <c r="BA8" s="230">
        <f t="shared" si="27"/>
        <v>16.000399999999999</v>
      </c>
      <c r="BB8" s="230">
        <f t="shared" si="28"/>
        <v>20.000499999999999</v>
      </c>
      <c r="BC8" s="230">
        <f t="shared" si="29"/>
        <v>12.0006</v>
      </c>
      <c r="BD8" s="230">
        <f t="shared" si="30"/>
        <v>18.000699999999998</v>
      </c>
      <c r="BE8" s="230">
        <f t="shared" si="31"/>
        <v>18.000800000000002</v>
      </c>
      <c r="BF8" s="230">
        <f t="shared" si="32"/>
        <v>19.000900000000001</v>
      </c>
      <c r="BG8" s="230">
        <f t="shared" si="33"/>
        <v>17.001000000000001</v>
      </c>
      <c r="BH8" s="230">
        <f t="shared" si="34"/>
        <v>1.1000000000000001E-3</v>
      </c>
      <c r="BI8" s="230">
        <f t="shared" si="35"/>
        <v>19.001200000000001</v>
      </c>
      <c r="BJ8" s="230">
        <f t="shared" si="36"/>
        <v>13.001300000000001</v>
      </c>
      <c r="BK8" s="156"/>
    </row>
    <row r="9" spans="1:63" x14ac:dyDescent="0.2">
      <c r="A9" s="208" t="str">
        <f t="shared" si="0"/>
        <v/>
      </c>
      <c r="B9" s="209">
        <f t="shared" si="1"/>
        <v>-996</v>
      </c>
      <c r="C9" s="736" t="str">
        <f t="shared" si="2"/>
        <v/>
      </c>
      <c r="D9" s="565">
        <f t="shared" si="3"/>
        <v>-996</v>
      </c>
      <c r="E9" s="210">
        <f t="shared" si="4"/>
        <v>3</v>
      </c>
      <c r="F9" s="209">
        <f t="shared" si="5"/>
        <v>4</v>
      </c>
      <c r="G9" s="211" t="str">
        <f t="shared" si="6"/>
        <v/>
      </c>
      <c r="H9" s="209">
        <f t="shared" si="7"/>
        <v>-996</v>
      </c>
      <c r="I9" s="212" t="str">
        <f t="shared" si="8"/>
        <v/>
      </c>
      <c r="J9" s="213">
        <f t="shared" si="9"/>
        <v>-996</v>
      </c>
      <c r="K9" s="178">
        <f t="shared" si="10"/>
        <v>3</v>
      </c>
      <c r="L9" s="214" t="s">
        <v>122</v>
      </c>
      <c r="M9" s="215"/>
      <c r="N9" s="216" t="str">
        <f>IF(M9="","m","")</f>
        <v>m</v>
      </c>
      <c r="O9" s="217"/>
      <c r="P9" s="218"/>
      <c r="Q9" s="219"/>
      <c r="R9" s="220">
        <f t="array" ref="R9">(IF(COUNT(Z9,AA9,AB9,AC9,AD9,AE9,AF9,AG9,AH9,AI9,AJ9,AK9,AL9,AM9,AN9)&lt;11,SUM(Z9,AA9,AB9,AC9,AD9,AE9,AF9,AG9,AH9,AI9,AJ9,AK9,AL9,AM9,AN9),SUM(LARGE((Z9,AA9,AB9,AC9,AD9,AE9,AF9,AG9,AH9,AI9,AJ9,AK9,AL9,AM9,AN9),{1;2;3;4;5;6;7;8;9;10}))))</f>
        <v>178</v>
      </c>
      <c r="S9" s="221" t="str">
        <f>INDEX(ETAPP!B$1:B$32,MATCH(COUNTIF(Z9:AN9,PVO!A$1),ETAPP!A$1:A$32,0))&amp;INDEX(ETAPP!B$1:B$32,MATCH(COUNTIF(Z9:AN9,PVO!A$2),ETAPP!A$1:A$32,0))&amp;INDEX(ETAPP!B$1:B$32,MATCH(COUNTIF(Z9:AN9,PVO!A$3),ETAPP!A$1:A$32,0))&amp;INDEX(ETAPP!B$1:B$32,MATCH(COUNTIF(Z9:AN9,PVO!A$4),ETAPP!A$1:A$32,0))&amp;INDEX(ETAPP!B$1:B$32,MATCH(COUNTIF(Z9:AN9,PVO!A$5),ETAPP!A$1:A$32,0))&amp;INDEX(ETAPP!B$1:B$32,MATCH(COUNTIF(Z9:AN9,PVO!A$6),ETAPP!A$1:A$32,0))&amp;INDEX(ETAPP!B$1:B$32,MATCH(COUNTIF(Z9:AN9,PVO!A$7),ETAPP!A$1:A$32,0))&amp;INDEX(ETAPP!B$1:B$32,MATCH(COUNTIF(Z9:AN9,PVO!A$8),ETAPP!A$1:A$32,0))&amp;INDEX(ETAPP!B$1:B$32,MATCH(COUNTIF(Z9:AN9,PVO!A$9),ETAPP!A$1:A$32,0))&amp;INDEX(ETAPP!B$1:B$32,MATCH(COUNTIF(Z9:AN9,PVO!A$10),ETAPP!A$1:A$32,0))&amp;INDEX(ETAPP!B$1:B$32,MATCH(COUNTIF(Z9:AN9,PVO!A$11),ETAPP!A$1:A$32,0))&amp;INDEX(ETAPP!B$1:B$32,MATCH(COUNTIF(Z9:AN9,PVO!A$12),ETAPP!A$1:A$32,0))&amp;INDEX(ETAPP!B$1:B$32,MATCH(COUNTIF(Z9:AN9,PVO!A$13),ETAPP!A$1:A$32,0))&amp;INDEX(ETAPP!B$1:B$32,MATCH(COUNTIF(Z9:AN9,PVO!A$14),ETAPP!A$1:A$32,0))&amp;INDEX(ETAPP!B$1:B$32,MATCH(COUNTIF(Z9:AN9,PVO!A$15),ETAPP!A$1:A$32,0))&amp;INDEX(ETAPP!B$1:B$32,MATCH(COUNTIF(Z9:AN9,PVO!A$16),ETAPP!A$1:A$32,0))&amp;INDEX(ETAPP!B$1:B$32,MATCH(COUNTIF(Z9:AN9,PVO!A$17),ETAPP!A$1:A$32,0))&amp;INDEX(ETAPP!B$1:B$32,MATCH(COUNTIF(Z9:AN9,PVO!A$18),ETAPP!A$1:A$32,0))&amp;INDEX(ETAPP!B$1:B$32,MATCH(COUNTIF(Z9:AN9,PVO!A$19),ETAPP!A$1:A$32,0))&amp;INDEX(ETAPP!B$1:B$32,MATCH(COUNTIF(Z9:AN9,PVO!A$20),ETAPP!A$1:A$32,0))&amp;INDEX(ETAPP!B$1:B$32,MATCH(COUNTIF(Z9:AN9,PVO!A$21),ETAPP!A$1:A$32,0))</f>
        <v>ADBA0AAA00A0A00000000</v>
      </c>
      <c r="T9" s="221" t="str">
        <f t="shared" si="11"/>
        <v>178,0-ADBA0AAA00A0A00000000</v>
      </c>
      <c r="U9" s="221">
        <f t="shared" si="12"/>
        <v>4</v>
      </c>
      <c r="V9" s="221">
        <f t="shared" si="13"/>
        <v>47</v>
      </c>
      <c r="W9" s="221" t="str">
        <f t="shared" si="14"/>
        <v>178,0-ADBA0AAA00A0A00000000-047</v>
      </c>
      <c r="X9" s="221">
        <f t="shared" si="15"/>
        <v>3</v>
      </c>
      <c r="Y9" s="222">
        <f t="shared" si="16"/>
        <v>65</v>
      </c>
      <c r="Z9" s="223">
        <f>IFERROR(INDEX('V1'!C$300:C$400,MATCH("*"&amp;L9&amp;"*",'V1'!B$300:B$400,0)),"  ")</f>
        <v>19</v>
      </c>
      <c r="AA9" s="223">
        <f>IFERROR(INDEX('V2'!C$300:C$400,MATCH("*"&amp;L9&amp;"*",'V2'!B$300:B$400,0)),"  ")</f>
        <v>8</v>
      </c>
      <c r="AB9" s="223">
        <f>IFERROR(INDEX('V3'!C$300:C$400,MATCH("*"&amp;L9&amp;"*",'V3'!B$300:B$400,0)),"  ")</f>
        <v>17</v>
      </c>
      <c r="AC9" s="223">
        <f>IFERROR(INDEX('V4'!C$300:C$400,MATCH("*"&amp;L9&amp;"*",'V4'!B$300:B$400,0)),"  ")</f>
        <v>19</v>
      </c>
      <c r="AD9" s="223">
        <f>IFERROR(INDEX('V5'!C$300:C$400,MATCH("*"&amp;L9&amp;"*",'V5'!B$300:B$400,0)),"  ")</f>
        <v>15</v>
      </c>
      <c r="AE9" s="223">
        <f>IFERROR(INDEX('V6'!C$300:C$400,MATCH("*"&amp;L9&amp;"*",'V6'!B$300:B$400,0)),"  ")</f>
        <v>20</v>
      </c>
      <c r="AF9" s="223">
        <f>IFERROR(INDEX('V7'!C$300:C$400,MATCH("*"&amp;L9&amp;"*",'V7'!B$300:B$400,0)),"  ")</f>
        <v>14</v>
      </c>
      <c r="AG9" s="223">
        <f>IFERROR(INDEX('V8'!C$300:C$400,MATCH("*"&amp;L9&amp;"*",'V8'!B$300:B$400,0)),"  ")</f>
        <v>19</v>
      </c>
      <c r="AH9" s="223">
        <f>IFERROR(INDEX('V9'!C$300:C$400,MATCH("*"&amp;L9&amp;"*",'V9'!B$300:B$400,0)),"  ")</f>
        <v>18</v>
      </c>
      <c r="AI9" s="223">
        <f>IFERROR(INDEX('V10'!C$300:C$400,MATCH("*"&amp;L9&amp;"*",'V10'!B$300:B$400,0)),"  ")</f>
        <v>13</v>
      </c>
      <c r="AJ9" s="223">
        <f>IFERROR(INDEX('V11'!C$300:C$400,MATCH("*"&amp;L9&amp;"*",'V11'!B$300:B$400,0)),"  ")</f>
        <v>10</v>
      </c>
      <c r="AK9" s="223">
        <f>IFERROR(INDEX('V12'!C$300:C$400,MATCH("*"&amp;L9&amp;"*",'V12'!B$300:B$400,0)),"  ")</f>
        <v>18</v>
      </c>
      <c r="AL9" s="223">
        <f>IFERROR(INDEX('V13'!C$300:C$400,MATCH("*"&amp;L9&amp;"*",'V13'!B$300:B$400,0)),"  ")</f>
        <v>19</v>
      </c>
      <c r="AM9" s="223"/>
      <c r="AN9" s="223"/>
      <c r="AO9" s="224">
        <f t="shared" si="17"/>
        <v>3</v>
      </c>
      <c r="AP9" s="627">
        <f t="shared" si="18"/>
        <v>209</v>
      </c>
      <c r="AQ9" s="225" t="str">
        <f t="shared" si="19"/>
        <v>edasi 3</v>
      </c>
      <c r="AR9" s="226" t="str">
        <f>IFERROR(INDEX(#REF!,MATCH("*"&amp;L9&amp;"*",#REF!,0)),"  ")</f>
        <v xml:space="preserve">  </v>
      </c>
      <c r="AS9" s="227">
        <f t="shared" si="20"/>
        <v>13</v>
      </c>
      <c r="AT9" s="228">
        <f t="shared" si="21"/>
        <v>7</v>
      </c>
      <c r="AU9" s="228">
        <f t="shared" si="22"/>
        <v>1</v>
      </c>
      <c r="AV9" s="156"/>
      <c r="AW9" s="229">
        <f t="shared" si="23"/>
        <v>13.000999999999999</v>
      </c>
      <c r="AX9" s="230">
        <f t="shared" si="24"/>
        <v>19.0001</v>
      </c>
      <c r="AY9" s="230">
        <f t="shared" si="25"/>
        <v>8.0001999999999995</v>
      </c>
      <c r="AZ9" s="230">
        <f t="shared" si="26"/>
        <v>17.000299999999999</v>
      </c>
      <c r="BA9" s="230">
        <f t="shared" si="27"/>
        <v>19.000399999999999</v>
      </c>
      <c r="BB9" s="230">
        <f t="shared" si="28"/>
        <v>15.000500000000001</v>
      </c>
      <c r="BC9" s="230">
        <f t="shared" si="29"/>
        <v>20.000599999999999</v>
      </c>
      <c r="BD9" s="230">
        <f t="shared" si="30"/>
        <v>14.0007</v>
      </c>
      <c r="BE9" s="230">
        <f t="shared" si="31"/>
        <v>19.000800000000002</v>
      </c>
      <c r="BF9" s="230">
        <f t="shared" si="32"/>
        <v>18.000900000000001</v>
      </c>
      <c r="BG9" s="230">
        <f t="shared" si="33"/>
        <v>13.000999999999999</v>
      </c>
      <c r="BH9" s="230">
        <f t="shared" si="34"/>
        <v>10.001099999999999</v>
      </c>
      <c r="BI9" s="230">
        <f t="shared" si="35"/>
        <v>18.001200000000001</v>
      </c>
      <c r="BJ9" s="230">
        <f t="shared" si="36"/>
        <v>19.001300000000001</v>
      </c>
      <c r="BK9" s="231"/>
    </row>
    <row r="10" spans="1:63" x14ac:dyDescent="0.2">
      <c r="A10" s="208" t="str">
        <f t="shared" si="0"/>
        <v/>
      </c>
      <c r="B10" s="209">
        <f t="shared" si="1"/>
        <v>-996</v>
      </c>
      <c r="C10" s="736" t="str">
        <f t="shared" si="2"/>
        <v/>
      </c>
      <c r="D10" s="565">
        <f t="shared" si="3"/>
        <v>-996</v>
      </c>
      <c r="E10" s="210">
        <f t="shared" si="4"/>
        <v>3</v>
      </c>
      <c r="F10" s="209">
        <f t="shared" si="5"/>
        <v>4</v>
      </c>
      <c r="G10" s="211" t="str">
        <f t="shared" si="6"/>
        <v/>
      </c>
      <c r="H10" s="209">
        <f t="shared" si="7"/>
        <v>-996</v>
      </c>
      <c r="I10" s="212" t="str">
        <f t="shared" si="8"/>
        <v/>
      </c>
      <c r="J10" s="213">
        <f t="shared" si="9"/>
        <v>-996</v>
      </c>
      <c r="K10" s="178">
        <f t="shared" si="10"/>
        <v>3</v>
      </c>
      <c r="L10" s="232" t="s">
        <v>123</v>
      </c>
      <c r="M10" s="215"/>
      <c r="N10" s="216" t="str">
        <f>IF(M10="","m","")</f>
        <v>m</v>
      </c>
      <c r="O10" s="217"/>
      <c r="P10" s="218"/>
      <c r="Q10" s="219"/>
      <c r="R10" s="220">
        <f t="array" ref="R10">(IF(COUNT(Z10,AA10,AB10,AC10,AD10,AE10,AF10,AG10,AH10,AI10,AJ10,AK10,AL10,AM10,AN10)&lt;11,SUM(Z10,AA10,AB10,AC10,AD10,AE10,AF10,AG10,AH10,AI10,AJ10,AK10,AL10,AM10,AN10),SUM(LARGE((Z10,AA10,AB10,AC10,AD10,AE10,AF10,AG10,AH10,AI10,AJ10,AK10,AL10,AM10,AN10),{1;2;3;4;5;6;7;8;9;10}))))</f>
        <v>178</v>
      </c>
      <c r="S10" s="221" t="str">
        <f>INDEX(ETAPP!B$1:B$32,MATCH(COUNTIF(Z10:AN10,PVO!A$1),ETAPP!A$1:A$32,0))&amp;INDEX(ETAPP!B$1:B$32,MATCH(COUNTIF(Z10:AN10,PVO!A$2),ETAPP!A$1:A$32,0))&amp;INDEX(ETAPP!B$1:B$32,MATCH(COUNTIF(Z10:AN10,PVO!A$3),ETAPP!A$1:A$32,0))&amp;INDEX(ETAPP!B$1:B$32,MATCH(COUNTIF(Z10:AN10,PVO!A$4),ETAPP!A$1:A$32,0))&amp;INDEX(ETAPP!B$1:B$32,MATCH(COUNTIF(Z10:AN10,PVO!A$5),ETAPP!A$1:A$32,0))&amp;INDEX(ETAPP!B$1:B$32,MATCH(COUNTIF(Z10:AN10,PVO!A$6),ETAPP!A$1:A$32,0))&amp;INDEX(ETAPP!B$1:B$32,MATCH(COUNTIF(Z10:AN10,PVO!A$7),ETAPP!A$1:A$32,0))&amp;INDEX(ETAPP!B$1:B$32,MATCH(COUNTIF(Z10:AN10,PVO!A$8),ETAPP!A$1:A$32,0))&amp;INDEX(ETAPP!B$1:B$32,MATCH(COUNTIF(Z10:AN10,PVO!A$9),ETAPP!A$1:A$32,0))&amp;INDEX(ETAPP!B$1:B$32,MATCH(COUNTIF(Z10:AN10,PVO!A$10),ETAPP!A$1:A$32,0))&amp;INDEX(ETAPP!B$1:B$32,MATCH(COUNTIF(Z10:AN10,PVO!A$11),ETAPP!A$1:A$32,0))&amp;INDEX(ETAPP!B$1:B$32,MATCH(COUNTIF(Z10:AN10,PVO!A$12),ETAPP!A$1:A$32,0))&amp;INDEX(ETAPP!B$1:B$32,MATCH(COUNTIF(Z10:AN10,PVO!A$13),ETAPP!A$1:A$32,0))&amp;INDEX(ETAPP!B$1:B$32,MATCH(COUNTIF(Z10:AN10,PVO!A$14),ETAPP!A$1:A$32,0))&amp;INDEX(ETAPP!B$1:B$32,MATCH(COUNTIF(Z10:AN10,PVO!A$15),ETAPP!A$1:A$32,0))&amp;INDEX(ETAPP!B$1:B$32,MATCH(COUNTIF(Z10:AN10,PVO!A$16),ETAPP!A$1:A$32,0))&amp;INDEX(ETAPP!B$1:B$32,MATCH(COUNTIF(Z10:AN10,PVO!A$17),ETAPP!A$1:A$32,0))&amp;INDEX(ETAPP!B$1:B$32,MATCH(COUNTIF(Z10:AN10,PVO!A$18),ETAPP!A$1:A$32,0))&amp;INDEX(ETAPP!B$1:B$32,MATCH(COUNTIF(Z10:AN10,PVO!A$19),ETAPP!A$1:A$32,0))&amp;INDEX(ETAPP!B$1:B$32,MATCH(COUNTIF(Z10:AN10,PVO!A$20),ETAPP!A$1:A$32,0))&amp;INDEX(ETAPP!B$1:B$32,MATCH(COUNTIF(Z10:AN10,PVO!A$21),ETAPP!A$1:A$32,0))</f>
        <v>ADBA0AAA00A0A00000000</v>
      </c>
      <c r="T10" s="221" t="str">
        <f t="shared" si="11"/>
        <v>178,0-ADBA0AAA00A0A00000000</v>
      </c>
      <c r="U10" s="221">
        <f t="shared" si="12"/>
        <v>4</v>
      </c>
      <c r="V10" s="221">
        <f t="shared" si="13"/>
        <v>23</v>
      </c>
      <c r="W10" s="221" t="str">
        <f t="shared" si="14"/>
        <v>178,0-ADBA0AAA00A0A00000000-023</v>
      </c>
      <c r="X10" s="221">
        <f t="shared" si="15"/>
        <v>4</v>
      </c>
      <c r="Y10" s="222">
        <f t="shared" si="16"/>
        <v>64</v>
      </c>
      <c r="Z10" s="223">
        <f>IFERROR(INDEX('V1'!C$300:C$400,MATCH("*"&amp;L10&amp;"*",'V1'!B$300:B$400,0)),"  ")</f>
        <v>19</v>
      </c>
      <c r="AA10" s="223">
        <f>IFERROR(INDEX('V2'!C$300:C$400,MATCH("*"&amp;L10&amp;"*",'V2'!B$300:B$400,0)),"  ")</f>
        <v>8</v>
      </c>
      <c r="AB10" s="223">
        <f>IFERROR(INDEX('V3'!C$300:C$400,MATCH("*"&amp;L10&amp;"*",'V3'!B$300:B$400,0)),"  ")</f>
        <v>17</v>
      </c>
      <c r="AC10" s="223">
        <f>IFERROR(INDEX('V4'!C$300:C$400,MATCH("*"&amp;L10&amp;"*",'V4'!B$300:B$400,0)),"  ")</f>
        <v>19</v>
      </c>
      <c r="AD10" s="223">
        <f>IFERROR(INDEX('V5'!C$300:C$400,MATCH("*"&amp;L10&amp;"*",'V5'!B$300:B$400,0)),"  ")</f>
        <v>15</v>
      </c>
      <c r="AE10" s="223">
        <f>IFERROR(INDEX('V6'!C$300:C$400,MATCH("*"&amp;L10&amp;"*",'V6'!B$300:B$400,0)),"  ")</f>
        <v>20</v>
      </c>
      <c r="AF10" s="223">
        <f>IFERROR(INDEX('V7'!C$300:C$400,MATCH("*"&amp;L10&amp;"*",'V7'!B$300:B$400,0)),"  ")</f>
        <v>14</v>
      </c>
      <c r="AG10" s="223">
        <f>IFERROR(INDEX('V8'!C$300:C$400,MATCH("*"&amp;L10&amp;"*",'V8'!B$300:B$400,0)),"  ")</f>
        <v>19</v>
      </c>
      <c r="AH10" s="223">
        <f>IFERROR(INDEX('V9'!C$300:C$400,MATCH("*"&amp;L10&amp;"*",'V9'!B$300:B$400,0)),"  ")</f>
        <v>18</v>
      </c>
      <c r="AI10" s="223">
        <f>IFERROR(INDEX('V10'!C$300:C$400,MATCH("*"&amp;L10&amp;"*",'V10'!B$300:B$400,0)),"  ")</f>
        <v>13</v>
      </c>
      <c r="AJ10" s="223">
        <f>IFERROR(INDEX('V11'!C$300:C$400,MATCH("*"&amp;L10&amp;"*",'V11'!B$300:B$400,0)),"  ")</f>
        <v>10</v>
      </c>
      <c r="AK10" s="223">
        <f>IFERROR(INDEX('V12'!C$300:C$400,MATCH("*"&amp;L10&amp;"*",'V12'!B$300:B$400,0)),"  ")</f>
        <v>18</v>
      </c>
      <c r="AL10" s="223">
        <f>IFERROR(INDEX('V13'!C$300:C$400,MATCH("*"&amp;L10&amp;"*",'V13'!B$300:B$400,0)),"  ")</f>
        <v>19</v>
      </c>
      <c r="AM10" s="223"/>
      <c r="AN10" s="223"/>
      <c r="AO10" s="224">
        <f t="shared" si="17"/>
        <v>3</v>
      </c>
      <c r="AP10" s="627">
        <f t="shared" si="18"/>
        <v>209</v>
      </c>
      <c r="AQ10" s="225" t="str">
        <f t="shared" si="19"/>
        <v>edasi 3</v>
      </c>
      <c r="AR10" s="226" t="str">
        <f>IFERROR(INDEX(#REF!,MATCH("*"&amp;L10&amp;"*",#REF!,0)),"  ")</f>
        <v xml:space="preserve">  </v>
      </c>
      <c r="AS10" s="227">
        <f t="shared" si="20"/>
        <v>13</v>
      </c>
      <c r="AT10" s="228">
        <f t="shared" si="21"/>
        <v>7</v>
      </c>
      <c r="AU10" s="228">
        <f t="shared" si="22"/>
        <v>1</v>
      </c>
      <c r="AV10" s="233"/>
      <c r="AW10" s="229">
        <f t="shared" si="23"/>
        <v>13.000999999999999</v>
      </c>
      <c r="AX10" s="230">
        <f t="shared" si="24"/>
        <v>19.0001</v>
      </c>
      <c r="AY10" s="230">
        <f t="shared" si="25"/>
        <v>8.0001999999999995</v>
      </c>
      <c r="AZ10" s="230">
        <f t="shared" si="26"/>
        <v>17.000299999999999</v>
      </c>
      <c r="BA10" s="230">
        <f t="shared" si="27"/>
        <v>19.000399999999999</v>
      </c>
      <c r="BB10" s="230">
        <f t="shared" si="28"/>
        <v>15.000500000000001</v>
      </c>
      <c r="BC10" s="230">
        <f t="shared" si="29"/>
        <v>20.000599999999999</v>
      </c>
      <c r="BD10" s="230">
        <f t="shared" si="30"/>
        <v>14.0007</v>
      </c>
      <c r="BE10" s="230">
        <f t="shared" si="31"/>
        <v>19.000800000000002</v>
      </c>
      <c r="BF10" s="230">
        <f t="shared" si="32"/>
        <v>18.000900000000001</v>
      </c>
      <c r="BG10" s="230">
        <f t="shared" si="33"/>
        <v>13.000999999999999</v>
      </c>
      <c r="BH10" s="230">
        <f t="shared" si="34"/>
        <v>10.001099999999999</v>
      </c>
      <c r="BI10" s="230">
        <f t="shared" si="35"/>
        <v>18.001200000000001</v>
      </c>
      <c r="BJ10" s="230">
        <f t="shared" si="36"/>
        <v>19.001300000000001</v>
      </c>
      <c r="BK10" s="156"/>
    </row>
    <row r="11" spans="1:63" x14ac:dyDescent="0.2">
      <c r="A11" s="208" t="str">
        <f t="shared" si="0"/>
        <v/>
      </c>
      <c r="B11" s="209">
        <f t="shared" si="1"/>
        <v>-995</v>
      </c>
      <c r="C11" s="736" t="str">
        <f t="shared" si="2"/>
        <v/>
      </c>
      <c r="D11" s="565">
        <f t="shared" si="3"/>
        <v>-995</v>
      </c>
      <c r="E11" s="210">
        <f t="shared" si="4"/>
        <v>5</v>
      </c>
      <c r="F11" s="209">
        <f t="shared" si="5"/>
        <v>5</v>
      </c>
      <c r="G11" s="211" t="str">
        <f t="shared" si="6"/>
        <v/>
      </c>
      <c r="H11" s="209">
        <f t="shared" si="7"/>
        <v>-995</v>
      </c>
      <c r="I11" s="212" t="str">
        <f t="shared" si="8"/>
        <v/>
      </c>
      <c r="J11" s="213">
        <f t="shared" si="9"/>
        <v>-995</v>
      </c>
      <c r="K11" s="178">
        <f t="shared" si="10"/>
        <v>5</v>
      </c>
      <c r="L11" s="234" t="s">
        <v>86</v>
      </c>
      <c r="M11" s="215"/>
      <c r="N11" s="216" t="str">
        <f>IF(M11="","m","")</f>
        <v>m</v>
      </c>
      <c r="O11" s="217"/>
      <c r="P11" s="218"/>
      <c r="Q11" s="219"/>
      <c r="R11" s="220">
        <f t="array" ref="R11">(IF(COUNT(Z11,AA11,AB11,AC11,AD11,AE11,AF11,AG11,AH11,AI11,AJ11,AK11,AL11,AM11,AN11)&lt;11,SUM(Z11,AA11,AB11,AC11,AD11,AE11,AF11,AG11,AH11,AI11,AJ11,AK11,AL11,AM11,AN11),SUM(LARGE((Z11,AA11,AB11,AC11,AD11,AE11,AF11,AG11,AH11,AI11,AJ11,AK11,AL11,AM11,AN11),{1;2;3;4;5;6;7;8;9;10}))))</f>
        <v>168</v>
      </c>
      <c r="S11" s="221" t="str">
        <f>INDEX(ETAPP!B$1:B$32,MATCH(COUNTIF(Z11:AN11,PVO!A$1),ETAPP!A$1:A$32,0))&amp;INDEX(ETAPP!B$1:B$32,MATCH(COUNTIF(Z11:AN11,PVO!A$2),ETAPP!A$1:A$32,0))&amp;INDEX(ETAPP!B$1:B$32,MATCH(COUNTIF(Z11:AN11,PVO!A$3),ETAPP!A$1:A$32,0))&amp;INDEX(ETAPP!B$1:B$32,MATCH(COUNTIF(Z11:AN11,PVO!A$4),ETAPP!A$1:A$32,0))&amp;INDEX(ETAPP!B$1:B$32,MATCH(COUNTIF(Z11:AN11,PVO!A$5),ETAPP!A$1:A$32,0))&amp;INDEX(ETAPP!B$1:B$32,MATCH(COUNTIF(Z11:AN11,PVO!A$6),ETAPP!A$1:A$32,0))&amp;INDEX(ETAPP!B$1:B$32,MATCH(COUNTIF(Z11:AN11,PVO!A$7),ETAPP!A$1:A$32,0))&amp;INDEX(ETAPP!B$1:B$32,MATCH(COUNTIF(Z11:AN11,PVO!A$8),ETAPP!A$1:A$32,0))&amp;INDEX(ETAPP!B$1:B$32,MATCH(COUNTIF(Z11:AN11,PVO!A$9),ETAPP!A$1:A$32,0))&amp;INDEX(ETAPP!B$1:B$32,MATCH(COUNTIF(Z11:AN11,PVO!A$10),ETAPP!A$1:A$32,0))&amp;INDEX(ETAPP!B$1:B$32,MATCH(COUNTIF(Z11:AN11,PVO!A$11),ETAPP!A$1:A$32,0))&amp;INDEX(ETAPP!B$1:B$32,MATCH(COUNTIF(Z11:AN11,PVO!A$12),ETAPP!A$1:A$32,0))&amp;INDEX(ETAPP!B$1:B$32,MATCH(COUNTIF(Z11:AN11,PVO!A$13),ETAPP!A$1:A$32,0))&amp;INDEX(ETAPP!B$1:B$32,MATCH(COUNTIF(Z11:AN11,PVO!A$14),ETAPP!A$1:A$32,0))&amp;INDEX(ETAPP!B$1:B$32,MATCH(COUNTIF(Z11:AN11,PVO!A$15),ETAPP!A$1:A$32,0))&amp;INDEX(ETAPP!B$1:B$32,MATCH(COUNTIF(Z11:AN11,PVO!A$16),ETAPP!A$1:A$32,0))&amp;INDEX(ETAPP!B$1:B$32,MATCH(COUNTIF(Z11:AN11,PVO!A$17),ETAPP!A$1:A$32,0))&amp;INDEX(ETAPP!B$1:B$32,MATCH(COUNTIF(Z11:AN11,PVO!A$18),ETAPP!A$1:A$32,0))&amp;INDEX(ETAPP!B$1:B$32,MATCH(COUNTIF(Z11:AN11,PVO!A$19),ETAPP!A$1:A$32,0))&amp;INDEX(ETAPP!B$1:B$32,MATCH(COUNTIF(Z11:AN11,PVO!A$20),ETAPP!A$1:A$32,0))&amp;INDEX(ETAPP!B$1:B$32,MATCH(COUNTIF(Z11:AN11,PVO!A$21),ETAPP!A$1:A$32,0))</f>
        <v>BABB00AAA000000000000</v>
      </c>
      <c r="T11" s="221" t="str">
        <f t="shared" si="11"/>
        <v>168,0-BABB00AAA000000000000</v>
      </c>
      <c r="U11" s="221">
        <f t="shared" si="12"/>
        <v>5</v>
      </c>
      <c r="V11" s="221">
        <f t="shared" si="13"/>
        <v>29</v>
      </c>
      <c r="W11" s="221" t="str">
        <f t="shared" si="14"/>
        <v>168,0-BABB00AAA000000000000-029</v>
      </c>
      <c r="X11" s="221">
        <f t="shared" si="15"/>
        <v>5</v>
      </c>
      <c r="Y11" s="222">
        <f t="shared" si="16"/>
        <v>63</v>
      </c>
      <c r="Z11" s="223">
        <f>IFERROR(INDEX('V1'!C$300:C$400,MATCH("*"&amp;L11&amp;"*",'V1'!B$300:B$400,0)),"  ")</f>
        <v>20</v>
      </c>
      <c r="AA11" s="223" t="str">
        <f>IFERROR(INDEX('V2'!C$300:C$400,MATCH("*"&amp;L11&amp;"*",'V2'!B$300:B$400,0)),"  ")</f>
        <v xml:space="preserve">  </v>
      </c>
      <c r="AB11" s="223">
        <f>IFERROR(INDEX('V3'!C$300:C$400,MATCH("*"&amp;L11&amp;"*",'V3'!B$300:B$400,0)),"  ")</f>
        <v>19</v>
      </c>
      <c r="AC11" s="223">
        <f>IFERROR(INDEX('V4'!C$300:C$400,MATCH("*"&amp;L11&amp;"*",'V4'!B$300:B$400,0)),"  ")</f>
        <v>18</v>
      </c>
      <c r="AD11" s="223">
        <f>IFERROR(INDEX('V5'!C$300:C$400,MATCH("*"&amp;L11&amp;"*",'V5'!B$300:B$400,0)),"  ")</f>
        <v>17</v>
      </c>
      <c r="AE11" s="223" t="str">
        <f>IFERROR(INDEX('V6'!C$300:C$400,MATCH("*"&amp;L11&amp;"*",'V6'!B$300:B$400,0)),"  ")</f>
        <v xml:space="preserve">  </v>
      </c>
      <c r="AF11" s="223">
        <f>IFERROR(INDEX('V7'!C$300:C$400,MATCH("*"&amp;L11&amp;"*",'V7'!B$300:B$400,0)),"  ")</f>
        <v>13</v>
      </c>
      <c r="AG11" s="223">
        <f>IFERROR(INDEX('V8'!C$300:C$400,MATCH("*"&amp;L11&amp;"*",'V8'!B$300:B$400,0)),"  ")</f>
        <v>12</v>
      </c>
      <c r="AH11" s="223" t="str">
        <f>IFERROR(INDEX('V9'!C$300:C$400,MATCH("*"&amp;L11&amp;"*",'V9'!B$300:B$400,0)),"  ")</f>
        <v xml:space="preserve">  </v>
      </c>
      <c r="AI11" s="223">
        <f>IFERROR(INDEX('V10'!C$300:C$400,MATCH("*"&amp;L11&amp;"*",'V10'!B$300:B$400,0)),"  ")</f>
        <v>18</v>
      </c>
      <c r="AJ11" s="223">
        <f>IFERROR(INDEX('V11'!C$300:C$400,MATCH("*"&amp;L11&amp;"*",'V11'!B$300:B$400,0)),"  ")</f>
        <v>14</v>
      </c>
      <c r="AK11" s="223">
        <f>IFERROR(INDEX('V12'!C$300:C$400,MATCH("*"&amp;L11&amp;"*",'V12'!B$300:B$400,0)),"  ")</f>
        <v>17</v>
      </c>
      <c r="AL11" s="223">
        <f>IFERROR(INDEX('V13'!C$300:C$400,MATCH("*"&amp;L11&amp;"*",'V13'!B$300:B$400,0)),"  ")</f>
        <v>20</v>
      </c>
      <c r="AM11" s="223"/>
      <c r="AN11" s="223"/>
      <c r="AO11" s="224">
        <f t="shared" si="17"/>
        <v>5</v>
      </c>
      <c r="AP11" s="627">
        <f t="shared" si="18"/>
        <v>168</v>
      </c>
      <c r="AQ11" s="225" t="str">
        <f t="shared" si="19"/>
        <v>edasi 5</v>
      </c>
      <c r="AR11" s="226" t="str">
        <f>IFERROR(INDEX(#REF!,MATCH("*"&amp;L11&amp;"*",#REF!,0)),"  ")</f>
        <v xml:space="preserve">  </v>
      </c>
      <c r="AS11" s="227">
        <f t="shared" si="20"/>
        <v>10</v>
      </c>
      <c r="AT11" s="228">
        <f t="shared" si="21"/>
        <v>5</v>
      </c>
      <c r="AU11" s="228">
        <f t="shared" si="22"/>
        <v>2</v>
      </c>
      <c r="AV11" s="156"/>
      <c r="AW11" s="229">
        <f t="shared" si="23"/>
        <v>8.9999999999999998E-4</v>
      </c>
      <c r="AX11" s="230">
        <f t="shared" si="24"/>
        <v>20.0001</v>
      </c>
      <c r="AY11" s="230">
        <f t="shared" si="25"/>
        <v>2.0000000000000001E-4</v>
      </c>
      <c r="AZ11" s="230">
        <f t="shared" si="26"/>
        <v>19.000299999999999</v>
      </c>
      <c r="BA11" s="230">
        <f t="shared" si="27"/>
        <v>18.000399999999999</v>
      </c>
      <c r="BB11" s="230">
        <f t="shared" si="28"/>
        <v>17.000499999999999</v>
      </c>
      <c r="BC11" s="230">
        <f t="shared" si="29"/>
        <v>5.9999999999999995E-4</v>
      </c>
      <c r="BD11" s="230">
        <f t="shared" si="30"/>
        <v>13.0007</v>
      </c>
      <c r="BE11" s="230">
        <f t="shared" si="31"/>
        <v>12.0008</v>
      </c>
      <c r="BF11" s="230">
        <f t="shared" si="32"/>
        <v>8.9999999999999998E-4</v>
      </c>
      <c r="BG11" s="230">
        <f t="shared" si="33"/>
        <v>18.001000000000001</v>
      </c>
      <c r="BH11" s="230">
        <f t="shared" si="34"/>
        <v>14.001099999999999</v>
      </c>
      <c r="BI11" s="230">
        <f t="shared" si="35"/>
        <v>17.001200000000001</v>
      </c>
      <c r="BJ11" s="230">
        <f t="shared" si="36"/>
        <v>20.001300000000001</v>
      </c>
      <c r="BK11" s="156"/>
    </row>
    <row r="12" spans="1:63" x14ac:dyDescent="0.2">
      <c r="A12" s="208">
        <f t="shared" si="0"/>
        <v>2</v>
      </c>
      <c r="B12" s="209">
        <f t="shared" si="1"/>
        <v>6</v>
      </c>
      <c r="C12" s="736">
        <f t="shared" si="2"/>
        <v>3</v>
      </c>
      <c r="D12" s="565">
        <f t="shared" si="3"/>
        <v>6</v>
      </c>
      <c r="E12" s="210">
        <f t="shared" si="4"/>
        <v>6</v>
      </c>
      <c r="F12" s="209">
        <f t="shared" si="5"/>
        <v>6</v>
      </c>
      <c r="G12" s="211" t="str">
        <f t="shared" si="6"/>
        <v/>
      </c>
      <c r="H12" s="209">
        <f t="shared" si="7"/>
        <v>-994</v>
      </c>
      <c r="I12" s="212">
        <f t="shared" si="8"/>
        <v>1</v>
      </c>
      <c r="J12" s="213">
        <f t="shared" si="9"/>
        <v>6</v>
      </c>
      <c r="K12" s="178">
        <f t="shared" si="10"/>
        <v>6</v>
      </c>
      <c r="L12" s="232" t="s">
        <v>153</v>
      </c>
      <c r="M12" s="215"/>
      <c r="N12" s="216" t="s">
        <v>128</v>
      </c>
      <c r="O12" s="250" t="s">
        <v>142</v>
      </c>
      <c r="P12" s="218" t="s">
        <v>478</v>
      </c>
      <c r="Q12" s="219" t="s">
        <v>124</v>
      </c>
      <c r="R12" s="220">
        <f t="array" ref="R12">(IF(COUNT(Z12,AA12,AB12,AC12,AD12,AE12,AF12,AG12,AH12,AI12,AJ12,AK12,AL12,AM12,AN12)&lt;11,SUM(Z12,AA12,AB12,AC12,AD12,AE12,AF12,AG12,AH12,AI12,AJ12,AK12,AL12,AM12,AN12),SUM(LARGE((Z12,AA12,AB12,AC12,AD12,AE12,AF12,AG12,AH12,AI12,AJ12,AK12,AL12,AM12,AN12),{1;2;3;4;5;6;7;8;9;10}))))</f>
        <v>164</v>
      </c>
      <c r="S12" s="221" t="str">
        <f>INDEX(ETAPP!B$1:B$32,MATCH(COUNTIF(Z12:AN12,PVO!A$1),ETAPP!A$1:A$32,0))&amp;INDEX(ETAPP!B$1:B$32,MATCH(COUNTIF(Z12:AN12,PVO!A$2),ETAPP!A$1:A$32,0))&amp;INDEX(ETAPP!B$1:B$32,MATCH(COUNTIF(Z12:AN12,PVO!A$3),ETAPP!A$1:A$32,0))&amp;INDEX(ETAPP!B$1:B$32,MATCH(COUNTIF(Z12:AN12,PVO!A$4),ETAPP!A$1:A$32,0))&amp;INDEX(ETAPP!B$1:B$32,MATCH(COUNTIF(Z12:AN12,PVO!A$5),ETAPP!A$1:A$32,0))&amp;INDEX(ETAPP!B$1:B$32,MATCH(COUNTIF(Z12:AN12,PVO!A$6),ETAPP!A$1:A$32,0))&amp;INDEX(ETAPP!B$1:B$32,MATCH(COUNTIF(Z12:AN12,PVO!A$7),ETAPP!A$1:A$32,0))&amp;INDEX(ETAPP!B$1:B$32,MATCH(COUNTIF(Z12:AN12,PVO!A$8),ETAPP!A$1:A$32,0))&amp;INDEX(ETAPP!B$1:B$32,MATCH(COUNTIF(Z12:AN12,PVO!A$9),ETAPP!A$1:A$32,0))&amp;INDEX(ETAPP!B$1:B$32,MATCH(COUNTIF(Z12:AN12,PVO!A$10),ETAPP!A$1:A$32,0))&amp;INDEX(ETAPP!B$1:B$32,MATCH(COUNTIF(Z12:AN12,PVO!A$11),ETAPP!A$1:A$32,0))&amp;INDEX(ETAPP!B$1:B$32,MATCH(COUNTIF(Z12:AN12,PVO!A$12),ETAPP!A$1:A$32,0))&amp;INDEX(ETAPP!B$1:B$32,MATCH(COUNTIF(Z12:AN12,PVO!A$13),ETAPP!A$1:A$32,0))&amp;INDEX(ETAPP!B$1:B$32,MATCH(COUNTIF(Z12:AN12,PVO!A$14),ETAPP!A$1:A$32,0))&amp;INDEX(ETAPP!B$1:B$32,MATCH(COUNTIF(Z12:AN12,PVO!A$15),ETAPP!A$1:A$32,0))&amp;INDEX(ETAPP!B$1:B$32,MATCH(COUNTIF(Z12:AN12,PVO!A$16),ETAPP!A$1:A$32,0))&amp;INDEX(ETAPP!B$1:B$32,MATCH(COUNTIF(Z12:AN12,PVO!A$17),ETAPP!A$1:A$32,0))&amp;INDEX(ETAPP!B$1:B$32,MATCH(COUNTIF(Z12:AN12,PVO!A$18),ETAPP!A$1:A$32,0))&amp;INDEX(ETAPP!B$1:B$32,MATCH(COUNTIF(Z12:AN12,PVO!A$19),ETAPP!A$1:A$32,0))&amp;INDEX(ETAPP!B$1:B$32,MATCH(COUNTIF(Z12:AN12,PVO!A$20),ETAPP!A$1:A$32,0))&amp;INDEX(ETAPP!B$1:B$32,MATCH(COUNTIF(Z12:AN12,PVO!A$21),ETAPP!A$1:A$32,0))</f>
        <v>BAA0BB0AAAAA000000000</v>
      </c>
      <c r="T12" s="221" t="str">
        <f t="shared" si="11"/>
        <v>164,0-BAA0BB0AAAAA000000000</v>
      </c>
      <c r="U12" s="221">
        <f t="shared" si="12"/>
        <v>6</v>
      </c>
      <c r="V12" s="221">
        <f t="shared" si="13"/>
        <v>42</v>
      </c>
      <c r="W12" s="221" t="str">
        <f t="shared" si="14"/>
        <v>164,0-BAA0BB0AAAAA000000000-042</v>
      </c>
      <c r="X12" s="221">
        <f t="shared" si="15"/>
        <v>6</v>
      </c>
      <c r="Y12" s="222">
        <f t="shared" si="16"/>
        <v>62</v>
      </c>
      <c r="Z12" s="223">
        <f>IFERROR(INDEX('V1'!C$300:C$400,MATCH("*"&amp;L12&amp;"*",'V1'!B$300:B$400,0)),"  ")</f>
        <v>15</v>
      </c>
      <c r="AA12" s="223">
        <f>IFERROR(INDEX('V2'!C$300:C$400,MATCH("*"&amp;L12&amp;"*",'V2'!B$300:B$400,0)),"  ")</f>
        <v>16</v>
      </c>
      <c r="AB12" s="223">
        <f>IFERROR(INDEX('V3'!C$300:C$400,MATCH("*"&amp;L12&amp;"*",'V3'!B$300:B$400,0)),"  ")</f>
        <v>18</v>
      </c>
      <c r="AC12" s="223">
        <f>IFERROR(INDEX('V4'!C$300:C$400,MATCH("*"&amp;L12&amp;"*",'V4'!B$300:B$400,0)),"  ")</f>
        <v>9</v>
      </c>
      <c r="AD12" s="223">
        <f>IFERROR(INDEX('V5'!C$300:C$400,MATCH("*"&amp;L12&amp;"*",'V5'!B$300:B$400,0)),"  ")</f>
        <v>11</v>
      </c>
      <c r="AE12" s="223">
        <f>IFERROR(INDEX('V6'!C$300:C$400,MATCH("*"&amp;L12&amp;"*",'V6'!B$300:B$400,0)),"  ")</f>
        <v>19</v>
      </c>
      <c r="AF12" s="223">
        <f>IFERROR(INDEX('V7'!C$300:C$400,MATCH("*"&amp;L12&amp;"*",'V7'!B$300:B$400,0)),"  ")</f>
        <v>12</v>
      </c>
      <c r="AG12" s="223">
        <f>IFERROR(INDEX('V8'!C$300:C$400,MATCH("*"&amp;L12&amp;"*",'V8'!B$300:B$400,0)),"  ")</f>
        <v>15</v>
      </c>
      <c r="AH12" s="223">
        <f>IFERROR(INDEX('V9'!C$300:C$400,MATCH("*"&amp;L12&amp;"*",'V9'!B$300:B$400,0)),"  ")</f>
        <v>10</v>
      </c>
      <c r="AI12" s="223">
        <f>IFERROR(INDEX('V10'!C$300:C$400,MATCH("*"&amp;L12&amp;"*",'V10'!B$300:B$400,0)),"  ")</f>
        <v>20</v>
      </c>
      <c r="AJ12" s="223">
        <f>IFERROR(INDEX('V11'!C$300:C$400,MATCH("*"&amp;L12&amp;"*",'V11'!B$300:B$400,0)),"  ")</f>
        <v>13</v>
      </c>
      <c r="AK12" s="223">
        <f>IFERROR(INDEX('V12'!C$300:C$400,MATCH("*"&amp;L12&amp;"*",'V12'!B$300:B$400,0)),"  ")</f>
        <v>16</v>
      </c>
      <c r="AL12" s="223">
        <f>IFERROR(INDEX('V13'!C$300:C$400,MATCH("*"&amp;L12&amp;"*",'V13'!B$300:B$400,0)),"  ")</f>
        <v>20</v>
      </c>
      <c r="AM12" s="223"/>
      <c r="AN12" s="223"/>
      <c r="AO12" s="224">
        <f t="shared" si="17"/>
        <v>6</v>
      </c>
      <c r="AP12" s="627">
        <f t="shared" si="18"/>
        <v>194</v>
      </c>
      <c r="AQ12" s="225" t="str">
        <f t="shared" si="19"/>
        <v>edasi 6</v>
      </c>
      <c r="AR12" s="226" t="str">
        <f>IFERROR(INDEX(#REF!,MATCH("*"&amp;L12&amp;"*",#REF!,0)),"  ")</f>
        <v xml:space="preserve">  </v>
      </c>
      <c r="AS12" s="227">
        <f t="shared" si="20"/>
        <v>13</v>
      </c>
      <c r="AT12" s="228">
        <f t="shared" si="21"/>
        <v>4</v>
      </c>
      <c r="AU12" s="228">
        <f t="shared" si="22"/>
        <v>2</v>
      </c>
      <c r="AV12" s="156"/>
      <c r="AW12" s="229">
        <f t="shared" si="23"/>
        <v>11.000500000000001</v>
      </c>
      <c r="AX12" s="230">
        <f t="shared" si="24"/>
        <v>15.0001</v>
      </c>
      <c r="AY12" s="230">
        <f t="shared" si="25"/>
        <v>16.0002</v>
      </c>
      <c r="AZ12" s="230">
        <f t="shared" si="26"/>
        <v>18.000299999999999</v>
      </c>
      <c r="BA12" s="230">
        <f t="shared" si="27"/>
        <v>9.0004000000000008</v>
      </c>
      <c r="BB12" s="230">
        <f t="shared" si="28"/>
        <v>11.000500000000001</v>
      </c>
      <c r="BC12" s="230">
        <f t="shared" si="29"/>
        <v>19.000599999999999</v>
      </c>
      <c r="BD12" s="230">
        <f t="shared" si="30"/>
        <v>12.0007</v>
      </c>
      <c r="BE12" s="230">
        <f t="shared" si="31"/>
        <v>15.0008</v>
      </c>
      <c r="BF12" s="230">
        <f t="shared" si="32"/>
        <v>10.0009</v>
      </c>
      <c r="BG12" s="230">
        <f t="shared" si="33"/>
        <v>20.001000000000001</v>
      </c>
      <c r="BH12" s="230">
        <f t="shared" si="34"/>
        <v>13.001099999999999</v>
      </c>
      <c r="BI12" s="230">
        <f t="shared" si="35"/>
        <v>16.001200000000001</v>
      </c>
      <c r="BJ12" s="230">
        <f t="shared" si="36"/>
        <v>20.001300000000001</v>
      </c>
      <c r="BK12" s="156"/>
    </row>
    <row r="13" spans="1:63" x14ac:dyDescent="0.2">
      <c r="A13" s="208" t="str">
        <f t="shared" si="0"/>
        <v/>
      </c>
      <c r="B13" s="209">
        <f t="shared" si="1"/>
        <v>-993</v>
      </c>
      <c r="C13" s="736" t="str">
        <f t="shared" si="2"/>
        <v/>
      </c>
      <c r="D13" s="565">
        <f t="shared" si="3"/>
        <v>-993</v>
      </c>
      <c r="E13" s="210">
        <f t="shared" si="4"/>
        <v>7</v>
      </c>
      <c r="F13" s="209">
        <f t="shared" si="5"/>
        <v>7</v>
      </c>
      <c r="G13" s="211" t="str">
        <f t="shared" si="6"/>
        <v/>
      </c>
      <c r="H13" s="209">
        <f t="shared" si="7"/>
        <v>-993</v>
      </c>
      <c r="I13" s="212" t="str">
        <f t="shared" si="8"/>
        <v/>
      </c>
      <c r="J13" s="213">
        <f t="shared" si="9"/>
        <v>-993</v>
      </c>
      <c r="K13" s="178">
        <f t="shared" si="10"/>
        <v>7</v>
      </c>
      <c r="L13" s="214" t="s">
        <v>130</v>
      </c>
      <c r="M13" s="215"/>
      <c r="N13" s="216" t="str">
        <f>IF(M13="","m","")</f>
        <v>m</v>
      </c>
      <c r="O13" s="217"/>
      <c r="P13" s="218"/>
      <c r="Q13" s="219"/>
      <c r="R13" s="220">
        <f t="array" ref="R13">(IF(COUNT(Z13,AA13,AB13,AC13,AD13,AE13,AF13,AG13,AH13,AI13,AJ13,AK13,AL13,AM13,AN13)&lt;11,SUM(Z13,AA13,AB13,AC13,AD13,AE13,AF13,AG13,AH13,AI13,AJ13,AK13,AL13,AM13,AN13),SUM(LARGE((Z13,AA13,AB13,AC13,AD13,AE13,AF13,AG13,AH13,AI13,AJ13,AK13,AL13,AM13,AN13),{1;2;3;4;5;6;7;8;9;10}))))</f>
        <v>152</v>
      </c>
      <c r="S13" s="221" t="str">
        <f>INDEX(ETAPP!B$1:B$32,MATCH(COUNTIF(Z13:AN13,PVO!A$1),ETAPP!A$1:A$32,0))&amp;INDEX(ETAPP!B$1:B$32,MATCH(COUNTIF(Z13:AN13,PVO!A$2),ETAPP!A$1:A$32,0))&amp;INDEX(ETAPP!B$1:B$32,MATCH(COUNTIF(Z13:AN13,PVO!A$3),ETAPP!A$1:A$32,0))&amp;INDEX(ETAPP!B$1:B$32,MATCH(COUNTIF(Z13:AN13,PVO!A$4),ETAPP!A$1:A$32,0))&amp;INDEX(ETAPP!B$1:B$32,MATCH(COUNTIF(Z13:AN13,PVO!A$5),ETAPP!A$1:A$32,0))&amp;INDEX(ETAPP!B$1:B$32,MATCH(COUNTIF(Z13:AN13,PVO!A$6),ETAPP!A$1:A$32,0))&amp;INDEX(ETAPP!B$1:B$32,MATCH(COUNTIF(Z13:AN13,PVO!A$7),ETAPP!A$1:A$32,0))&amp;INDEX(ETAPP!B$1:B$32,MATCH(COUNTIF(Z13:AN13,PVO!A$8),ETAPP!A$1:A$32,0))&amp;INDEX(ETAPP!B$1:B$32,MATCH(COUNTIF(Z13:AN13,PVO!A$9),ETAPP!A$1:A$32,0))&amp;INDEX(ETAPP!B$1:B$32,MATCH(COUNTIF(Z13:AN13,PVO!A$10),ETAPP!A$1:A$32,0))&amp;INDEX(ETAPP!B$1:B$32,MATCH(COUNTIF(Z13:AN13,PVO!A$11),ETAPP!A$1:A$32,0))&amp;INDEX(ETAPP!B$1:B$32,MATCH(COUNTIF(Z13:AN13,PVO!A$12),ETAPP!A$1:A$32,0))&amp;INDEX(ETAPP!B$1:B$32,MATCH(COUNTIF(Z13:AN13,PVO!A$13),ETAPP!A$1:A$32,0))&amp;INDEX(ETAPP!B$1:B$32,MATCH(COUNTIF(Z13:AN13,PVO!A$14),ETAPP!A$1:A$32,0))&amp;INDEX(ETAPP!B$1:B$32,MATCH(COUNTIF(Z13:AN13,PVO!A$15),ETAPP!A$1:A$32,0))&amp;INDEX(ETAPP!B$1:B$32,MATCH(COUNTIF(Z13:AN13,PVO!A$16),ETAPP!A$1:A$32,0))&amp;INDEX(ETAPP!B$1:B$32,MATCH(COUNTIF(Z13:AN13,PVO!A$17),ETAPP!A$1:A$32,0))&amp;INDEX(ETAPP!B$1:B$32,MATCH(COUNTIF(Z13:AN13,PVO!A$18),ETAPP!A$1:A$32,0))&amp;INDEX(ETAPP!B$1:B$32,MATCH(COUNTIF(Z13:AN13,PVO!A$19),ETAPP!A$1:A$32,0))&amp;INDEX(ETAPP!B$1:B$32,MATCH(COUNTIF(Z13:AN13,PVO!A$20),ETAPP!A$1:A$32,0))&amp;INDEX(ETAPP!B$1:B$32,MATCH(COUNTIF(Z13:AN13,PVO!A$21),ETAPP!A$1:A$32,0))</f>
        <v>AABA00AAB00A000000000</v>
      </c>
      <c r="T13" s="221" t="str">
        <f t="shared" si="11"/>
        <v>152,0-AABA00AAB00A000000000</v>
      </c>
      <c r="U13" s="221">
        <f t="shared" si="12"/>
        <v>7</v>
      </c>
      <c r="V13" s="221">
        <f t="shared" si="13"/>
        <v>2</v>
      </c>
      <c r="W13" s="221" t="str">
        <f t="shared" si="14"/>
        <v>152,0-AABA00AAB00A000000000-002</v>
      </c>
      <c r="X13" s="221">
        <f t="shared" si="15"/>
        <v>7</v>
      </c>
      <c r="Y13" s="222">
        <f t="shared" si="16"/>
        <v>61</v>
      </c>
      <c r="Z13" s="223">
        <f>IFERROR(INDEX('V1'!C$300:C$400,MATCH("*"&amp;L13&amp;"*",'V1'!B$300:B$400,0)),"  ")</f>
        <v>20</v>
      </c>
      <c r="AA13" s="223">
        <f>IFERROR(INDEX('V2'!C$300:C$400,MATCH("*"&amp;L13&amp;"*",'V2'!B$300:B$400,0)),"  ")</f>
        <v>12</v>
      </c>
      <c r="AB13" s="223">
        <f>IFERROR(INDEX('V3'!C$300:C$400,MATCH("*"&amp;L13&amp;"*",'V3'!B$300:B$400,0)),"  ")</f>
        <v>19</v>
      </c>
      <c r="AC13" s="223">
        <f>IFERROR(INDEX('V4'!C$300:C$400,MATCH("*"&amp;L13&amp;"*",'V4'!B$300:B$400,0)),"  ")</f>
        <v>18</v>
      </c>
      <c r="AD13" s="223">
        <f>IFERROR(INDEX('V5'!C$300:C$400,MATCH("*"&amp;L13&amp;"*",'V5'!B$300:B$400,0)),"  ")</f>
        <v>17</v>
      </c>
      <c r="AE13" s="223" t="str">
        <f>IFERROR(INDEX('V6'!C$300:C$400,MATCH("*"&amp;L13&amp;"*",'V6'!B$300:B$400,0)),"  ")</f>
        <v xml:space="preserve">  </v>
      </c>
      <c r="AF13" s="223">
        <f>IFERROR(INDEX('V7'!C$300:C$400,MATCH("*"&amp;L13&amp;"*",'V7'!B$300:B$400,0)),"  ")</f>
        <v>13</v>
      </c>
      <c r="AG13" s="223">
        <f>IFERROR(INDEX('V8'!C$300:C$400,MATCH("*"&amp;L13&amp;"*",'V8'!B$300:B$400,0)),"  ")</f>
        <v>12</v>
      </c>
      <c r="AH13" s="223">
        <f>IFERROR(INDEX('V9'!C$300:C$400,MATCH("*"&amp;L13&amp;"*",'V9'!B$300:B$400,0)),"  ")</f>
        <v>9</v>
      </c>
      <c r="AI13" s="223">
        <f>IFERROR(INDEX('V10'!C$300:C$400,MATCH("*"&amp;L13&amp;"*",'V10'!B$300:B$400,0)),"  ")</f>
        <v>18</v>
      </c>
      <c r="AJ13" s="223">
        <f>IFERROR(INDEX('V11'!C$300:C$400,MATCH("*"&amp;L13&amp;"*",'V11'!B$300:B$400,0)),"  ")</f>
        <v>14</v>
      </c>
      <c r="AK13" s="223" t="str">
        <f>IFERROR(INDEX('V12'!C$300:C$400,MATCH("*"&amp;L13&amp;"*",'V12'!B$300:B$400,0)),"  ")</f>
        <v xml:space="preserve">  </v>
      </c>
      <c r="AL13" s="223" t="str">
        <f>IFERROR(INDEX('V13'!C$300:C$400,MATCH("*"&amp;L13&amp;"*",'V13'!B$300:B$400,0)),"  ")</f>
        <v xml:space="preserve">  </v>
      </c>
      <c r="AM13" s="223"/>
      <c r="AN13" s="223"/>
      <c r="AO13" s="224">
        <f t="shared" si="17"/>
        <v>7</v>
      </c>
      <c r="AP13" s="627">
        <f t="shared" si="18"/>
        <v>152</v>
      </c>
      <c r="AQ13" s="225" t="str">
        <f t="shared" si="19"/>
        <v>edasi 7</v>
      </c>
      <c r="AR13" s="226" t="str">
        <f>IFERROR(INDEX(#REF!,MATCH("*"&amp;L13&amp;"*",#REF!,0)),"  ")</f>
        <v xml:space="preserve">  </v>
      </c>
      <c r="AS13" s="227">
        <f t="shared" si="20"/>
        <v>10</v>
      </c>
      <c r="AT13" s="228">
        <f t="shared" si="21"/>
        <v>4</v>
      </c>
      <c r="AU13" s="228">
        <f t="shared" si="22"/>
        <v>1</v>
      </c>
      <c r="AV13" s="156"/>
      <c r="AW13" s="229">
        <f t="shared" si="23"/>
        <v>1.2999999999999999E-3</v>
      </c>
      <c r="AX13" s="230">
        <f t="shared" si="24"/>
        <v>20.0001</v>
      </c>
      <c r="AY13" s="230">
        <f t="shared" si="25"/>
        <v>12.0002</v>
      </c>
      <c r="AZ13" s="230">
        <f t="shared" si="26"/>
        <v>19.000299999999999</v>
      </c>
      <c r="BA13" s="230">
        <f t="shared" si="27"/>
        <v>18.000399999999999</v>
      </c>
      <c r="BB13" s="230">
        <f t="shared" si="28"/>
        <v>17.000499999999999</v>
      </c>
      <c r="BC13" s="230">
        <f t="shared" si="29"/>
        <v>5.9999999999999995E-4</v>
      </c>
      <c r="BD13" s="230">
        <f t="shared" si="30"/>
        <v>13.0007</v>
      </c>
      <c r="BE13" s="230">
        <f t="shared" si="31"/>
        <v>12.0008</v>
      </c>
      <c r="BF13" s="230">
        <f t="shared" si="32"/>
        <v>9.0008999999999997</v>
      </c>
      <c r="BG13" s="230">
        <f t="shared" si="33"/>
        <v>18.001000000000001</v>
      </c>
      <c r="BH13" s="230">
        <f t="shared" si="34"/>
        <v>14.001099999999999</v>
      </c>
      <c r="BI13" s="230">
        <f t="shared" si="35"/>
        <v>1.1999999999999999E-3</v>
      </c>
      <c r="BJ13" s="230">
        <f t="shared" si="36"/>
        <v>1.2999999999999999E-3</v>
      </c>
      <c r="BK13" s="156"/>
    </row>
    <row r="14" spans="1:63" x14ac:dyDescent="0.2">
      <c r="A14" s="208">
        <f t="shared" si="0"/>
        <v>3</v>
      </c>
      <c r="B14" s="209">
        <f t="shared" si="1"/>
        <v>8</v>
      </c>
      <c r="C14" s="736" t="str">
        <f t="shared" si="2"/>
        <v/>
      </c>
      <c r="D14" s="565">
        <f t="shared" si="3"/>
        <v>-992</v>
      </c>
      <c r="E14" s="210">
        <f t="shared" si="4"/>
        <v>8</v>
      </c>
      <c r="F14" s="209">
        <f t="shared" si="5"/>
        <v>8</v>
      </c>
      <c r="G14" s="211" t="str">
        <f t="shared" si="6"/>
        <v/>
      </c>
      <c r="H14" s="209">
        <f t="shared" si="7"/>
        <v>-992</v>
      </c>
      <c r="I14" s="212" t="str">
        <f t="shared" si="8"/>
        <v/>
      </c>
      <c r="J14" s="213">
        <f t="shared" si="9"/>
        <v>-992</v>
      </c>
      <c r="K14" s="178">
        <f t="shared" si="10"/>
        <v>8</v>
      </c>
      <c r="L14" s="214" t="s">
        <v>126</v>
      </c>
      <c r="M14" s="215"/>
      <c r="N14" s="216" t="str">
        <f>IF(M14="","m","")</f>
        <v>m</v>
      </c>
      <c r="O14" s="217"/>
      <c r="P14" s="218"/>
      <c r="Q14" s="219" t="s">
        <v>124</v>
      </c>
      <c r="R14" s="220">
        <f t="array" ref="R14">(IF(COUNT(Z14,AA14,AB14,AC14,AD14,AE14,AF14,AG14,AH14,AI14,AJ14,AK14,AL14,AM14,AN14)&lt;11,SUM(Z14,AA14,AB14,AC14,AD14,AE14,AF14,AG14,AH14,AI14,AJ14,AK14,AL14,AM14,AN14),SUM(LARGE((Z14,AA14,AB14,AC14,AD14,AE14,AF14,AG14,AH14,AI14,AJ14,AK14,AL14,AM14,AN14),{1;2;3;4;5;6;7;8;9;10}))))</f>
        <v>150.5</v>
      </c>
      <c r="S14" s="221" t="str">
        <f>INDEX(ETAPP!B$1:B$32,MATCH(COUNTIF(Z14:AN14,PVO!A$1),ETAPP!A$1:A$32,0))&amp;INDEX(ETAPP!B$1:B$32,MATCH(COUNTIF(Z14:AN14,PVO!A$2),ETAPP!A$1:A$32,0))&amp;INDEX(ETAPP!B$1:B$32,MATCH(COUNTIF(Z14:AN14,PVO!A$3),ETAPP!A$1:A$32,0))&amp;INDEX(ETAPP!B$1:B$32,MATCH(COUNTIF(Z14:AN14,PVO!A$4),ETAPP!A$1:A$32,0))&amp;INDEX(ETAPP!B$1:B$32,MATCH(COUNTIF(Z14:AN14,PVO!A$5),ETAPP!A$1:A$32,0))&amp;INDEX(ETAPP!B$1:B$32,MATCH(COUNTIF(Z14:AN14,PVO!A$6),ETAPP!A$1:A$32,0))&amp;INDEX(ETAPP!B$1:B$32,MATCH(COUNTIF(Z14:AN14,PVO!A$7),ETAPP!A$1:A$32,0))&amp;INDEX(ETAPP!B$1:B$32,MATCH(COUNTIF(Z14:AN14,PVO!A$8),ETAPP!A$1:A$32,0))&amp;INDEX(ETAPP!B$1:B$32,MATCH(COUNTIF(Z14:AN14,PVO!A$9),ETAPP!A$1:A$32,0))&amp;INDEX(ETAPP!B$1:B$32,MATCH(COUNTIF(Z14:AN14,PVO!A$10),ETAPP!A$1:A$32,0))&amp;INDEX(ETAPP!B$1:B$32,MATCH(COUNTIF(Z14:AN14,PVO!A$11),ETAPP!A$1:A$32,0))&amp;INDEX(ETAPP!B$1:B$32,MATCH(COUNTIF(Z14:AN14,PVO!A$12),ETAPP!A$1:A$32,0))&amp;INDEX(ETAPP!B$1:B$32,MATCH(COUNTIF(Z14:AN14,PVO!A$13),ETAPP!A$1:A$32,0))&amp;INDEX(ETAPP!B$1:B$32,MATCH(COUNTIF(Z14:AN14,PVO!A$14),ETAPP!A$1:A$32,0))&amp;INDEX(ETAPP!B$1:B$32,MATCH(COUNTIF(Z14:AN14,PVO!A$15),ETAPP!A$1:A$32,0))&amp;INDEX(ETAPP!B$1:B$32,MATCH(COUNTIF(Z14:AN14,PVO!A$16),ETAPP!A$1:A$32,0))&amp;INDEX(ETAPP!B$1:B$32,MATCH(COUNTIF(Z14:AN14,PVO!A$17),ETAPP!A$1:A$32,0))&amp;INDEX(ETAPP!B$1:B$32,MATCH(COUNTIF(Z14:AN14,PVO!A$18),ETAPP!A$1:A$32,0))&amp;INDEX(ETAPP!B$1:B$32,MATCH(COUNTIF(Z14:AN14,PVO!A$19),ETAPP!A$1:A$32,0))&amp;INDEX(ETAPP!B$1:B$32,MATCH(COUNTIF(Z14:AN14,PVO!A$20),ETAPP!A$1:A$32,0))&amp;INDEX(ETAPP!B$1:B$32,MATCH(COUNTIF(Z14:AN14,PVO!A$21),ETAPP!A$1:A$32,0))</f>
        <v>00A0BADA0B00A00000000</v>
      </c>
      <c r="T14" s="221" t="str">
        <f t="shared" si="11"/>
        <v>150,5-00A0BADA0B00A00000000</v>
      </c>
      <c r="U14" s="221">
        <f t="shared" si="12"/>
        <v>8</v>
      </c>
      <c r="V14" s="221">
        <f t="shared" si="13"/>
        <v>43</v>
      </c>
      <c r="W14" s="221" t="str">
        <f t="shared" si="14"/>
        <v>150,5-00A0BADA0B00A00000000-043</v>
      </c>
      <c r="X14" s="221">
        <f t="shared" si="15"/>
        <v>8</v>
      </c>
      <c r="Y14" s="222">
        <f t="shared" si="16"/>
        <v>60</v>
      </c>
      <c r="Z14" s="223">
        <f>IFERROR(INDEX('V1'!C$300:C$400,MATCH("*"&amp;L14&amp;"*",'V1'!B$300:B$400,0)),"  ")</f>
        <v>11</v>
      </c>
      <c r="AA14" s="223">
        <f>IFERROR(INDEX('V2'!C$300:C$400,MATCH("*"&amp;L14&amp;"*",'V2'!B$300:B$400,0)),"  ")</f>
        <v>14</v>
      </c>
      <c r="AB14" s="223">
        <f>IFERROR(INDEX('V3'!C$300:C$400,MATCH("*"&amp;L14&amp;"*",'V3'!B$300:B$400,0)),"  ")</f>
        <v>14</v>
      </c>
      <c r="AC14" s="223">
        <f>IFERROR(INDEX('V4'!C$300:C$400,MATCH("*"&amp;L14&amp;"*",'V4'!B$300:B$400,0)),"  ")</f>
        <v>14</v>
      </c>
      <c r="AD14" s="223">
        <f>IFERROR(INDEX('V5'!C$300:C$400,MATCH("*"&amp;L14&amp;"*",'V5'!B$300:B$400,0)),"  ")</f>
        <v>16</v>
      </c>
      <c r="AE14" s="223">
        <f>IFERROR(INDEX('V6'!C$300:C$400,MATCH("*"&amp;L14&amp;"*",'V6'!B$300:B$400,0)),"  ")</f>
        <v>8</v>
      </c>
      <c r="AF14" s="223">
        <f>IFERROR(INDEX('V7'!C$300:C$400,MATCH("*"&amp;L14&amp;"*",'V7'!B$300:B$400,0)),"  ")</f>
        <v>16.5</v>
      </c>
      <c r="AG14" s="223">
        <f>IFERROR(INDEX('V8'!C$300:C$400,MATCH("*"&amp;L14&amp;"*",'V8'!B$300:B$400,0)),"  ")</f>
        <v>14</v>
      </c>
      <c r="AH14" s="223">
        <f>IFERROR(INDEX('V9'!C$300:C$400,MATCH("*"&amp;L14&amp;"*",'V9'!B$300:B$400,0)),"  ")</f>
        <v>13</v>
      </c>
      <c r="AI14" s="223">
        <f>IFERROR(INDEX('V10'!C$300:C$400,MATCH("*"&amp;L14&amp;"*",'V10'!B$300:B$400,0)),"  ")</f>
        <v>16</v>
      </c>
      <c r="AJ14" s="223">
        <f>IFERROR(INDEX('V11'!C$300:C$400,MATCH("*"&amp;L14&amp;"*",'V11'!B$300:B$400,0)),"  ")</f>
        <v>15</v>
      </c>
      <c r="AK14" s="223">
        <f>IFERROR(INDEX('V12'!C$300:C$400,MATCH("*"&amp;L14&amp;"*",'V12'!B$300:B$400,0)),"  ")</f>
        <v>11</v>
      </c>
      <c r="AL14" s="223">
        <f>IFERROR(INDEX('V13'!C$300:C$400,MATCH("*"&amp;L14&amp;"*",'V13'!B$300:B$400,0)),"  ")</f>
        <v>18</v>
      </c>
      <c r="AM14" s="223"/>
      <c r="AN14" s="223"/>
      <c r="AO14" s="224">
        <f t="shared" si="17"/>
        <v>8</v>
      </c>
      <c r="AP14" s="627">
        <f t="shared" si="18"/>
        <v>180.5</v>
      </c>
      <c r="AQ14" s="225" t="str">
        <f t="shared" si="19"/>
        <v>edasi 8</v>
      </c>
      <c r="AR14" s="226" t="str">
        <f>IFERROR(INDEX(#REF!,MATCH("*"&amp;L14&amp;"*",#REF!,0)),"  ")</f>
        <v xml:space="preserve">  </v>
      </c>
      <c r="AS14" s="227">
        <f t="shared" si="20"/>
        <v>13</v>
      </c>
      <c r="AT14" s="228">
        <f t="shared" si="21"/>
        <v>1</v>
      </c>
      <c r="AU14" s="228">
        <f t="shared" si="22"/>
        <v>0</v>
      </c>
      <c r="AV14" s="156"/>
      <c r="AW14" s="229">
        <f t="shared" si="23"/>
        <v>11.001200000000001</v>
      </c>
      <c r="AX14" s="230">
        <f t="shared" si="24"/>
        <v>11.0001</v>
      </c>
      <c r="AY14" s="230">
        <f t="shared" si="25"/>
        <v>14.0002</v>
      </c>
      <c r="AZ14" s="230">
        <f t="shared" si="26"/>
        <v>14.000299999999999</v>
      </c>
      <c r="BA14" s="230">
        <f t="shared" si="27"/>
        <v>14.000400000000001</v>
      </c>
      <c r="BB14" s="230">
        <f t="shared" si="28"/>
        <v>16.000499999999999</v>
      </c>
      <c r="BC14" s="230">
        <f t="shared" si="29"/>
        <v>8.0006000000000004</v>
      </c>
      <c r="BD14" s="230">
        <f t="shared" si="30"/>
        <v>16.500699999999998</v>
      </c>
      <c r="BE14" s="230">
        <f t="shared" si="31"/>
        <v>14.0008</v>
      </c>
      <c r="BF14" s="230">
        <f t="shared" si="32"/>
        <v>13.0009</v>
      </c>
      <c r="BG14" s="230">
        <f t="shared" si="33"/>
        <v>16.001000000000001</v>
      </c>
      <c r="BH14" s="230">
        <f t="shared" si="34"/>
        <v>15.001099999999999</v>
      </c>
      <c r="BI14" s="230">
        <f t="shared" si="35"/>
        <v>11.001200000000001</v>
      </c>
      <c r="BJ14" s="230">
        <f t="shared" si="36"/>
        <v>18.001300000000001</v>
      </c>
      <c r="BK14" s="156"/>
    </row>
    <row r="15" spans="1:63" x14ac:dyDescent="0.2">
      <c r="A15" s="208">
        <f t="shared" si="0"/>
        <v>4</v>
      </c>
      <c r="B15" s="209">
        <f t="shared" si="1"/>
        <v>9</v>
      </c>
      <c r="C15" s="736" t="str">
        <f t="shared" si="2"/>
        <v/>
      </c>
      <c r="D15" s="565">
        <f t="shared" si="3"/>
        <v>-991</v>
      </c>
      <c r="E15" s="210">
        <f t="shared" si="4"/>
        <v>9</v>
      </c>
      <c r="F15" s="209">
        <f t="shared" si="5"/>
        <v>9</v>
      </c>
      <c r="G15" s="211" t="str">
        <f t="shared" si="6"/>
        <v/>
      </c>
      <c r="H15" s="209">
        <f t="shared" si="7"/>
        <v>-991</v>
      </c>
      <c r="I15" s="212" t="str">
        <f t="shared" si="8"/>
        <v/>
      </c>
      <c r="J15" s="213">
        <f t="shared" si="9"/>
        <v>-991</v>
      </c>
      <c r="K15" s="178">
        <f t="shared" si="10"/>
        <v>9</v>
      </c>
      <c r="L15" s="214" t="s">
        <v>159</v>
      </c>
      <c r="M15" s="215"/>
      <c r="N15" s="216" t="s">
        <v>128</v>
      </c>
      <c r="O15" s="217"/>
      <c r="P15" s="218"/>
      <c r="Q15" s="219" t="s">
        <v>124</v>
      </c>
      <c r="R15" s="220">
        <f t="array" ref="R15">(IF(COUNT(Z15,AA15,AB15,AC15,AD15,AE15,AF15,AG15,AH15,AI15,AJ15,AK15,AL15,AM15,AN15)&lt;11,SUM(Z15,AA15,AB15,AC15,AD15,AE15,AF15,AG15,AH15,AI15,AJ15,AK15,AL15,AM15,AN15),SUM(LARGE((Z15,AA15,AB15,AC15,AD15,AE15,AF15,AG15,AH15,AI15,AJ15,AK15,AL15,AM15,AN15),{1;2;3;4;5;6;7;8;9;10}))))</f>
        <v>148</v>
      </c>
      <c r="S15" s="221" t="str">
        <f>INDEX(ETAPP!B$1:B$32,MATCH(COUNTIF(Z15:AN15,PVO!A$1),ETAPP!A$1:A$32,0))&amp;INDEX(ETAPP!B$1:B$32,MATCH(COUNTIF(Z15:AN15,PVO!A$2),ETAPP!A$1:A$32,0))&amp;INDEX(ETAPP!B$1:B$32,MATCH(COUNTIF(Z15:AN15,PVO!A$3),ETAPP!A$1:A$32,0))&amp;INDEX(ETAPP!B$1:B$32,MATCH(COUNTIF(Z15:AN15,PVO!A$4),ETAPP!A$1:A$32,0))&amp;INDEX(ETAPP!B$1:B$32,MATCH(COUNTIF(Z15:AN15,PVO!A$5),ETAPP!A$1:A$32,0))&amp;INDEX(ETAPP!B$1:B$32,MATCH(COUNTIF(Z15:AN15,PVO!A$6),ETAPP!A$1:A$32,0))&amp;INDEX(ETAPP!B$1:B$32,MATCH(COUNTIF(Z15:AN15,PVO!A$7),ETAPP!A$1:A$32,0))&amp;INDEX(ETAPP!B$1:B$32,MATCH(COUNTIF(Z15:AN15,PVO!A$8),ETAPP!A$1:A$32,0))&amp;INDEX(ETAPP!B$1:B$32,MATCH(COUNTIF(Z15:AN15,PVO!A$9),ETAPP!A$1:A$32,0))&amp;INDEX(ETAPP!B$1:B$32,MATCH(COUNTIF(Z15:AN15,PVO!A$10),ETAPP!A$1:A$32,0))&amp;INDEX(ETAPP!B$1:B$32,MATCH(COUNTIF(Z15:AN15,PVO!A$11),ETAPP!A$1:A$32,0))&amp;INDEX(ETAPP!B$1:B$32,MATCH(COUNTIF(Z15:AN15,PVO!A$12),ETAPP!A$1:A$32,0))&amp;INDEX(ETAPP!B$1:B$32,MATCH(COUNTIF(Z15:AN15,PVO!A$13),ETAPP!A$1:A$32,0))&amp;INDEX(ETAPP!B$1:B$32,MATCH(COUNTIF(Z15:AN15,PVO!A$14),ETAPP!A$1:A$32,0))&amp;INDEX(ETAPP!B$1:B$32,MATCH(COUNTIF(Z15:AN15,PVO!A$15),ETAPP!A$1:A$32,0))&amp;INDEX(ETAPP!B$1:B$32,MATCH(COUNTIF(Z15:AN15,PVO!A$16),ETAPP!A$1:A$32,0))&amp;INDEX(ETAPP!B$1:B$32,MATCH(COUNTIF(Z15:AN15,PVO!A$17),ETAPP!A$1:A$32,0))&amp;INDEX(ETAPP!B$1:B$32,MATCH(COUNTIF(Z15:AN15,PVO!A$18),ETAPP!A$1:A$32,0))&amp;INDEX(ETAPP!B$1:B$32,MATCH(COUNTIF(Z15:AN15,PVO!A$19),ETAPP!A$1:A$32,0))&amp;INDEX(ETAPP!B$1:B$32,MATCH(COUNTIF(Z15:AN15,PVO!A$20),ETAPP!A$1:A$32,0))&amp;INDEX(ETAPP!B$1:B$32,MATCH(COUNTIF(Z15:AN15,PVO!A$21),ETAPP!A$1:A$32,0))</f>
        <v>0ABB0B0A0000BA0000000</v>
      </c>
      <c r="T15" s="221" t="str">
        <f t="shared" si="11"/>
        <v>148,0-0ABB0B0A0000BA0000000</v>
      </c>
      <c r="U15" s="221">
        <f t="shared" si="12"/>
        <v>9</v>
      </c>
      <c r="V15" s="221">
        <f t="shared" si="13"/>
        <v>62</v>
      </c>
      <c r="W15" s="221" t="str">
        <f t="shared" si="14"/>
        <v>148,0-0ABB0B0A0000BA0000000-062</v>
      </c>
      <c r="X15" s="221">
        <f t="shared" si="15"/>
        <v>9</v>
      </c>
      <c r="Y15" s="222">
        <f t="shared" si="16"/>
        <v>59</v>
      </c>
      <c r="Z15" s="223">
        <f>IFERROR(INDEX('V1'!C$300:C$400,MATCH("*"&amp;L15&amp;"*",'V1'!B$300:B$400,0)),"  ")</f>
        <v>17</v>
      </c>
      <c r="AA15" s="223">
        <f>IFERROR(INDEX('V2'!C$300:C$400,MATCH("*"&amp;L15&amp;"*",'V2'!B$300:B$400,0)),"  ")</f>
        <v>19</v>
      </c>
      <c r="AB15" s="223">
        <f>IFERROR(INDEX('V3'!C$300:C$400,MATCH("*"&amp;L15&amp;"*",'V3'!B$300:B$400,0)),"  ")</f>
        <v>15</v>
      </c>
      <c r="AC15" s="223">
        <f>IFERROR(INDEX('V4'!C$300:C$400,MATCH("*"&amp;L15&amp;"*",'V4'!B$300:B$400,0)),"  ")</f>
        <v>13</v>
      </c>
      <c r="AD15" s="223">
        <f>IFERROR(INDEX('V5'!C$300:C$400,MATCH("*"&amp;L15&amp;"*",'V5'!B$300:B$400,0)),"  ")</f>
        <v>18</v>
      </c>
      <c r="AE15" s="223">
        <f>IFERROR(INDEX('V6'!C$300:C$400,MATCH("*"&amp;L15&amp;"*",'V6'!B$300:B$400,0)),"  ")</f>
        <v>7</v>
      </c>
      <c r="AF15" s="223">
        <f>IFERROR(INDEX('V7'!C$300:C$400,MATCH("*"&amp;L15&amp;"*",'V7'!B$300:B$400,0)),"  ")</f>
        <v>15</v>
      </c>
      <c r="AG15" s="223">
        <f>IFERROR(INDEX('V8'!C$300:C$400,MATCH("*"&amp;L15&amp;"*",'V8'!B$300:B$400,0)),"  ")</f>
        <v>8</v>
      </c>
      <c r="AH15" s="223">
        <f>IFERROR(INDEX('V9'!C$300:C$400,MATCH("*"&amp;L15&amp;"*",'V9'!B$300:B$400,0)),"  ")</f>
        <v>17</v>
      </c>
      <c r="AI15" s="223">
        <f>IFERROR(INDEX('V10'!C$300:C$400,MATCH("*"&amp;L15&amp;"*",'V10'!B$300:B$400,0)),"  ")</f>
        <v>8</v>
      </c>
      <c r="AJ15" s="223">
        <f>IFERROR(INDEX('V11'!C$300:C$400,MATCH("*"&amp;L15&amp;"*",'V11'!B$300:B$400,0)),"  ")</f>
        <v>18</v>
      </c>
      <c r="AK15" s="223" t="str">
        <f>IFERROR(INDEX('V12'!C$300:C$400,MATCH("*"&amp;L15&amp;"*",'V12'!B$300:B$400,0)),"  ")</f>
        <v xml:space="preserve">  </v>
      </c>
      <c r="AL15" s="223" t="str">
        <f>IFERROR(INDEX('V13'!C$300:C$400,MATCH("*"&amp;L15&amp;"*",'V13'!B$300:B$400,0)),"  ")</f>
        <v xml:space="preserve">  </v>
      </c>
      <c r="AM15" s="223"/>
      <c r="AN15" s="223"/>
      <c r="AO15" s="224">
        <f t="shared" si="17"/>
        <v>9</v>
      </c>
      <c r="AP15" s="627">
        <f t="shared" si="18"/>
        <v>155</v>
      </c>
      <c r="AQ15" s="225" t="str">
        <f t="shared" si="19"/>
        <v>edasi 9</v>
      </c>
      <c r="AR15" s="226" t="str">
        <f>IFERROR(INDEX(#REF!,MATCH("*"&amp;L15&amp;"*",#REF!,0)),"  ")</f>
        <v xml:space="preserve">  </v>
      </c>
      <c r="AS15" s="227">
        <f t="shared" si="20"/>
        <v>11</v>
      </c>
      <c r="AT15" s="228">
        <f t="shared" si="21"/>
        <v>3</v>
      </c>
      <c r="AU15" s="228">
        <f t="shared" si="22"/>
        <v>0</v>
      </c>
      <c r="AV15" s="156"/>
      <c r="AW15" s="229">
        <f t="shared" si="23"/>
        <v>7.0006000000000004</v>
      </c>
      <c r="AX15" s="230">
        <f t="shared" si="24"/>
        <v>17.0001</v>
      </c>
      <c r="AY15" s="230">
        <f t="shared" si="25"/>
        <v>19.0002</v>
      </c>
      <c r="AZ15" s="230">
        <f t="shared" si="26"/>
        <v>15.000299999999999</v>
      </c>
      <c r="BA15" s="230">
        <f t="shared" si="27"/>
        <v>13.000400000000001</v>
      </c>
      <c r="BB15" s="230">
        <f t="shared" si="28"/>
        <v>18.000499999999999</v>
      </c>
      <c r="BC15" s="230">
        <f t="shared" si="29"/>
        <v>7.0006000000000004</v>
      </c>
      <c r="BD15" s="230">
        <f t="shared" si="30"/>
        <v>15.0007</v>
      </c>
      <c r="BE15" s="230">
        <f t="shared" si="31"/>
        <v>8.0007999999999999</v>
      </c>
      <c r="BF15" s="230">
        <f t="shared" si="32"/>
        <v>17.000900000000001</v>
      </c>
      <c r="BG15" s="230">
        <f t="shared" si="33"/>
        <v>8.0009999999999994</v>
      </c>
      <c r="BH15" s="230">
        <f t="shared" si="34"/>
        <v>18.001100000000001</v>
      </c>
      <c r="BI15" s="230">
        <f t="shared" si="35"/>
        <v>1.1999999999999999E-3</v>
      </c>
      <c r="BJ15" s="230">
        <f t="shared" si="36"/>
        <v>1.2999999999999999E-3</v>
      </c>
      <c r="BK15" s="156"/>
    </row>
    <row r="16" spans="1:63" x14ac:dyDescent="0.2">
      <c r="A16" s="208">
        <f t="shared" si="0"/>
        <v>5</v>
      </c>
      <c r="B16" s="209">
        <f t="shared" si="1"/>
        <v>10</v>
      </c>
      <c r="C16" s="736">
        <f t="shared" si="2"/>
        <v>4</v>
      </c>
      <c r="D16" s="565">
        <f t="shared" si="3"/>
        <v>10</v>
      </c>
      <c r="E16" s="210" t="str">
        <f t="shared" si="4"/>
        <v/>
      </c>
      <c r="F16" s="209">
        <f t="shared" si="5"/>
        <v>-990</v>
      </c>
      <c r="G16" s="211">
        <f t="shared" si="6"/>
        <v>1</v>
      </c>
      <c r="H16" s="209">
        <f t="shared" si="7"/>
        <v>10</v>
      </c>
      <c r="I16" s="212" t="str">
        <f t="shared" si="8"/>
        <v/>
      </c>
      <c r="J16" s="213">
        <f t="shared" si="9"/>
        <v>-990</v>
      </c>
      <c r="K16" s="178">
        <f t="shared" si="10"/>
        <v>10</v>
      </c>
      <c r="L16" s="234" t="s">
        <v>149</v>
      </c>
      <c r="M16" s="215" t="s">
        <v>135</v>
      </c>
      <c r="N16" s="216" t="str">
        <f>IF(M16="","m","")</f>
        <v/>
      </c>
      <c r="O16" s="217"/>
      <c r="P16" s="218" t="s">
        <v>478</v>
      </c>
      <c r="Q16" s="219" t="s">
        <v>124</v>
      </c>
      <c r="R16" s="220">
        <f t="array" ref="R16">(IF(COUNT(Z16,AA16,AB16,AC16,AD16,AE16,AF16,AG16,AH16,AI16,AJ16,AK16,AL16,AM16,AN16)&lt;11,SUM(Z16,AA16,AB16,AC16,AD16,AE16,AF16,AG16,AH16,AI16,AJ16,AK16,AL16,AM16,AN16),SUM(LARGE((Z16,AA16,AB16,AC16,AD16,AE16,AF16,AG16,AH16,AI16,AJ16,AK16,AL16,AM16,AN16),{1;2;3;4;5;6;7;8;9;10}))))</f>
        <v>145</v>
      </c>
      <c r="S16" s="221" t="str">
        <f>INDEX(ETAPP!B$1:B$32,MATCH(COUNTIF(Z16:AN16,PVO!A$1),ETAPP!A$1:A$32,0))&amp;INDEX(ETAPP!B$1:B$32,MATCH(COUNTIF(Z16:AN16,PVO!A$2),ETAPP!A$1:A$32,0))&amp;INDEX(ETAPP!B$1:B$32,MATCH(COUNTIF(Z16:AN16,PVO!A$3),ETAPP!A$1:A$32,0))&amp;INDEX(ETAPP!B$1:B$32,MATCH(COUNTIF(Z16:AN16,PVO!A$4),ETAPP!A$1:A$32,0))&amp;INDEX(ETAPP!B$1:B$32,MATCH(COUNTIF(Z16:AN16,PVO!A$5),ETAPP!A$1:A$32,0))&amp;INDEX(ETAPP!B$1:B$32,MATCH(COUNTIF(Z16:AN16,PVO!A$6),ETAPP!A$1:A$32,0))&amp;INDEX(ETAPP!B$1:B$32,MATCH(COUNTIF(Z16:AN16,PVO!A$7),ETAPP!A$1:A$32,0))&amp;INDEX(ETAPP!B$1:B$32,MATCH(COUNTIF(Z16:AN16,PVO!A$8),ETAPP!A$1:A$32,0))&amp;INDEX(ETAPP!B$1:B$32,MATCH(COUNTIF(Z16:AN16,PVO!A$9),ETAPP!A$1:A$32,0))&amp;INDEX(ETAPP!B$1:B$32,MATCH(COUNTIF(Z16:AN16,PVO!A$10),ETAPP!A$1:A$32,0))&amp;INDEX(ETAPP!B$1:B$32,MATCH(COUNTIF(Z16:AN16,PVO!A$11),ETAPP!A$1:A$32,0))&amp;INDEX(ETAPP!B$1:B$32,MATCH(COUNTIF(Z16:AN16,PVO!A$12),ETAPP!A$1:A$32,0))&amp;INDEX(ETAPP!B$1:B$32,MATCH(COUNTIF(Z16:AN16,PVO!A$13),ETAPP!A$1:A$32,0))&amp;INDEX(ETAPP!B$1:B$32,MATCH(COUNTIF(Z16:AN16,PVO!A$14),ETAPP!A$1:A$32,0))&amp;INDEX(ETAPP!B$1:B$32,MATCH(COUNTIF(Z16:AN16,PVO!A$15),ETAPP!A$1:A$32,0))&amp;INDEX(ETAPP!B$1:B$32,MATCH(COUNTIF(Z16:AN16,PVO!A$16),ETAPP!A$1:A$32,0))&amp;INDEX(ETAPP!B$1:B$32,MATCH(COUNTIF(Z16:AN16,PVO!A$17),ETAPP!A$1:A$32,0))&amp;INDEX(ETAPP!B$1:B$32,MATCH(COUNTIF(Z16:AN16,PVO!A$18),ETAPP!A$1:A$32,0))&amp;INDEX(ETAPP!B$1:B$32,MATCH(COUNTIF(Z16:AN16,PVO!A$19),ETAPP!A$1:A$32,0))&amp;INDEX(ETAPP!B$1:B$32,MATCH(COUNTIF(Z16:AN16,PVO!A$20),ETAPP!A$1:A$32,0))&amp;INDEX(ETAPP!B$1:B$32,MATCH(COUNTIF(Z16:AN16,PVO!A$21),ETAPP!A$1:A$32,0))</f>
        <v>0B0BC00AA000000000000</v>
      </c>
      <c r="T16" s="221" t="str">
        <f t="shared" si="11"/>
        <v>145,0-0B0BC00AA000000000000</v>
      </c>
      <c r="U16" s="221">
        <f t="shared" si="12"/>
        <v>10</v>
      </c>
      <c r="V16" s="221">
        <f t="shared" si="13"/>
        <v>66</v>
      </c>
      <c r="W16" s="221" t="str">
        <f t="shared" si="14"/>
        <v>145,0-0B0BC00AA000000000000-066</v>
      </c>
      <c r="X16" s="221">
        <f t="shared" si="15"/>
        <v>10</v>
      </c>
      <c r="Y16" s="222">
        <f t="shared" si="16"/>
        <v>58</v>
      </c>
      <c r="Z16" s="223" t="str">
        <f>IFERROR(INDEX('V1'!C$300:C$400,MATCH("*"&amp;L16&amp;"*",'V1'!B$300:B$400,0)),"  ")</f>
        <v xml:space="preserve">  </v>
      </c>
      <c r="AA16" s="223">
        <f>IFERROR(INDEX('V2'!C$300:C$400,MATCH("*"&amp;L16&amp;"*",'V2'!B$300:B$400,0)),"  ")</f>
        <v>13</v>
      </c>
      <c r="AB16" s="223">
        <f>IFERROR(INDEX('V3'!C$300:C$400,MATCH("*"&amp;L16&amp;"*",'V3'!B$300:B$400,0)),"  ")</f>
        <v>16</v>
      </c>
      <c r="AC16" s="223" t="str">
        <f>IFERROR(INDEX('V4'!C$300:C$400,MATCH("*"&amp;L16&amp;"*",'V4'!B$300:B$400,0)),"  ")</f>
        <v xml:space="preserve">  </v>
      </c>
      <c r="AD16" s="223">
        <f>IFERROR(INDEX('V5'!C$300:C$400,MATCH("*"&amp;L16&amp;"*",'V5'!B$300:B$400,0)),"  ")</f>
        <v>19</v>
      </c>
      <c r="AE16" s="223">
        <f>IFERROR(INDEX('V6'!C$300:C$400,MATCH("*"&amp;L16&amp;"*",'V6'!B$300:B$400,0)),"  ")</f>
        <v>16</v>
      </c>
      <c r="AF16" s="223" t="str">
        <f>IFERROR(INDEX('V7'!C$300:C$400,MATCH("*"&amp;L16&amp;"*",'V7'!B$300:B$400,0)),"  ")</f>
        <v xml:space="preserve">  </v>
      </c>
      <c r="AG16" s="223">
        <f>IFERROR(INDEX('V8'!C$300:C$400,MATCH("*"&amp;L16&amp;"*",'V8'!B$300:B$400,0)),"  ")</f>
        <v>17</v>
      </c>
      <c r="AH16" s="223">
        <f>IFERROR(INDEX('V9'!C$300:C$400,MATCH("*"&amp;L16&amp;"*",'V9'!B$300:B$400,0)),"  ")</f>
        <v>16</v>
      </c>
      <c r="AI16" s="223">
        <f>IFERROR(INDEX('V10'!C$300:C$400,MATCH("*"&amp;L16&amp;"*",'V10'!B$300:B$400,0)),"  ")</f>
        <v>19</v>
      </c>
      <c r="AJ16" s="223">
        <f>IFERROR(INDEX('V11'!C$300:C$400,MATCH("*"&amp;L16&amp;"*",'V11'!B$300:B$400,0)),"  ")</f>
        <v>17</v>
      </c>
      <c r="AK16" s="223">
        <f>IFERROR(INDEX('V12'!C$300:C$400,MATCH("*"&amp;L16&amp;"*",'V12'!B$300:B$400,0)),"  ")</f>
        <v>12</v>
      </c>
      <c r="AL16" s="223" t="str">
        <f>IFERROR(INDEX('V13'!C$300:C$400,MATCH("*"&amp;L16&amp;"*",'V13'!B$300:B$400,0)),"  ")</f>
        <v xml:space="preserve">  </v>
      </c>
      <c r="AM16" s="223"/>
      <c r="AN16" s="223"/>
      <c r="AO16" s="224">
        <f t="shared" si="17"/>
        <v>10</v>
      </c>
      <c r="AP16" s="627">
        <f t="shared" si="18"/>
        <v>145</v>
      </c>
      <c r="AQ16" s="225" t="str">
        <f t="shared" si="19"/>
        <v>edasi 10</v>
      </c>
      <c r="AR16" s="226" t="str">
        <f>IFERROR(INDEX(#REF!,MATCH("*"&amp;L16&amp;"*",#REF!,0)),"  ")</f>
        <v xml:space="preserve">  </v>
      </c>
      <c r="AS16" s="227">
        <f t="shared" si="20"/>
        <v>9</v>
      </c>
      <c r="AT16" s="228">
        <f t="shared" si="21"/>
        <v>2</v>
      </c>
      <c r="AU16" s="228">
        <f t="shared" si="22"/>
        <v>0</v>
      </c>
      <c r="AV16" s="233"/>
      <c r="AW16" s="229">
        <f t="shared" si="23"/>
        <v>6.9999999999999999E-4</v>
      </c>
      <c r="AX16" s="230">
        <f t="shared" si="24"/>
        <v>1E-4</v>
      </c>
      <c r="AY16" s="230">
        <f t="shared" si="25"/>
        <v>13.0002</v>
      </c>
      <c r="AZ16" s="230">
        <f t="shared" si="26"/>
        <v>16.000299999999999</v>
      </c>
      <c r="BA16" s="230">
        <f t="shared" si="27"/>
        <v>4.0000000000000002E-4</v>
      </c>
      <c r="BB16" s="230">
        <f t="shared" si="28"/>
        <v>19.000499999999999</v>
      </c>
      <c r="BC16" s="230">
        <f t="shared" si="29"/>
        <v>16.000599999999999</v>
      </c>
      <c r="BD16" s="230">
        <f t="shared" si="30"/>
        <v>6.9999999999999999E-4</v>
      </c>
      <c r="BE16" s="230">
        <f t="shared" si="31"/>
        <v>17.000800000000002</v>
      </c>
      <c r="BF16" s="230">
        <f t="shared" si="32"/>
        <v>16.000900000000001</v>
      </c>
      <c r="BG16" s="230">
        <f t="shared" si="33"/>
        <v>19.001000000000001</v>
      </c>
      <c r="BH16" s="230">
        <f t="shared" si="34"/>
        <v>17.001100000000001</v>
      </c>
      <c r="BI16" s="230">
        <f t="shared" si="35"/>
        <v>12.001200000000001</v>
      </c>
      <c r="BJ16" s="230">
        <f t="shared" si="36"/>
        <v>1.2999999999999999E-3</v>
      </c>
      <c r="BK16" s="156"/>
    </row>
    <row r="17" spans="1:63" x14ac:dyDescent="0.2">
      <c r="A17" s="208">
        <f t="shared" si="0"/>
        <v>6</v>
      </c>
      <c r="B17" s="209">
        <f t="shared" si="1"/>
        <v>11</v>
      </c>
      <c r="C17" s="736">
        <f t="shared" si="2"/>
        <v>5</v>
      </c>
      <c r="D17" s="565">
        <f t="shared" si="3"/>
        <v>11</v>
      </c>
      <c r="E17" s="210">
        <f t="shared" si="4"/>
        <v>10</v>
      </c>
      <c r="F17" s="209">
        <f t="shared" si="5"/>
        <v>11</v>
      </c>
      <c r="G17" s="211" t="str">
        <f t="shared" si="6"/>
        <v/>
      </c>
      <c r="H17" s="209">
        <f t="shared" si="7"/>
        <v>-989</v>
      </c>
      <c r="I17" s="212" t="str">
        <f t="shared" si="8"/>
        <v/>
      </c>
      <c r="J17" s="213">
        <f t="shared" si="9"/>
        <v>-989</v>
      </c>
      <c r="K17" s="235">
        <f t="shared" si="10"/>
        <v>11</v>
      </c>
      <c r="L17" s="1419" t="s">
        <v>156</v>
      </c>
      <c r="M17" s="236"/>
      <c r="N17" s="237" t="s">
        <v>128</v>
      </c>
      <c r="O17" s="590"/>
      <c r="P17" s="238" t="s">
        <v>478</v>
      </c>
      <c r="Q17" s="239" t="s">
        <v>124</v>
      </c>
      <c r="R17" s="220">
        <f t="array" ref="R17">(IF(COUNT(Z17,AA17,AB17,AC17,AD17,AE17,AF17,AG17,AH17,AI17,AJ17,AK17,AL17,AM17,AN17)&lt;11,SUM(Z17,AA17,AB17,AC17,AD17,AE17,AF17,AG17,AH17,AI17,AJ17,AK17,AL17,AM17,AN17),SUM(LARGE((Z17,AA17,AB17,AC17,AD17,AE17,AF17,AG17,AH17,AI17,AJ17,AK17,AL17,AM17,AN17),{1;2;3;4;5;6;7;8;9;10}))))</f>
        <v>138</v>
      </c>
      <c r="S17" s="221" t="str">
        <f>INDEX(ETAPP!B$1:B$32,MATCH(COUNTIF(Z17:AN17,PVO!A$1),ETAPP!A$1:A$32,0))&amp;INDEX(ETAPP!B$1:B$32,MATCH(COUNTIF(Z17:AN17,PVO!A$2),ETAPP!A$1:A$32,0))&amp;INDEX(ETAPP!B$1:B$32,MATCH(COUNTIF(Z17:AN17,PVO!A$3),ETAPP!A$1:A$32,0))&amp;INDEX(ETAPP!B$1:B$32,MATCH(COUNTIF(Z17:AN17,PVO!A$4),ETAPP!A$1:A$32,0))&amp;INDEX(ETAPP!B$1:B$32,MATCH(COUNTIF(Z17:AN17,PVO!A$5),ETAPP!A$1:A$32,0))&amp;INDEX(ETAPP!B$1:B$32,MATCH(COUNTIF(Z17:AN17,PVO!A$6),ETAPP!A$1:A$32,0))&amp;INDEX(ETAPP!B$1:B$32,MATCH(COUNTIF(Z17:AN17,PVO!A$7),ETAPP!A$1:A$32,0))&amp;INDEX(ETAPP!B$1:B$32,MATCH(COUNTIF(Z17:AN17,PVO!A$8),ETAPP!A$1:A$32,0))&amp;INDEX(ETAPP!B$1:B$32,MATCH(COUNTIF(Z17:AN17,PVO!A$9),ETAPP!A$1:A$32,0))&amp;INDEX(ETAPP!B$1:B$32,MATCH(COUNTIF(Z17:AN17,PVO!A$10),ETAPP!A$1:A$32,0))&amp;INDEX(ETAPP!B$1:B$32,MATCH(COUNTIF(Z17:AN17,PVO!A$11),ETAPP!A$1:A$32,0))&amp;INDEX(ETAPP!B$1:B$32,MATCH(COUNTIF(Z17:AN17,PVO!A$12),ETAPP!A$1:A$32,0))&amp;INDEX(ETAPP!B$1:B$32,MATCH(COUNTIF(Z17:AN17,PVO!A$13),ETAPP!A$1:A$32,0))&amp;INDEX(ETAPP!B$1:B$32,MATCH(COUNTIF(Z17:AN17,PVO!A$14),ETAPP!A$1:A$32,0))&amp;INDEX(ETAPP!B$1:B$32,MATCH(COUNTIF(Z17:AN17,PVO!A$15),ETAPP!A$1:A$32,0))&amp;INDEX(ETAPP!B$1:B$32,MATCH(COUNTIF(Z17:AN17,PVO!A$16),ETAPP!A$1:A$32,0))&amp;INDEX(ETAPP!B$1:B$32,MATCH(COUNTIF(Z17:AN17,PVO!A$17),ETAPP!A$1:A$32,0))&amp;INDEX(ETAPP!B$1:B$32,MATCH(COUNTIF(Z17:AN17,PVO!A$18),ETAPP!A$1:A$32,0))&amp;INDEX(ETAPP!B$1:B$32,MATCH(COUNTIF(Z17:AN17,PVO!A$19),ETAPP!A$1:A$32,0))&amp;INDEX(ETAPP!B$1:B$32,MATCH(COUNTIF(Z17:AN17,PVO!A$20),ETAPP!A$1:A$32,0))&amp;INDEX(ETAPP!B$1:B$32,MATCH(COUNTIF(Z17:AN17,PVO!A$21),ETAPP!A$1:A$32,0))</f>
        <v>00AAAC00AAAB000000000</v>
      </c>
      <c r="T17" s="240" t="str">
        <f t="shared" si="11"/>
        <v>138,0-00AAAC00AAAB000000000</v>
      </c>
      <c r="U17" s="240">
        <f t="shared" si="12"/>
        <v>11</v>
      </c>
      <c r="V17" s="240">
        <f t="shared" si="13"/>
        <v>8</v>
      </c>
      <c r="W17" s="240" t="str">
        <f t="shared" si="14"/>
        <v>138,0-00AAAC00AAAB000000000-008</v>
      </c>
      <c r="X17" s="240">
        <f t="shared" si="15"/>
        <v>11</v>
      </c>
      <c r="Y17" s="241">
        <f t="shared" si="16"/>
        <v>57</v>
      </c>
      <c r="Z17" s="223">
        <f>IFERROR(INDEX('V1'!C$300:C$400,MATCH("*"&amp;L17&amp;"*",'V1'!B$300:B$400,0)),"  ")</f>
        <v>15</v>
      </c>
      <c r="AA17" s="223">
        <f>IFERROR(INDEX('V2'!C$300:C$400,MATCH("*"&amp;L17&amp;"*",'V2'!B$300:B$400,0)),"  ")</f>
        <v>16</v>
      </c>
      <c r="AB17" s="223">
        <f>IFERROR(INDEX('V3'!C$300:C$400,MATCH("*"&amp;L17&amp;"*",'V3'!B$300:B$400,0)),"  ")</f>
        <v>18</v>
      </c>
      <c r="AC17" s="223">
        <f>IFERROR(INDEX('V4'!C$300:C$400,MATCH("*"&amp;L17&amp;"*",'V4'!B$300:B$400,0)),"  ")</f>
        <v>9</v>
      </c>
      <c r="AD17" s="223">
        <f>IFERROR(INDEX('V5'!C$300:C$400,MATCH("*"&amp;L17&amp;"*",'V5'!B$300:B$400,0)),"  ")</f>
        <v>11</v>
      </c>
      <c r="AE17" s="223" t="str">
        <f>IFERROR(INDEX('V6'!C$300:C$400,MATCH("*"&amp;L17&amp;"*",'V6'!B$300:B$400,0)),"  ")</f>
        <v xml:space="preserve">  </v>
      </c>
      <c r="AF17" s="223">
        <f>IFERROR(INDEX('V7'!C$300:C$400,MATCH("*"&amp;L17&amp;"*",'V7'!B$300:B$400,0)),"  ")</f>
        <v>12</v>
      </c>
      <c r="AG17" s="223">
        <f>IFERROR(INDEX('V8'!C$300:C$400,MATCH("*"&amp;L17&amp;"*",'V8'!B$300:B$400,0)),"  ")</f>
        <v>15</v>
      </c>
      <c r="AH17" s="223">
        <f>IFERROR(INDEX('V9'!C$300:C$400,MATCH("*"&amp;L17&amp;"*",'V9'!B$300:B$400,0)),"  ")</f>
        <v>10</v>
      </c>
      <c r="AI17" s="223" t="str">
        <f>IFERROR(INDEX('V10'!C$300:C$400,MATCH("*"&amp;L17&amp;"*",'V10'!B$300:B$400,0)),"  ")</f>
        <v xml:space="preserve">  </v>
      </c>
      <c r="AJ17" s="223">
        <f>IFERROR(INDEX('V11'!C$300:C$400,MATCH("*"&amp;L17&amp;"*",'V11'!B$300:B$400,0)),"  ")</f>
        <v>9</v>
      </c>
      <c r="AK17" s="223">
        <f>IFERROR(INDEX('V12'!C$300:C$400,MATCH("*"&amp;L17&amp;"*",'V12'!B$300:B$400,0)),"  ")</f>
        <v>15</v>
      </c>
      <c r="AL17" s="223">
        <f>IFERROR(INDEX('V13'!C$300:C$400,MATCH("*"&amp;L17&amp;"*",'V13'!B$300:B$400,0)),"  ")</f>
        <v>17</v>
      </c>
      <c r="AM17" s="223"/>
      <c r="AN17" s="223"/>
      <c r="AO17" s="224">
        <f t="shared" si="17"/>
        <v>11</v>
      </c>
      <c r="AP17" s="627">
        <f t="shared" si="18"/>
        <v>147</v>
      </c>
      <c r="AQ17" s="225" t="str">
        <f t="shared" si="19"/>
        <v>edasi 11</v>
      </c>
      <c r="AR17" s="226" t="str">
        <f>IFERROR(INDEX(#REF!,MATCH("*"&amp;L17&amp;"*",#REF!,0)),"  ")</f>
        <v xml:space="preserve">  </v>
      </c>
      <c r="AS17" s="227">
        <f t="shared" si="20"/>
        <v>11</v>
      </c>
      <c r="AT17" s="228">
        <f t="shared" si="21"/>
        <v>1</v>
      </c>
      <c r="AU17" s="228">
        <f t="shared" si="22"/>
        <v>0</v>
      </c>
      <c r="AV17" s="156"/>
      <c r="AW17" s="229">
        <f t="shared" si="23"/>
        <v>9.0004000000000008</v>
      </c>
      <c r="AX17" s="230">
        <f t="shared" si="24"/>
        <v>15.0001</v>
      </c>
      <c r="AY17" s="230">
        <f t="shared" si="25"/>
        <v>16.0002</v>
      </c>
      <c r="AZ17" s="230">
        <f t="shared" si="26"/>
        <v>18.000299999999999</v>
      </c>
      <c r="BA17" s="230">
        <f t="shared" si="27"/>
        <v>9.0004000000000008</v>
      </c>
      <c r="BB17" s="230">
        <f t="shared" si="28"/>
        <v>11.000500000000001</v>
      </c>
      <c r="BC17" s="230">
        <f t="shared" si="29"/>
        <v>5.9999999999999995E-4</v>
      </c>
      <c r="BD17" s="230">
        <f t="shared" si="30"/>
        <v>12.0007</v>
      </c>
      <c r="BE17" s="230">
        <f t="shared" si="31"/>
        <v>15.0008</v>
      </c>
      <c r="BF17" s="230">
        <f t="shared" si="32"/>
        <v>10.0009</v>
      </c>
      <c r="BG17" s="230">
        <f t="shared" si="33"/>
        <v>1E-3</v>
      </c>
      <c r="BH17" s="230">
        <f t="shared" si="34"/>
        <v>9.0010999999999992</v>
      </c>
      <c r="BI17" s="230">
        <f t="shared" si="35"/>
        <v>15.001200000000001</v>
      </c>
      <c r="BJ17" s="230">
        <f t="shared" si="36"/>
        <v>17.001300000000001</v>
      </c>
      <c r="BK17" s="156"/>
    </row>
    <row r="18" spans="1:63" x14ac:dyDescent="0.2">
      <c r="A18" s="208">
        <f t="shared" si="0"/>
        <v>7</v>
      </c>
      <c r="B18" s="209">
        <f t="shared" si="1"/>
        <v>12</v>
      </c>
      <c r="C18" s="736" t="str">
        <f t="shared" si="2"/>
        <v/>
      </c>
      <c r="D18" s="565">
        <f t="shared" si="3"/>
        <v>-988</v>
      </c>
      <c r="E18" s="210">
        <f t="shared" si="4"/>
        <v>11</v>
      </c>
      <c r="F18" s="209">
        <f t="shared" si="5"/>
        <v>12</v>
      </c>
      <c r="G18" s="211" t="str">
        <f t="shared" si="6"/>
        <v/>
      </c>
      <c r="H18" s="209">
        <f t="shared" si="7"/>
        <v>-988</v>
      </c>
      <c r="I18" s="212" t="str">
        <f t="shared" si="8"/>
        <v/>
      </c>
      <c r="J18" s="213">
        <f t="shared" si="9"/>
        <v>-988</v>
      </c>
      <c r="K18" s="178">
        <f t="shared" si="10"/>
        <v>12</v>
      </c>
      <c r="L18" s="232" t="s">
        <v>127</v>
      </c>
      <c r="M18" s="215"/>
      <c r="N18" s="216" t="str">
        <f t="shared" ref="N18:N35" si="37">IF(M18="","m","")</f>
        <v>m</v>
      </c>
      <c r="O18" s="217"/>
      <c r="P18" s="218"/>
      <c r="Q18" s="219" t="s">
        <v>124</v>
      </c>
      <c r="R18" s="220">
        <f t="array" ref="R18">(IF(COUNT(Z18,AA18,AB18,AC18,AD18,AE18,AF18,AG18,AH18,AI18,AJ18,AK18,AL18,AM18,AN18)&lt;11,SUM(Z18,AA18,AB18,AC18,AD18,AE18,AF18,AG18,AH18,AI18,AJ18,AK18,AL18,AM18,AN18),SUM(LARGE((Z18,AA18,AB18,AC18,AD18,AE18,AF18,AG18,AH18,AI18,AJ18,AK18,AL18,AM18,AN18),{1;2;3;4;5;6;7;8;9;10}))))</f>
        <v>133.5</v>
      </c>
      <c r="S18" s="221" t="str">
        <f>INDEX(ETAPP!B$1:B$32,MATCH(COUNTIF(Z18:AN18,PVO!A$1),ETAPP!A$1:A$32,0))&amp;INDEX(ETAPP!B$1:B$32,MATCH(COUNTIF(Z18:AN18,PVO!A$2),ETAPP!A$1:A$32,0))&amp;INDEX(ETAPP!B$1:B$32,MATCH(COUNTIF(Z18:AN18,PVO!A$3),ETAPP!A$1:A$32,0))&amp;INDEX(ETAPP!B$1:B$32,MATCH(COUNTIF(Z18:AN18,PVO!A$4),ETAPP!A$1:A$32,0))&amp;INDEX(ETAPP!B$1:B$32,MATCH(COUNTIF(Z18:AN18,PVO!A$5),ETAPP!A$1:A$32,0))&amp;INDEX(ETAPP!B$1:B$32,MATCH(COUNTIF(Z18:AN18,PVO!A$6),ETAPP!A$1:A$32,0))&amp;INDEX(ETAPP!B$1:B$32,MATCH(COUNTIF(Z18:AN18,PVO!A$7),ETAPP!A$1:A$32,0))&amp;INDEX(ETAPP!B$1:B$32,MATCH(COUNTIF(Z18:AN18,PVO!A$8),ETAPP!A$1:A$32,0))&amp;INDEX(ETAPP!B$1:B$32,MATCH(COUNTIF(Z18:AN18,PVO!A$9),ETAPP!A$1:A$32,0))&amp;INDEX(ETAPP!B$1:B$32,MATCH(COUNTIF(Z18:AN18,PVO!A$10),ETAPP!A$1:A$32,0))&amp;INDEX(ETAPP!B$1:B$32,MATCH(COUNTIF(Z18:AN18,PVO!A$11),ETAPP!A$1:A$32,0))&amp;INDEX(ETAPP!B$1:B$32,MATCH(COUNTIF(Z18:AN18,PVO!A$12),ETAPP!A$1:A$32,0))&amp;INDEX(ETAPP!B$1:B$32,MATCH(COUNTIF(Z18:AN18,PVO!A$13),ETAPP!A$1:A$32,0))&amp;INDEX(ETAPP!B$1:B$32,MATCH(COUNTIF(Z18:AN18,PVO!A$14),ETAPP!A$1:A$32,0))&amp;INDEX(ETAPP!B$1:B$32,MATCH(COUNTIF(Z18:AN18,PVO!A$15),ETAPP!A$1:A$32,0))&amp;INDEX(ETAPP!B$1:B$32,MATCH(COUNTIF(Z18:AN18,PVO!A$16),ETAPP!A$1:A$32,0))&amp;INDEX(ETAPP!B$1:B$32,MATCH(COUNTIF(Z18:AN18,PVO!A$17),ETAPP!A$1:A$32,0))&amp;INDEX(ETAPP!B$1:B$32,MATCH(COUNTIF(Z18:AN18,PVO!A$18),ETAPP!A$1:A$32,0))&amp;INDEX(ETAPP!B$1:B$32,MATCH(COUNTIF(Z18:AN18,PVO!A$19),ETAPP!A$1:A$32,0))&amp;INDEX(ETAPP!B$1:B$32,MATCH(COUNTIF(Z18:AN18,PVO!A$20),ETAPP!A$1:A$32,0))&amp;INDEX(ETAPP!B$1:B$32,MATCH(COUNTIF(Z18:AN18,PVO!A$21),ETAPP!A$1:A$32,0))</f>
        <v>A000AAAA0B0AA00000000</v>
      </c>
      <c r="T18" s="221" t="str">
        <f t="shared" si="11"/>
        <v>133,5-A000AAAA0B0AA00000000</v>
      </c>
      <c r="U18" s="221">
        <f t="shared" si="12"/>
        <v>12</v>
      </c>
      <c r="V18" s="221">
        <f t="shared" si="13"/>
        <v>10</v>
      </c>
      <c r="W18" s="221" t="str">
        <f t="shared" si="14"/>
        <v>133,5-A000AAAA0B0AA00000000-010</v>
      </c>
      <c r="X18" s="221">
        <f t="shared" si="15"/>
        <v>12</v>
      </c>
      <c r="Y18" s="222">
        <f t="shared" si="16"/>
        <v>56</v>
      </c>
      <c r="Z18" s="223">
        <f>IFERROR(INDEX('V1'!C$300:C$400,MATCH("*"&amp;L18&amp;"*",'V1'!B$300:B$400,0)),"  ")</f>
        <v>8</v>
      </c>
      <c r="AA18" s="223">
        <f>IFERROR(INDEX('V2'!C$300:C$400,MATCH("*"&amp;L18&amp;"*",'V2'!B$300:B$400,0)),"  ")</f>
        <v>20</v>
      </c>
      <c r="AB18" s="223">
        <f>IFERROR(INDEX('V3'!C$300:C$400,MATCH("*"&amp;L18&amp;"*",'V3'!B$300:B$400,0)),"  ")</f>
        <v>11</v>
      </c>
      <c r="AC18" s="223">
        <f>IFERROR(INDEX('V4'!C$300:C$400,MATCH("*"&amp;L18&amp;"*",'V4'!B$300:B$400,0)),"  ")</f>
        <v>15</v>
      </c>
      <c r="AD18" s="223">
        <f>IFERROR(INDEX('V5'!C$300:C$400,MATCH("*"&amp;L18&amp;"*",'V5'!B$300:B$400,0)),"  ")</f>
        <v>13</v>
      </c>
      <c r="AE18" s="223">
        <f>IFERROR(INDEX('V6'!C$300:C$400,MATCH("*"&amp;L18&amp;"*",'V6'!B$300:B$400,0)),"  ")</f>
        <v>11</v>
      </c>
      <c r="AF18" s="223">
        <f>IFERROR(INDEX('V7'!C$300:C$400,MATCH("*"&amp;L18&amp;"*",'V7'!B$300:B$400,0)),"  ")</f>
        <v>16.5</v>
      </c>
      <c r="AG18" s="223">
        <f>IFERROR(INDEX('V8'!C$300:C$400,MATCH("*"&amp;L18&amp;"*",'V8'!B$300:B$400,0)),"  ")</f>
        <v>16</v>
      </c>
      <c r="AH18" s="223">
        <f>IFERROR(INDEX('V9'!C$300:C$400,MATCH("*"&amp;L18&amp;"*",'V9'!B$300:B$400,0)),"  ")</f>
        <v>14</v>
      </c>
      <c r="AI18" s="223">
        <f>IFERROR(INDEX('V10'!C$300:C$400,MATCH("*"&amp;L18&amp;"*",'V10'!B$300:B$400,0)),"  ")</f>
        <v>9</v>
      </c>
      <c r="AJ18" s="223" t="str">
        <f>IFERROR(INDEX('V11'!C$300:C$400,MATCH("*"&amp;L18&amp;"*",'V11'!B$300:B$400,0)),"  ")</f>
        <v xml:space="preserve">  </v>
      </c>
      <c r="AK18" s="223" t="str">
        <f>IFERROR(INDEX('V12'!C$300:C$400,MATCH("*"&amp;L18&amp;"*",'V12'!B$300:B$400,0)),"  ")</f>
        <v xml:space="preserve">  </v>
      </c>
      <c r="AL18" s="223" t="str">
        <f>IFERROR(INDEX('V13'!C$300:C$400,MATCH("*"&amp;L18&amp;"*",'V13'!B$300:B$400,0)),"  ")</f>
        <v xml:space="preserve">  </v>
      </c>
      <c r="AM18" s="223"/>
      <c r="AN18" s="223"/>
      <c r="AO18" s="224">
        <f t="shared" si="17"/>
        <v>12</v>
      </c>
      <c r="AP18" s="627">
        <f t="shared" si="18"/>
        <v>133.5</v>
      </c>
      <c r="AQ18" s="225" t="str">
        <f t="shared" si="19"/>
        <v>edasi 12</v>
      </c>
      <c r="AR18" s="226" t="str">
        <f>IFERROR(INDEX(#REF!,MATCH("*"&amp;L18&amp;"*",#REF!,0)),"  ")</f>
        <v xml:space="preserve">  </v>
      </c>
      <c r="AS18" s="227">
        <f t="shared" si="20"/>
        <v>10</v>
      </c>
      <c r="AT18" s="228">
        <f t="shared" si="21"/>
        <v>1</v>
      </c>
      <c r="AU18" s="228">
        <f t="shared" si="22"/>
        <v>1</v>
      </c>
      <c r="AV18" s="156"/>
      <c r="AW18" s="229">
        <f t="shared" si="23"/>
        <v>1.2999999999999999E-3</v>
      </c>
      <c r="AX18" s="230">
        <f t="shared" si="24"/>
        <v>8.0000999999999998</v>
      </c>
      <c r="AY18" s="230">
        <f t="shared" si="25"/>
        <v>20.0002</v>
      </c>
      <c r="AZ18" s="230">
        <f t="shared" si="26"/>
        <v>11.000299999999999</v>
      </c>
      <c r="BA18" s="230">
        <f t="shared" si="27"/>
        <v>15.000400000000001</v>
      </c>
      <c r="BB18" s="230">
        <f t="shared" si="28"/>
        <v>13.000500000000001</v>
      </c>
      <c r="BC18" s="230">
        <f t="shared" si="29"/>
        <v>11.0006</v>
      </c>
      <c r="BD18" s="230">
        <f t="shared" si="30"/>
        <v>16.500699999999998</v>
      </c>
      <c r="BE18" s="230">
        <f t="shared" si="31"/>
        <v>16.000800000000002</v>
      </c>
      <c r="BF18" s="230">
        <f t="shared" si="32"/>
        <v>14.0009</v>
      </c>
      <c r="BG18" s="230">
        <f t="shared" si="33"/>
        <v>9.0009999999999994</v>
      </c>
      <c r="BH18" s="230">
        <f t="shared" si="34"/>
        <v>1.1000000000000001E-3</v>
      </c>
      <c r="BI18" s="230">
        <f t="shared" si="35"/>
        <v>1.1999999999999999E-3</v>
      </c>
      <c r="BJ18" s="230">
        <f t="shared" si="36"/>
        <v>1.2999999999999999E-3</v>
      </c>
      <c r="BK18" s="156"/>
    </row>
    <row r="19" spans="1:63" x14ac:dyDescent="0.2">
      <c r="A19" s="208">
        <f t="shared" si="0"/>
        <v>8</v>
      </c>
      <c r="B19" s="209">
        <f t="shared" si="1"/>
        <v>13</v>
      </c>
      <c r="C19" s="736">
        <f t="shared" si="2"/>
        <v>6</v>
      </c>
      <c r="D19" s="565">
        <f t="shared" si="3"/>
        <v>13</v>
      </c>
      <c r="E19" s="210">
        <f t="shared" si="4"/>
        <v>12</v>
      </c>
      <c r="F19" s="209">
        <f t="shared" si="5"/>
        <v>13</v>
      </c>
      <c r="G19" s="211" t="str">
        <f t="shared" si="6"/>
        <v/>
      </c>
      <c r="H19" s="209">
        <f t="shared" si="7"/>
        <v>-987</v>
      </c>
      <c r="I19" s="212" t="str">
        <f t="shared" si="8"/>
        <v/>
      </c>
      <c r="J19" s="213">
        <f t="shared" si="9"/>
        <v>-987</v>
      </c>
      <c r="K19" s="178">
        <f t="shared" si="10"/>
        <v>13</v>
      </c>
      <c r="L19" s="234" t="s">
        <v>83</v>
      </c>
      <c r="M19" s="215"/>
      <c r="N19" s="216" t="str">
        <f t="shared" si="37"/>
        <v>m</v>
      </c>
      <c r="O19" s="217"/>
      <c r="P19" s="218" t="s">
        <v>478</v>
      </c>
      <c r="Q19" s="219" t="s">
        <v>124</v>
      </c>
      <c r="R19" s="220">
        <f t="array" ref="R19">(IF(COUNT(Z19,AA19,AB19,AC19,AD19,AE19,AF19,AG19,AH19,AI19,AJ19,AK19,AL19,AM19,AN19)&lt;11,SUM(Z19,AA19,AB19,AC19,AD19,AE19,AF19,AG19,AH19,AI19,AJ19,AK19,AL19,AM19,AN19),SUM(LARGE((Z19,AA19,AB19,AC19,AD19,AE19,AF19,AG19,AH19,AI19,AJ19,AK19,AL19,AM19,AN19),{1;2;3;4;5;6;7;8;9;10}))))</f>
        <v>133</v>
      </c>
      <c r="S19" s="221" t="str">
        <f>INDEX(ETAPP!B$1:B$32,MATCH(COUNTIF(Z19:AN19,PVO!A$1),ETAPP!A$1:A$32,0))&amp;INDEX(ETAPP!B$1:B$32,MATCH(COUNTIF(Z19:AN19,PVO!A$2),ETAPP!A$1:A$32,0))&amp;INDEX(ETAPP!B$1:B$32,MATCH(COUNTIF(Z19:AN19,PVO!A$3),ETAPP!A$1:A$32,0))&amp;INDEX(ETAPP!B$1:B$32,MATCH(COUNTIF(Z19:AN19,PVO!A$4),ETAPP!A$1:A$32,0))&amp;INDEX(ETAPP!B$1:B$32,MATCH(COUNTIF(Z19:AN19,PVO!A$5),ETAPP!A$1:A$32,0))&amp;INDEX(ETAPP!B$1:B$32,MATCH(COUNTIF(Z19:AN19,PVO!A$6),ETAPP!A$1:A$32,0))&amp;INDEX(ETAPP!B$1:B$32,MATCH(COUNTIF(Z19:AN19,PVO!A$7),ETAPP!A$1:A$32,0))&amp;INDEX(ETAPP!B$1:B$32,MATCH(COUNTIF(Z19:AN19,PVO!A$8),ETAPP!A$1:A$32,0))&amp;INDEX(ETAPP!B$1:B$32,MATCH(COUNTIF(Z19:AN19,PVO!A$9),ETAPP!A$1:A$32,0))&amp;INDEX(ETAPP!B$1:B$32,MATCH(COUNTIF(Z19:AN19,PVO!A$10),ETAPP!A$1:A$32,0))&amp;INDEX(ETAPP!B$1:B$32,MATCH(COUNTIF(Z19:AN19,PVO!A$11),ETAPP!A$1:A$32,0))&amp;INDEX(ETAPP!B$1:B$32,MATCH(COUNTIF(Z19:AN19,PVO!A$12),ETAPP!A$1:A$32,0))&amp;INDEX(ETAPP!B$1:B$32,MATCH(COUNTIF(Z19:AN19,PVO!A$13),ETAPP!A$1:A$32,0))&amp;INDEX(ETAPP!B$1:B$32,MATCH(COUNTIF(Z19:AN19,PVO!A$14),ETAPP!A$1:A$32,0))&amp;INDEX(ETAPP!B$1:B$32,MATCH(COUNTIF(Z19:AN19,PVO!A$15),ETAPP!A$1:A$32,0))&amp;INDEX(ETAPP!B$1:B$32,MATCH(COUNTIF(Z19:AN19,PVO!A$16),ETAPP!A$1:A$32,0))&amp;INDEX(ETAPP!B$1:B$32,MATCH(COUNTIF(Z19:AN19,PVO!A$17),ETAPP!A$1:A$32,0))&amp;INDEX(ETAPP!B$1:B$32,MATCH(COUNTIF(Z19:AN19,PVO!A$18),ETAPP!A$1:A$32,0))&amp;INDEX(ETAPP!B$1:B$32,MATCH(COUNTIF(Z19:AN19,PVO!A$19),ETAPP!A$1:A$32,0))&amp;INDEX(ETAPP!B$1:B$32,MATCH(COUNTIF(Z19:AN19,PVO!A$20),ETAPP!A$1:A$32,0))&amp;INDEX(ETAPP!B$1:B$32,MATCH(COUNTIF(Z19:AN19,PVO!A$21),ETAPP!A$1:A$32,0))</f>
        <v>0B0BC00A0000000000000</v>
      </c>
      <c r="T19" s="221" t="str">
        <f t="shared" si="11"/>
        <v>133,0-0B0BC00A0000000000000</v>
      </c>
      <c r="U19" s="221">
        <f t="shared" si="12"/>
        <v>13</v>
      </c>
      <c r="V19" s="221">
        <f t="shared" si="13"/>
        <v>44</v>
      </c>
      <c r="W19" s="221" t="str">
        <f t="shared" si="14"/>
        <v>133,0-0B0BC00A0000000000000-044</v>
      </c>
      <c r="X19" s="221">
        <f t="shared" si="15"/>
        <v>13</v>
      </c>
      <c r="Y19" s="222">
        <f t="shared" si="16"/>
        <v>55</v>
      </c>
      <c r="Z19" s="223" t="str">
        <f>IFERROR(INDEX('V1'!C$300:C$400,MATCH("*"&amp;L19&amp;"*",'V1'!B$300:B$400,0)),"  ")</f>
        <v xml:space="preserve">  </v>
      </c>
      <c r="AA19" s="223">
        <f>IFERROR(INDEX('V2'!C$300:C$400,MATCH("*"&amp;L19&amp;"*",'V2'!B$300:B$400,0)),"  ")</f>
        <v>13</v>
      </c>
      <c r="AB19" s="223">
        <f>IFERROR(INDEX('V3'!C$300:C$400,MATCH("*"&amp;L19&amp;"*",'V3'!B$300:B$400,0)),"  ")</f>
        <v>16</v>
      </c>
      <c r="AC19" s="223" t="str">
        <f>IFERROR(INDEX('V4'!C$300:C$400,MATCH("*"&amp;L19&amp;"*",'V4'!B$300:B$400,0)),"  ")</f>
        <v xml:space="preserve">  </v>
      </c>
      <c r="AD19" s="223">
        <f>IFERROR(INDEX('V5'!C$300:C$400,MATCH("*"&amp;L19&amp;"*",'V5'!B$300:B$400,0)),"  ")</f>
        <v>19</v>
      </c>
      <c r="AE19" s="223">
        <f>IFERROR(INDEX('V6'!C$300:C$400,MATCH("*"&amp;L19&amp;"*",'V6'!B$300:B$400,0)),"  ")</f>
        <v>16</v>
      </c>
      <c r="AF19" s="223" t="str">
        <f>IFERROR(INDEX('V7'!C$300:C$400,MATCH("*"&amp;L19&amp;"*",'V7'!B$300:B$400,0)),"  ")</f>
        <v xml:space="preserve">  </v>
      </c>
      <c r="AG19" s="223">
        <f>IFERROR(INDEX('V8'!C$300:C$400,MATCH("*"&amp;L19&amp;"*",'V8'!B$300:B$400,0)),"  ")</f>
        <v>17</v>
      </c>
      <c r="AH19" s="223">
        <f>IFERROR(INDEX('V9'!C$300:C$400,MATCH("*"&amp;L19&amp;"*",'V9'!B$300:B$400,0)),"  ")</f>
        <v>16</v>
      </c>
      <c r="AI19" s="223">
        <f>IFERROR(INDEX('V10'!C$300:C$400,MATCH("*"&amp;L19&amp;"*",'V10'!B$300:B$400,0)),"  ")</f>
        <v>19</v>
      </c>
      <c r="AJ19" s="223">
        <f>IFERROR(INDEX('V11'!C$300:C$400,MATCH("*"&amp;L19&amp;"*",'V11'!B$300:B$400,0)),"  ")</f>
        <v>17</v>
      </c>
      <c r="AK19" s="223" t="str">
        <f>IFERROR(INDEX('V12'!C$300:C$400,MATCH("*"&amp;L19&amp;"*",'V12'!B$300:B$400,0)),"  ")</f>
        <v xml:space="preserve">  </v>
      </c>
      <c r="AL19" s="223" t="str">
        <f>IFERROR(INDEX('V13'!C$300:C$400,MATCH("*"&amp;L19&amp;"*",'V13'!B$300:B$400,0)),"  ")</f>
        <v xml:space="preserve">  </v>
      </c>
      <c r="AM19" s="223"/>
      <c r="AN19" s="223"/>
      <c r="AO19" s="224">
        <f t="shared" si="17"/>
        <v>13</v>
      </c>
      <c r="AP19" s="627">
        <f t="shared" si="18"/>
        <v>133</v>
      </c>
      <c r="AQ19" s="225" t="str">
        <f t="shared" si="19"/>
        <v>edasi 13</v>
      </c>
      <c r="AR19" s="226" t="str">
        <f>IFERROR(INDEX(#REF!,MATCH("*"&amp;L19&amp;"*",#REF!,0)),"  ")</f>
        <v xml:space="preserve">  </v>
      </c>
      <c r="AS19" s="227">
        <f t="shared" si="20"/>
        <v>8</v>
      </c>
      <c r="AT19" s="228">
        <f t="shared" si="21"/>
        <v>2</v>
      </c>
      <c r="AU19" s="228">
        <f t="shared" si="22"/>
        <v>0</v>
      </c>
      <c r="AV19" s="156"/>
      <c r="AW19" s="229">
        <f t="shared" si="23"/>
        <v>6.9999999999999999E-4</v>
      </c>
      <c r="AX19" s="230">
        <f t="shared" si="24"/>
        <v>1E-4</v>
      </c>
      <c r="AY19" s="230">
        <f t="shared" si="25"/>
        <v>13.0002</v>
      </c>
      <c r="AZ19" s="230">
        <f t="shared" si="26"/>
        <v>16.000299999999999</v>
      </c>
      <c r="BA19" s="230">
        <f t="shared" si="27"/>
        <v>4.0000000000000002E-4</v>
      </c>
      <c r="BB19" s="230">
        <f t="shared" si="28"/>
        <v>19.000499999999999</v>
      </c>
      <c r="BC19" s="230">
        <f t="shared" si="29"/>
        <v>16.000599999999999</v>
      </c>
      <c r="BD19" s="230">
        <f t="shared" si="30"/>
        <v>6.9999999999999999E-4</v>
      </c>
      <c r="BE19" s="230">
        <f t="shared" si="31"/>
        <v>17.000800000000002</v>
      </c>
      <c r="BF19" s="230">
        <f t="shared" si="32"/>
        <v>16.000900000000001</v>
      </c>
      <c r="BG19" s="230">
        <f t="shared" si="33"/>
        <v>19.001000000000001</v>
      </c>
      <c r="BH19" s="230">
        <f t="shared" si="34"/>
        <v>17.001100000000001</v>
      </c>
      <c r="BI19" s="230">
        <f t="shared" si="35"/>
        <v>1.1999999999999999E-3</v>
      </c>
      <c r="BJ19" s="230">
        <f t="shared" si="36"/>
        <v>1.2999999999999999E-3</v>
      </c>
      <c r="BK19" s="156"/>
    </row>
    <row r="20" spans="1:63" x14ac:dyDescent="0.2">
      <c r="A20" s="208">
        <f t="shared" si="0"/>
        <v>9</v>
      </c>
      <c r="B20" s="209">
        <f t="shared" si="1"/>
        <v>14</v>
      </c>
      <c r="C20" s="736" t="str">
        <f t="shared" si="2"/>
        <v/>
      </c>
      <c r="D20" s="565">
        <f t="shared" si="3"/>
        <v>-986</v>
      </c>
      <c r="E20" s="210">
        <f t="shared" si="4"/>
        <v>13</v>
      </c>
      <c r="F20" s="209">
        <f t="shared" si="5"/>
        <v>14</v>
      </c>
      <c r="G20" s="211" t="str">
        <f t="shared" si="6"/>
        <v/>
      </c>
      <c r="H20" s="209">
        <f t="shared" si="7"/>
        <v>-986</v>
      </c>
      <c r="I20" s="212" t="str">
        <f t="shared" si="8"/>
        <v/>
      </c>
      <c r="J20" s="213">
        <f t="shared" si="9"/>
        <v>-986</v>
      </c>
      <c r="K20" s="178">
        <f t="shared" si="10"/>
        <v>14</v>
      </c>
      <c r="L20" s="234" t="s">
        <v>140</v>
      </c>
      <c r="M20" s="215"/>
      <c r="N20" s="216" t="str">
        <f t="shared" si="37"/>
        <v>m</v>
      </c>
      <c r="O20" s="217"/>
      <c r="P20" s="218"/>
      <c r="Q20" s="219" t="s">
        <v>124</v>
      </c>
      <c r="R20" s="220">
        <f t="array" ref="R20">(IF(COUNT(Z20,AA20,AB20,AC20,AD20,AE20,AF20,AG20,AH20,AI20,AJ20,AK20,AL20,AM20,AN20)&lt;11,SUM(Z20,AA20,AB20,AC20,AD20,AE20,AF20,AG20,AH20,AI20,AJ20,AK20,AL20,AM20,AN20),SUM(LARGE((Z20,AA20,AB20,AC20,AD20,AE20,AF20,AG20,AH20,AI20,AJ20,AK20,AL20,AM20,AN20),{1;2;3;4;5;6;7;8;9;10}))))</f>
        <v>126</v>
      </c>
      <c r="S20" s="221" t="str">
        <f>INDEX(ETAPP!B$1:B$32,MATCH(COUNTIF(Z20:AN20,PVO!A$1),ETAPP!A$1:A$32,0))&amp;INDEX(ETAPP!B$1:B$32,MATCH(COUNTIF(Z20:AN20,PVO!A$2),ETAPP!A$1:A$32,0))&amp;INDEX(ETAPP!B$1:B$32,MATCH(COUNTIF(Z20:AN20,PVO!A$3),ETAPP!A$1:A$32,0))&amp;INDEX(ETAPP!B$1:B$32,MATCH(COUNTIF(Z20:AN20,PVO!A$4),ETAPP!A$1:A$32,0))&amp;INDEX(ETAPP!B$1:B$32,MATCH(COUNTIF(Z20:AN20,PVO!A$5),ETAPP!A$1:A$32,0))&amp;INDEX(ETAPP!B$1:B$32,MATCH(COUNTIF(Z20:AN20,PVO!A$6),ETAPP!A$1:A$32,0))&amp;INDEX(ETAPP!B$1:B$32,MATCH(COUNTIF(Z20:AN20,PVO!A$7),ETAPP!A$1:A$32,0))&amp;INDEX(ETAPP!B$1:B$32,MATCH(COUNTIF(Z20:AN20,PVO!A$8),ETAPP!A$1:A$32,0))&amp;INDEX(ETAPP!B$1:B$32,MATCH(COUNTIF(Z20:AN20,PVO!A$9),ETAPP!A$1:A$32,0))&amp;INDEX(ETAPP!B$1:B$32,MATCH(COUNTIF(Z20:AN20,PVO!A$10),ETAPP!A$1:A$32,0))&amp;INDEX(ETAPP!B$1:B$32,MATCH(COUNTIF(Z20:AN20,PVO!A$11),ETAPP!A$1:A$32,0))&amp;INDEX(ETAPP!B$1:B$32,MATCH(COUNTIF(Z20:AN20,PVO!A$12),ETAPP!A$1:A$32,0))&amp;INDEX(ETAPP!B$1:B$32,MATCH(COUNTIF(Z20:AN20,PVO!A$13),ETAPP!A$1:A$32,0))&amp;INDEX(ETAPP!B$1:B$32,MATCH(COUNTIF(Z20:AN20,PVO!A$14),ETAPP!A$1:A$32,0))&amp;INDEX(ETAPP!B$1:B$32,MATCH(COUNTIF(Z20:AN20,PVO!A$15),ETAPP!A$1:A$32,0))&amp;INDEX(ETAPP!B$1:B$32,MATCH(COUNTIF(Z20:AN20,PVO!A$16),ETAPP!A$1:A$32,0))&amp;INDEX(ETAPP!B$1:B$32,MATCH(COUNTIF(Z20:AN20,PVO!A$17),ETAPP!A$1:A$32,0))&amp;INDEX(ETAPP!B$1:B$32,MATCH(COUNTIF(Z20:AN20,PVO!A$18),ETAPP!A$1:A$32,0))&amp;INDEX(ETAPP!B$1:B$32,MATCH(COUNTIF(Z20:AN20,PVO!A$19),ETAPP!A$1:A$32,0))&amp;INDEX(ETAPP!B$1:B$32,MATCH(COUNTIF(Z20:AN20,PVO!A$20),ETAPP!A$1:A$32,0))&amp;INDEX(ETAPP!B$1:B$32,MATCH(COUNTIF(Z20:AN20,PVO!A$21),ETAPP!A$1:A$32,0))</f>
        <v>0B0B0AAAA000000000000</v>
      </c>
      <c r="T20" s="221" t="str">
        <f t="shared" si="11"/>
        <v>126,0-0B0B0AAAA000000000000</v>
      </c>
      <c r="U20" s="221">
        <f t="shared" si="12"/>
        <v>14</v>
      </c>
      <c r="V20" s="221">
        <f t="shared" si="13"/>
        <v>25</v>
      </c>
      <c r="W20" s="221" t="str">
        <f t="shared" si="14"/>
        <v>126,0-0B0B0AAAA000000000000-025</v>
      </c>
      <c r="X20" s="221">
        <f t="shared" si="15"/>
        <v>14</v>
      </c>
      <c r="Y20" s="222">
        <f t="shared" si="16"/>
        <v>54</v>
      </c>
      <c r="Z20" s="223">
        <f>IFERROR(INDEX('V1'!C$300:C$400,MATCH("*"&amp;L20&amp;"*",'V1'!B$300:B$400,0)),"  ")</f>
        <v>12</v>
      </c>
      <c r="AA20" s="223">
        <f>IFERROR(INDEX('V2'!C$300:C$400,MATCH("*"&amp;L20&amp;"*",'V2'!B$300:B$400,0)),"  ")</f>
        <v>17</v>
      </c>
      <c r="AB20" s="223" t="str">
        <f>IFERROR(INDEX('V3'!C$300:C$400,MATCH("*"&amp;L20&amp;"*",'V3'!B$300:B$400,0)),"  ")</f>
        <v xml:space="preserve">  </v>
      </c>
      <c r="AC20" s="223" t="str">
        <f>IFERROR(INDEX('V4'!C$300:C$400,MATCH("*"&amp;L20&amp;"*",'V4'!B$300:B$400,0)),"  ")</f>
        <v xml:space="preserve">  </v>
      </c>
      <c r="AD20" s="223" t="str">
        <f>IFERROR(INDEX('V5'!C$300:C$400,MATCH("*"&amp;L20&amp;"*",'V5'!B$300:B$400,0)),"  ")</f>
        <v xml:space="preserve">  </v>
      </c>
      <c r="AE20" s="223">
        <f>IFERROR(INDEX('V6'!C$300:C$400,MATCH("*"&amp;L20&amp;"*",'V6'!B$300:B$400,0)),"  ")</f>
        <v>19</v>
      </c>
      <c r="AF20" s="223" t="str">
        <f>IFERROR(INDEX('V7'!C$300:C$400,MATCH("*"&amp;L20&amp;"*",'V7'!B$300:B$400,0)),"  ")</f>
        <v xml:space="preserve">  </v>
      </c>
      <c r="AG20" s="223">
        <f>IFERROR(INDEX('V8'!C$300:C$400,MATCH("*"&amp;L20&amp;"*",'V8'!B$300:B$400,0)),"  ")</f>
        <v>14</v>
      </c>
      <c r="AH20" s="223">
        <f>IFERROR(INDEX('V9'!C$300:C$400,MATCH("*"&amp;L20&amp;"*",'V9'!B$300:B$400,0)),"  ")</f>
        <v>17</v>
      </c>
      <c r="AI20" s="223" t="str">
        <f>IFERROR(INDEX('V10'!C$300:C$400,MATCH("*"&amp;L20&amp;"*",'V10'!B$300:B$400,0)),"  ")</f>
        <v xml:space="preserve">  </v>
      </c>
      <c r="AJ20" s="223">
        <f>IFERROR(INDEX('V11'!C$300:C$400,MATCH("*"&amp;L20&amp;"*",'V11'!B$300:B$400,0)),"  ")</f>
        <v>19</v>
      </c>
      <c r="AK20" s="223">
        <f>IFERROR(INDEX('V12'!C$300:C$400,MATCH("*"&amp;L20&amp;"*",'V12'!B$300:B$400,0)),"  ")</f>
        <v>13</v>
      </c>
      <c r="AL20" s="223">
        <f>IFERROR(INDEX('V13'!C$300:C$400,MATCH("*"&amp;L20&amp;"*",'V13'!B$300:B$400,0)),"  ")</f>
        <v>15</v>
      </c>
      <c r="AM20" s="223"/>
      <c r="AN20" s="223"/>
      <c r="AO20" s="224">
        <f t="shared" si="17"/>
        <v>14</v>
      </c>
      <c r="AP20" s="627">
        <f t="shared" si="18"/>
        <v>126</v>
      </c>
      <c r="AQ20" s="225" t="str">
        <f t="shared" si="19"/>
        <v>edasi 14</v>
      </c>
      <c r="AR20" s="226" t="str">
        <f>IFERROR(INDEX(#REF!,MATCH("*"&amp;L20&amp;"*",#REF!,0)),"  ")</f>
        <v xml:space="preserve">  </v>
      </c>
      <c r="AS20" s="227">
        <f t="shared" si="20"/>
        <v>8</v>
      </c>
      <c r="AT20" s="228">
        <f t="shared" si="21"/>
        <v>2</v>
      </c>
      <c r="AU20" s="228">
        <f t="shared" si="22"/>
        <v>0</v>
      </c>
      <c r="AV20" s="156"/>
      <c r="AW20" s="229">
        <f t="shared" si="23"/>
        <v>5.0000000000000001E-4</v>
      </c>
      <c r="AX20" s="230">
        <f t="shared" si="24"/>
        <v>12.0001</v>
      </c>
      <c r="AY20" s="230">
        <f t="shared" si="25"/>
        <v>17.0002</v>
      </c>
      <c r="AZ20" s="230">
        <f t="shared" si="26"/>
        <v>2.9999999999999997E-4</v>
      </c>
      <c r="BA20" s="230">
        <f t="shared" si="27"/>
        <v>4.0000000000000002E-4</v>
      </c>
      <c r="BB20" s="230">
        <f t="shared" si="28"/>
        <v>5.0000000000000001E-4</v>
      </c>
      <c r="BC20" s="230">
        <f t="shared" si="29"/>
        <v>19.000599999999999</v>
      </c>
      <c r="BD20" s="230">
        <f t="shared" si="30"/>
        <v>6.9999999999999999E-4</v>
      </c>
      <c r="BE20" s="230">
        <f t="shared" si="31"/>
        <v>14.0008</v>
      </c>
      <c r="BF20" s="230">
        <f t="shared" si="32"/>
        <v>17.000900000000001</v>
      </c>
      <c r="BG20" s="230">
        <f t="shared" si="33"/>
        <v>1E-3</v>
      </c>
      <c r="BH20" s="230">
        <f t="shared" si="34"/>
        <v>19.001100000000001</v>
      </c>
      <c r="BI20" s="230">
        <f t="shared" si="35"/>
        <v>13.001200000000001</v>
      </c>
      <c r="BJ20" s="230">
        <f t="shared" si="36"/>
        <v>15.001300000000001</v>
      </c>
      <c r="BK20" s="156"/>
    </row>
    <row r="21" spans="1:63" x14ac:dyDescent="0.2">
      <c r="A21" s="208" t="str">
        <f t="shared" si="0"/>
        <v/>
      </c>
      <c r="B21" s="209">
        <f t="shared" si="1"/>
        <v>-985</v>
      </c>
      <c r="C21" s="736" t="str">
        <f t="shared" si="2"/>
        <v/>
      </c>
      <c r="D21" s="565">
        <f t="shared" si="3"/>
        <v>-985</v>
      </c>
      <c r="E21" s="210">
        <f t="shared" si="4"/>
        <v>14</v>
      </c>
      <c r="F21" s="209">
        <f t="shared" si="5"/>
        <v>15</v>
      </c>
      <c r="G21" s="211" t="str">
        <f t="shared" si="6"/>
        <v/>
      </c>
      <c r="H21" s="209">
        <f t="shared" si="7"/>
        <v>-985</v>
      </c>
      <c r="I21" s="212" t="str">
        <f t="shared" si="8"/>
        <v/>
      </c>
      <c r="J21" s="213">
        <f t="shared" si="9"/>
        <v>-985</v>
      </c>
      <c r="K21" s="178">
        <f t="shared" si="10"/>
        <v>15</v>
      </c>
      <c r="L21" s="234" t="s">
        <v>138</v>
      </c>
      <c r="M21" s="215"/>
      <c r="N21" s="216" t="str">
        <f t="shared" si="37"/>
        <v>m</v>
      </c>
      <c r="O21" s="217"/>
      <c r="P21" s="218"/>
      <c r="Q21" s="219"/>
      <c r="R21" s="220">
        <f t="array" ref="R21">(IF(COUNT(Z21,AA21,AB21,AC21,AD21,AE21,AF21,AG21,AH21,AI21,AJ21,AK21,AL21,AM21,AN21)&lt;11,SUM(Z21,AA21,AB21,AC21,AD21,AE21,AF21,AG21,AH21,AI21,AJ21,AK21,AL21,AM21,AN21),SUM(LARGE((Z21,AA21,AB21,AC21,AD21,AE21,AF21,AG21,AH21,AI21,AJ21,AK21,AL21,AM21,AN21),{1;2;3;4;5;6;7;8;9;10}))))</f>
        <v>125.5</v>
      </c>
      <c r="S21" s="221" t="str">
        <f>INDEX(ETAPP!B$1:B$32,MATCH(COUNTIF(Z21:AN21,PVO!A$1),ETAPP!A$1:A$32,0))&amp;INDEX(ETAPP!B$1:B$32,MATCH(COUNTIF(Z21:AN21,PVO!A$2),ETAPP!A$1:A$32,0))&amp;INDEX(ETAPP!B$1:B$32,MATCH(COUNTIF(Z21:AN21,PVO!A$3),ETAPP!A$1:A$32,0))&amp;INDEX(ETAPP!B$1:B$32,MATCH(COUNTIF(Z21:AN21,PVO!A$4),ETAPP!A$1:A$32,0))&amp;INDEX(ETAPP!B$1:B$32,MATCH(COUNTIF(Z21:AN21,PVO!A$5),ETAPP!A$1:A$32,0))&amp;INDEX(ETAPP!B$1:B$32,MATCH(COUNTIF(Z21:AN21,PVO!A$6),ETAPP!A$1:A$32,0))&amp;INDEX(ETAPP!B$1:B$32,MATCH(COUNTIF(Z21:AN21,PVO!A$7),ETAPP!A$1:A$32,0))&amp;INDEX(ETAPP!B$1:B$32,MATCH(COUNTIF(Z21:AN21,PVO!A$8),ETAPP!A$1:A$32,0))&amp;INDEX(ETAPP!B$1:B$32,MATCH(COUNTIF(Z21:AN21,PVO!A$9),ETAPP!A$1:A$32,0))&amp;INDEX(ETAPP!B$1:B$32,MATCH(COUNTIF(Z21:AN21,PVO!A$10),ETAPP!A$1:A$32,0))&amp;INDEX(ETAPP!B$1:B$32,MATCH(COUNTIF(Z21:AN21,PVO!A$11),ETAPP!A$1:A$32,0))&amp;INDEX(ETAPP!B$1:B$32,MATCH(COUNTIF(Z21:AN21,PVO!A$12),ETAPP!A$1:A$32,0))&amp;INDEX(ETAPP!B$1:B$32,MATCH(COUNTIF(Z21:AN21,PVO!A$13),ETAPP!A$1:A$32,0))&amp;INDEX(ETAPP!B$1:B$32,MATCH(COUNTIF(Z21:AN21,PVO!A$14),ETAPP!A$1:A$32,0))&amp;INDEX(ETAPP!B$1:B$32,MATCH(COUNTIF(Z21:AN21,PVO!A$15),ETAPP!A$1:A$32,0))&amp;INDEX(ETAPP!B$1:B$32,MATCH(COUNTIF(Z21:AN21,PVO!A$16),ETAPP!A$1:A$32,0))&amp;INDEX(ETAPP!B$1:B$32,MATCH(COUNTIF(Z21:AN21,PVO!A$17),ETAPP!A$1:A$32,0))&amp;INDEX(ETAPP!B$1:B$32,MATCH(COUNTIF(Z21:AN21,PVO!A$18),ETAPP!A$1:A$32,0))&amp;INDEX(ETAPP!B$1:B$32,MATCH(COUNTIF(Z21:AN21,PVO!A$19),ETAPP!A$1:A$32,0))&amp;INDEX(ETAPP!B$1:B$32,MATCH(COUNTIF(Z21:AN21,PVO!A$20),ETAPP!A$1:A$32,0))&amp;INDEX(ETAPP!B$1:B$32,MATCH(COUNTIF(Z21:AN21,PVO!A$21),ETAPP!A$1:A$32,0))</f>
        <v>00A0BAA00B00A00000000</v>
      </c>
      <c r="T21" s="221" t="str">
        <f t="shared" si="11"/>
        <v>125,5-00A0BAA00B00A00000000</v>
      </c>
      <c r="U21" s="221">
        <f t="shared" si="12"/>
        <v>15</v>
      </c>
      <c r="V21" s="221">
        <f t="shared" si="13"/>
        <v>37</v>
      </c>
      <c r="W21" s="221" t="str">
        <f t="shared" si="14"/>
        <v>125,5-00A0BAA00B00A00000000-037</v>
      </c>
      <c r="X21" s="221">
        <f t="shared" si="15"/>
        <v>15</v>
      </c>
      <c r="Y21" s="222">
        <f t="shared" si="16"/>
        <v>53</v>
      </c>
      <c r="Z21" s="223">
        <f>IFERROR(INDEX('V1'!C$300:C$400,MATCH("*"&amp;L21&amp;"*",'V1'!B$300:B$400,0)),"  ")</f>
        <v>11</v>
      </c>
      <c r="AA21" s="223" t="str">
        <f>IFERROR(INDEX('V2'!C$300:C$400,MATCH("*"&amp;L21&amp;"*",'V2'!B$300:B$400,0)),"  ")</f>
        <v xml:space="preserve">  </v>
      </c>
      <c r="AB21" s="223" t="str">
        <f>IFERROR(INDEX('V3'!C$300:C$400,MATCH("*"&amp;L21&amp;"*",'V3'!B$300:B$400,0)),"  ")</f>
        <v xml:space="preserve">  </v>
      </c>
      <c r="AC21" s="223">
        <f>IFERROR(INDEX('V4'!C$300:C$400,MATCH("*"&amp;L21&amp;"*",'V4'!B$300:B$400,0)),"  ")</f>
        <v>14</v>
      </c>
      <c r="AD21" s="223">
        <f>IFERROR(INDEX('V5'!C$300:C$400,MATCH("*"&amp;L21&amp;"*",'V5'!B$300:B$400,0)),"  ")</f>
        <v>16</v>
      </c>
      <c r="AE21" s="223">
        <f>IFERROR(INDEX('V6'!C$300:C$400,MATCH("*"&amp;L21&amp;"*",'V6'!B$300:B$400,0)),"  ")</f>
        <v>8</v>
      </c>
      <c r="AF21" s="223">
        <f>IFERROR(INDEX('V7'!C$300:C$400,MATCH("*"&amp;L21&amp;"*",'V7'!B$300:B$400,0)),"  ")</f>
        <v>16.5</v>
      </c>
      <c r="AG21" s="223" t="str">
        <f>IFERROR(INDEX('V8'!C$300:C$400,MATCH("*"&amp;L21&amp;"*",'V8'!B$300:B$400,0)),"  ")</f>
        <v xml:space="preserve">  </v>
      </c>
      <c r="AH21" s="223" t="str">
        <f>IFERROR(INDEX('V9'!C$300:C$400,MATCH("*"&amp;L21&amp;"*",'V9'!B$300:B$400,0)),"  ")</f>
        <v xml:space="preserve">  </v>
      </c>
      <c r="AI21" s="223">
        <f>IFERROR(INDEX('V10'!C$300:C$400,MATCH("*"&amp;L21&amp;"*",'V10'!B$300:B$400,0)),"  ")</f>
        <v>16</v>
      </c>
      <c r="AJ21" s="223">
        <f>IFERROR(INDEX('V11'!C$300:C$400,MATCH("*"&amp;L21&amp;"*",'V11'!B$300:B$400,0)),"  ")</f>
        <v>15</v>
      </c>
      <c r="AK21" s="223">
        <f>IFERROR(INDEX('V12'!C$300:C$400,MATCH("*"&amp;L21&amp;"*",'V12'!B$300:B$400,0)),"  ")</f>
        <v>11</v>
      </c>
      <c r="AL21" s="223">
        <f>IFERROR(INDEX('V13'!C$300:C$400,MATCH("*"&amp;L21&amp;"*",'V13'!B$300:B$400,0)),"  ")</f>
        <v>18</v>
      </c>
      <c r="AM21" s="223"/>
      <c r="AN21" s="223"/>
      <c r="AO21" s="224">
        <f t="shared" si="17"/>
        <v>15</v>
      </c>
      <c r="AP21" s="627">
        <f t="shared" si="18"/>
        <v>125.5</v>
      </c>
      <c r="AQ21" s="225" t="str">
        <f t="shared" si="19"/>
        <v>edasi 15</v>
      </c>
      <c r="AR21" s="226" t="str">
        <f>IFERROR(INDEX(#REF!,MATCH("*"&amp;L21&amp;"*",#REF!,0)),"  ")</f>
        <v xml:space="preserve">  </v>
      </c>
      <c r="AS21" s="227">
        <f t="shared" si="20"/>
        <v>9</v>
      </c>
      <c r="AT21" s="228">
        <f t="shared" si="21"/>
        <v>1</v>
      </c>
      <c r="AU21" s="228">
        <f t="shared" si="22"/>
        <v>0</v>
      </c>
      <c r="AV21" s="156"/>
      <c r="AW21" s="229">
        <f t="shared" si="23"/>
        <v>8.0000000000000004E-4</v>
      </c>
      <c r="AX21" s="230">
        <f t="shared" si="24"/>
        <v>11.0001</v>
      </c>
      <c r="AY21" s="230">
        <f t="shared" si="25"/>
        <v>2.0000000000000001E-4</v>
      </c>
      <c r="AZ21" s="230">
        <f t="shared" si="26"/>
        <v>2.9999999999999997E-4</v>
      </c>
      <c r="BA21" s="230">
        <f t="shared" si="27"/>
        <v>14.000400000000001</v>
      </c>
      <c r="BB21" s="230">
        <f t="shared" si="28"/>
        <v>16.000499999999999</v>
      </c>
      <c r="BC21" s="230">
        <f t="shared" si="29"/>
        <v>8.0006000000000004</v>
      </c>
      <c r="BD21" s="230">
        <f t="shared" si="30"/>
        <v>16.500699999999998</v>
      </c>
      <c r="BE21" s="230">
        <f t="shared" si="31"/>
        <v>8.0000000000000004E-4</v>
      </c>
      <c r="BF21" s="230">
        <f t="shared" si="32"/>
        <v>8.9999999999999998E-4</v>
      </c>
      <c r="BG21" s="230">
        <f t="shared" si="33"/>
        <v>16.001000000000001</v>
      </c>
      <c r="BH21" s="230">
        <f t="shared" si="34"/>
        <v>15.001099999999999</v>
      </c>
      <c r="BI21" s="230">
        <f t="shared" si="35"/>
        <v>11.001200000000001</v>
      </c>
      <c r="BJ21" s="230">
        <f t="shared" si="36"/>
        <v>18.001300000000001</v>
      </c>
      <c r="BK21" s="156"/>
    </row>
    <row r="22" spans="1:63" x14ac:dyDescent="0.2">
      <c r="A22" s="208">
        <f t="shared" si="0"/>
        <v>10</v>
      </c>
      <c r="B22" s="209">
        <f t="shared" si="1"/>
        <v>16</v>
      </c>
      <c r="C22" s="736" t="str">
        <f t="shared" si="2"/>
        <v/>
      </c>
      <c r="D22" s="565">
        <f t="shared" si="3"/>
        <v>-984</v>
      </c>
      <c r="E22" s="210">
        <f t="shared" si="4"/>
        <v>15</v>
      </c>
      <c r="F22" s="209">
        <f t="shared" si="5"/>
        <v>16</v>
      </c>
      <c r="G22" s="211" t="str">
        <f t="shared" si="6"/>
        <v/>
      </c>
      <c r="H22" s="209">
        <f t="shared" si="7"/>
        <v>-984</v>
      </c>
      <c r="I22" s="212" t="str">
        <f t="shared" si="8"/>
        <v/>
      </c>
      <c r="J22" s="213">
        <f t="shared" si="9"/>
        <v>-984</v>
      </c>
      <c r="K22" s="178">
        <f t="shared" si="10"/>
        <v>16</v>
      </c>
      <c r="L22" s="234" t="s">
        <v>81</v>
      </c>
      <c r="M22" s="215"/>
      <c r="N22" s="216" t="str">
        <f t="shared" si="37"/>
        <v>m</v>
      </c>
      <c r="O22" s="217"/>
      <c r="P22" s="218"/>
      <c r="Q22" s="219" t="s">
        <v>124</v>
      </c>
      <c r="R22" s="220">
        <f t="array" ref="R22">(IF(COUNT(Z22,AA22,AB22,AC22,AD22,AE22,AF22,AG22,AH22,AI22,AJ22,AK22,AL22,AM22,AN22)&lt;11,SUM(Z22,AA22,AB22,AC22,AD22,AE22,AF22,AG22,AH22,AI22,AJ22,AK22,AL22,AM22,AN22),SUM(LARGE((Z22,AA22,AB22,AC22,AD22,AE22,AF22,AG22,AH22,AI22,AJ22,AK22,AL22,AM22,AN22),{1;2;3;4;5;6;7;8;9;10}))))</f>
        <v>124</v>
      </c>
      <c r="S22" s="221" t="str">
        <f>INDEX(ETAPP!B$1:B$32,MATCH(COUNTIF(Z22:AN22,PVO!A$1),ETAPP!A$1:A$32,0))&amp;INDEX(ETAPP!B$1:B$32,MATCH(COUNTIF(Z22:AN22,PVO!A$2),ETAPP!A$1:A$32,0))&amp;INDEX(ETAPP!B$1:B$32,MATCH(COUNTIF(Z22:AN22,PVO!A$3),ETAPP!A$1:A$32,0))&amp;INDEX(ETAPP!B$1:B$32,MATCH(COUNTIF(Z22:AN22,PVO!A$4),ETAPP!A$1:A$32,0))&amp;INDEX(ETAPP!B$1:B$32,MATCH(COUNTIF(Z22:AN22,PVO!A$5),ETAPP!A$1:A$32,0))&amp;INDEX(ETAPP!B$1:B$32,MATCH(COUNTIF(Z22:AN22,PVO!A$6),ETAPP!A$1:A$32,0))&amp;INDEX(ETAPP!B$1:B$32,MATCH(COUNTIF(Z22:AN22,PVO!A$7),ETAPP!A$1:A$32,0))&amp;INDEX(ETAPP!B$1:B$32,MATCH(COUNTIF(Z22:AN22,PVO!A$8),ETAPP!A$1:A$32,0))&amp;INDEX(ETAPP!B$1:B$32,MATCH(COUNTIF(Z22:AN22,PVO!A$9),ETAPP!A$1:A$32,0))&amp;INDEX(ETAPP!B$1:B$32,MATCH(COUNTIF(Z22:AN22,PVO!A$10),ETAPP!A$1:A$32,0))&amp;INDEX(ETAPP!B$1:B$32,MATCH(COUNTIF(Z22:AN22,PVO!A$11),ETAPP!A$1:A$32,0))&amp;INDEX(ETAPP!B$1:B$32,MATCH(COUNTIF(Z22:AN22,PVO!A$12),ETAPP!A$1:A$32,0))&amp;INDEX(ETAPP!B$1:B$32,MATCH(COUNTIF(Z22:AN22,PVO!A$13),ETAPP!A$1:A$32,0))&amp;INDEX(ETAPP!B$1:B$32,MATCH(COUNTIF(Z22:AN22,PVO!A$14),ETAPP!A$1:A$32,0))&amp;INDEX(ETAPP!B$1:B$32,MATCH(COUNTIF(Z22:AN22,PVO!A$15),ETAPP!A$1:A$32,0))&amp;INDEX(ETAPP!B$1:B$32,MATCH(COUNTIF(Z22:AN22,PVO!A$16),ETAPP!A$1:A$32,0))&amp;INDEX(ETAPP!B$1:B$32,MATCH(COUNTIF(Z22:AN22,PVO!A$17),ETAPP!A$1:A$32,0))&amp;INDEX(ETAPP!B$1:B$32,MATCH(COUNTIF(Z22:AN22,PVO!A$18),ETAPP!A$1:A$32,0))&amp;INDEX(ETAPP!B$1:B$32,MATCH(COUNTIF(Z22:AN22,PVO!A$19),ETAPP!A$1:A$32,0))&amp;INDEX(ETAPP!B$1:B$32,MATCH(COUNTIF(Z22:AN22,PVO!A$20),ETAPP!A$1:A$32,0))&amp;INDEX(ETAPP!B$1:B$32,MATCH(COUNTIF(Z22:AN22,PVO!A$21),ETAPP!A$1:A$32,0))</f>
        <v>0AAA0B0AA000AA0000000</v>
      </c>
      <c r="T22" s="221" t="str">
        <f t="shared" si="11"/>
        <v>124,0-0AAA0B0AA000AA0000000</v>
      </c>
      <c r="U22" s="221">
        <f t="shared" si="12"/>
        <v>16</v>
      </c>
      <c r="V22" s="221">
        <f t="shared" si="13"/>
        <v>58</v>
      </c>
      <c r="W22" s="221" t="str">
        <f t="shared" si="14"/>
        <v>124,0-0AAA0B0AA000AA0000000-058</v>
      </c>
      <c r="X22" s="221">
        <f t="shared" si="15"/>
        <v>16</v>
      </c>
      <c r="Y22" s="222">
        <f t="shared" si="16"/>
        <v>52</v>
      </c>
      <c r="Z22" s="223">
        <f>IFERROR(INDEX('V1'!C$300:C$400,MATCH("*"&amp;L22&amp;"*",'V1'!B$300:B$400,0)),"  ")</f>
        <v>17</v>
      </c>
      <c r="AA22" s="223">
        <f>IFERROR(INDEX('V2'!C$300:C$400,MATCH("*"&amp;L22&amp;"*",'V2'!B$300:B$400,0)),"  ")</f>
        <v>19</v>
      </c>
      <c r="AB22" s="223">
        <f>IFERROR(INDEX('V3'!C$300:C$400,MATCH("*"&amp;L22&amp;"*",'V3'!B$300:B$400,0)),"  ")</f>
        <v>15</v>
      </c>
      <c r="AC22" s="223">
        <f>IFERROR(INDEX('V4'!C$300:C$400,MATCH("*"&amp;L22&amp;"*",'V4'!B$300:B$400,0)),"  ")</f>
        <v>13</v>
      </c>
      <c r="AD22" s="223">
        <f>IFERROR(INDEX('V5'!C$300:C$400,MATCH("*"&amp;L22&amp;"*",'V5'!B$300:B$400,0)),"  ")</f>
        <v>18</v>
      </c>
      <c r="AE22" s="223">
        <f>IFERROR(INDEX('V6'!C$300:C$400,MATCH("*"&amp;L22&amp;"*",'V6'!B$300:B$400,0)),"  ")</f>
        <v>7</v>
      </c>
      <c r="AF22" s="223">
        <f>IFERROR(INDEX('V7'!C$300:C$400,MATCH("*"&amp;L22&amp;"*",'V7'!B$300:B$400,0)),"  ")</f>
        <v>15</v>
      </c>
      <c r="AG22" s="223">
        <f>IFERROR(INDEX('V8'!C$300:C$400,MATCH("*"&amp;L22&amp;"*",'V8'!B$300:B$400,0)),"  ")</f>
        <v>8</v>
      </c>
      <c r="AH22" s="223">
        <f>IFERROR(INDEX('V9'!C$300:C$400,MATCH("*"&amp;L22&amp;"*",'V9'!B$300:B$400,0)),"  ")</f>
        <v>12</v>
      </c>
      <c r="AI22" s="223" t="str">
        <f>IFERROR(INDEX('V10'!C$300:C$400,MATCH("*"&amp;L22&amp;"*",'V10'!B$300:B$400,0)),"  ")</f>
        <v xml:space="preserve">  </v>
      </c>
      <c r="AJ22" s="223" t="str">
        <f>IFERROR(INDEX('V11'!C$300:C$400,MATCH("*"&amp;L22&amp;"*",'V11'!B$300:B$400,0)),"  ")</f>
        <v xml:space="preserve">  </v>
      </c>
      <c r="AK22" s="223" t="str">
        <f>IFERROR(INDEX('V12'!C$300:C$400,MATCH("*"&amp;L22&amp;"*",'V12'!B$300:B$400,0)),"  ")</f>
        <v xml:space="preserve">  </v>
      </c>
      <c r="AL22" s="223" t="str">
        <f>IFERROR(INDEX('V13'!C$300:C$400,MATCH("*"&amp;L22&amp;"*",'V13'!B$300:B$400,0)),"  ")</f>
        <v xml:space="preserve">  </v>
      </c>
      <c r="AM22" s="223"/>
      <c r="AN22" s="223"/>
      <c r="AO22" s="224">
        <f t="shared" si="17"/>
        <v>16</v>
      </c>
      <c r="AP22" s="627">
        <f t="shared" si="18"/>
        <v>124</v>
      </c>
      <c r="AQ22" s="225" t="str">
        <f t="shared" si="19"/>
        <v>edasi 16</v>
      </c>
      <c r="AR22" s="226" t="str">
        <f>IFERROR(INDEX(#REF!,MATCH("*"&amp;L22&amp;"*",#REF!,0)),"  ")</f>
        <v xml:space="preserve">  </v>
      </c>
      <c r="AS22" s="227">
        <f t="shared" si="20"/>
        <v>9</v>
      </c>
      <c r="AT22" s="228">
        <f t="shared" si="21"/>
        <v>2</v>
      </c>
      <c r="AU22" s="228">
        <f t="shared" si="22"/>
        <v>0</v>
      </c>
      <c r="AV22" s="156"/>
      <c r="AW22" s="229">
        <f t="shared" si="23"/>
        <v>1.1999999999999999E-3</v>
      </c>
      <c r="AX22" s="230">
        <f t="shared" si="24"/>
        <v>17.0001</v>
      </c>
      <c r="AY22" s="230">
        <f t="shared" si="25"/>
        <v>19.0002</v>
      </c>
      <c r="AZ22" s="230">
        <f t="shared" si="26"/>
        <v>15.000299999999999</v>
      </c>
      <c r="BA22" s="230">
        <f t="shared" si="27"/>
        <v>13.000400000000001</v>
      </c>
      <c r="BB22" s="230">
        <f t="shared" si="28"/>
        <v>18.000499999999999</v>
      </c>
      <c r="BC22" s="230">
        <f t="shared" si="29"/>
        <v>7.0006000000000004</v>
      </c>
      <c r="BD22" s="230">
        <f t="shared" si="30"/>
        <v>15.0007</v>
      </c>
      <c r="BE22" s="230">
        <f t="shared" si="31"/>
        <v>8.0007999999999999</v>
      </c>
      <c r="BF22" s="230">
        <f t="shared" si="32"/>
        <v>12.0009</v>
      </c>
      <c r="BG22" s="230">
        <f t="shared" si="33"/>
        <v>1E-3</v>
      </c>
      <c r="BH22" s="230">
        <f t="shared" si="34"/>
        <v>1.1000000000000001E-3</v>
      </c>
      <c r="BI22" s="230">
        <f t="shared" si="35"/>
        <v>1.1999999999999999E-3</v>
      </c>
      <c r="BJ22" s="230">
        <f t="shared" si="36"/>
        <v>1.2999999999999999E-3</v>
      </c>
      <c r="BK22" s="156"/>
    </row>
    <row r="23" spans="1:63" x14ac:dyDescent="0.2">
      <c r="A23" s="208">
        <f t="shared" si="0"/>
        <v>11</v>
      </c>
      <c r="B23" s="209">
        <f t="shared" si="1"/>
        <v>17</v>
      </c>
      <c r="C23" s="736">
        <f t="shared" si="2"/>
        <v>7</v>
      </c>
      <c r="D23" s="565">
        <f t="shared" si="3"/>
        <v>17</v>
      </c>
      <c r="E23" s="210">
        <f t="shared" si="4"/>
        <v>16</v>
      </c>
      <c r="F23" s="209">
        <f t="shared" si="5"/>
        <v>17</v>
      </c>
      <c r="G23" s="211" t="str">
        <f t="shared" si="6"/>
        <v/>
      </c>
      <c r="H23" s="209">
        <f t="shared" si="7"/>
        <v>-983</v>
      </c>
      <c r="I23" s="212" t="str">
        <f t="shared" si="8"/>
        <v/>
      </c>
      <c r="J23" s="213">
        <f t="shared" si="9"/>
        <v>-983</v>
      </c>
      <c r="K23" s="178">
        <f t="shared" si="10"/>
        <v>17</v>
      </c>
      <c r="L23" s="234" t="s">
        <v>45</v>
      </c>
      <c r="M23" s="215"/>
      <c r="N23" s="216" t="str">
        <f t="shared" si="37"/>
        <v>m</v>
      </c>
      <c r="O23" s="217"/>
      <c r="P23" s="218" t="s">
        <v>478</v>
      </c>
      <c r="Q23" s="219" t="s">
        <v>124</v>
      </c>
      <c r="R23" s="220">
        <f t="array" ref="R23">(IF(COUNT(Z23,AA23,AB23,AC23,AD23,AE23,AF23,AG23,AH23,AI23,AJ23,AK23,AL23,AM23,AN23)&lt;11,SUM(Z23,AA23,AB23,AC23,AD23,AE23,AF23,AG23,AH23,AI23,AJ23,AK23,AL23,AM23,AN23),SUM(LARGE((Z23,AA23,AB23,AC23,AD23,AE23,AF23,AG23,AH23,AI23,AJ23,AK23,AL23,AM23,AN23),{1;2;3;4;5;6;7;8;9;10}))))</f>
        <v>122</v>
      </c>
      <c r="S23" s="221" t="str">
        <f>INDEX(ETAPP!B$1:B$32,MATCH(COUNTIF(Z23:AN23,PVO!A$1),ETAPP!A$1:A$32,0))&amp;INDEX(ETAPP!B$1:B$32,MATCH(COUNTIF(Z23:AN23,PVO!A$2),ETAPP!A$1:A$32,0))&amp;INDEX(ETAPP!B$1:B$32,MATCH(COUNTIF(Z23:AN23,PVO!A$3),ETAPP!A$1:A$32,0))&amp;INDEX(ETAPP!B$1:B$32,MATCH(COUNTIF(Z23:AN23,PVO!A$4),ETAPP!A$1:A$32,0))&amp;INDEX(ETAPP!B$1:B$32,MATCH(COUNTIF(Z23:AN23,PVO!A$5),ETAPP!A$1:A$32,0))&amp;INDEX(ETAPP!B$1:B$32,MATCH(COUNTIF(Z23:AN23,PVO!A$6),ETAPP!A$1:A$32,0))&amp;INDEX(ETAPP!B$1:B$32,MATCH(COUNTIF(Z23:AN23,PVO!A$7),ETAPP!A$1:A$32,0))&amp;INDEX(ETAPP!B$1:B$32,MATCH(COUNTIF(Z23:AN23,PVO!A$8),ETAPP!A$1:A$32,0))&amp;INDEX(ETAPP!B$1:B$32,MATCH(COUNTIF(Z23:AN23,PVO!A$9),ETAPP!A$1:A$32,0))&amp;INDEX(ETAPP!B$1:B$32,MATCH(COUNTIF(Z23:AN23,PVO!A$10),ETAPP!A$1:A$32,0))&amp;INDEX(ETAPP!B$1:B$32,MATCH(COUNTIF(Z23:AN23,PVO!A$11),ETAPP!A$1:A$32,0))&amp;INDEX(ETAPP!B$1:B$32,MATCH(COUNTIF(Z23:AN23,PVO!A$12),ETAPP!A$1:A$32,0))&amp;INDEX(ETAPP!B$1:B$32,MATCH(COUNTIF(Z23:AN23,PVO!A$13),ETAPP!A$1:A$32,0))&amp;INDEX(ETAPP!B$1:B$32,MATCH(COUNTIF(Z23:AN23,PVO!A$14),ETAPP!A$1:A$32,0))&amp;INDEX(ETAPP!B$1:B$32,MATCH(COUNTIF(Z23:AN23,PVO!A$15),ETAPP!A$1:A$32,0))&amp;INDEX(ETAPP!B$1:B$32,MATCH(COUNTIF(Z23:AN23,PVO!A$16),ETAPP!A$1:A$32,0))&amp;INDEX(ETAPP!B$1:B$32,MATCH(COUNTIF(Z23:AN23,PVO!A$17),ETAPP!A$1:A$32,0))&amp;INDEX(ETAPP!B$1:B$32,MATCH(COUNTIF(Z23:AN23,PVO!A$18),ETAPP!A$1:A$32,0))&amp;INDEX(ETAPP!B$1:B$32,MATCH(COUNTIF(Z23:AN23,PVO!A$19),ETAPP!A$1:A$32,0))&amp;INDEX(ETAPP!B$1:B$32,MATCH(COUNTIF(Z23:AN23,PVO!A$20),ETAPP!A$1:A$32,0))&amp;INDEX(ETAPP!B$1:B$32,MATCH(COUNTIF(Z23:AN23,PVO!A$21),ETAPP!A$1:A$32,0))</f>
        <v>A0000AB0ABAA00A000000</v>
      </c>
      <c r="T23" s="221" t="str">
        <f t="shared" si="11"/>
        <v>122,0-A0000AB0ABAA00A000000</v>
      </c>
      <c r="U23" s="221">
        <f t="shared" si="12"/>
        <v>17</v>
      </c>
      <c r="V23" s="221">
        <f t="shared" si="13"/>
        <v>45</v>
      </c>
      <c r="W23" s="221" t="str">
        <f t="shared" si="14"/>
        <v>122,0-A0000AB0ABAA00A000000-045</v>
      </c>
      <c r="X23" s="221">
        <f t="shared" si="15"/>
        <v>17</v>
      </c>
      <c r="Y23" s="222">
        <f t="shared" si="16"/>
        <v>51</v>
      </c>
      <c r="Z23" s="223">
        <f>IFERROR(INDEX('V1'!C$300:C$400,MATCH("*"&amp;L23&amp;"*",'V1'!B$300:B$400,0)),"  ")</f>
        <v>6</v>
      </c>
      <c r="AA23" s="223">
        <f>IFERROR(INDEX('V2'!C$300:C$400,MATCH("*"&amp;L23&amp;"*",'V2'!B$300:B$400,0)),"  ")</f>
        <v>14</v>
      </c>
      <c r="AB23" s="223">
        <f>IFERROR(INDEX('V3'!C$300:C$400,MATCH("*"&amp;L23&amp;"*",'V3'!B$300:B$400,0)),"  ")</f>
        <v>14</v>
      </c>
      <c r="AC23" s="223">
        <f>IFERROR(INDEX('V4'!C$300:C$400,MATCH("*"&amp;L23&amp;"*",'V4'!B$300:B$400,0)),"  ")</f>
        <v>20</v>
      </c>
      <c r="AD23" s="223" t="str">
        <f>IFERROR(INDEX('V5'!C$300:C$400,MATCH("*"&amp;L23&amp;"*",'V5'!B$300:B$400,0)),"  ")</f>
        <v xml:space="preserve">  </v>
      </c>
      <c r="AE23" s="223">
        <f>IFERROR(INDEX('V6'!C$300:C$400,MATCH("*"&amp;L23&amp;"*",'V6'!B$300:B$400,0)),"  ")</f>
        <v>15</v>
      </c>
      <c r="AF23" s="223" t="str">
        <f>IFERROR(INDEX('V7'!C$300:C$400,MATCH("*"&amp;L23&amp;"*",'V7'!B$300:B$400,0)),"  ")</f>
        <v xml:space="preserve">  </v>
      </c>
      <c r="AG23" s="223" t="str">
        <f>IFERROR(INDEX('V8'!C$300:C$400,MATCH("*"&amp;L23&amp;"*",'V8'!B$300:B$400,0)),"  ")</f>
        <v xml:space="preserve">  </v>
      </c>
      <c r="AH23" s="223">
        <f>IFERROR(INDEX('V9'!C$300:C$400,MATCH("*"&amp;L23&amp;"*",'V9'!B$300:B$400,0)),"  ")</f>
        <v>10</v>
      </c>
      <c r="AI23" s="223">
        <f>IFERROR(INDEX('V10'!C$300:C$400,MATCH("*"&amp;L23&amp;"*",'V10'!B$300:B$400,0)),"  ")</f>
        <v>11</v>
      </c>
      <c r="AJ23" s="223">
        <f>IFERROR(INDEX('V11'!C$300:C$400,MATCH("*"&amp;L23&amp;"*",'V11'!B$300:B$400,0)),"  ")</f>
        <v>12</v>
      </c>
      <c r="AK23" s="223">
        <f>IFERROR(INDEX('V12'!C$300:C$400,MATCH("*"&amp;L23&amp;"*",'V12'!B$300:B$400,0)),"  ")</f>
        <v>9</v>
      </c>
      <c r="AL23" s="223">
        <f>IFERROR(INDEX('V13'!C$300:C$400,MATCH("*"&amp;L23&amp;"*",'V13'!B$300:B$400,0)),"  ")</f>
        <v>11</v>
      </c>
      <c r="AM23" s="223"/>
      <c r="AN23" s="223"/>
      <c r="AO23" s="224">
        <f t="shared" si="17"/>
        <v>17</v>
      </c>
      <c r="AP23" s="627">
        <f t="shared" si="18"/>
        <v>122</v>
      </c>
      <c r="AQ23" s="225" t="str">
        <f t="shared" si="19"/>
        <v>edasi 17</v>
      </c>
      <c r="AR23" s="226" t="str">
        <f>IFERROR(INDEX(#REF!,MATCH("*"&amp;L23&amp;"*",#REF!,0)),"  ")</f>
        <v xml:space="preserve">  </v>
      </c>
      <c r="AS23" s="227">
        <f t="shared" si="20"/>
        <v>10</v>
      </c>
      <c r="AT23" s="228">
        <f t="shared" si="21"/>
        <v>1</v>
      </c>
      <c r="AU23" s="228">
        <f t="shared" si="22"/>
        <v>1</v>
      </c>
      <c r="AV23" s="233"/>
      <c r="AW23" s="229">
        <f t="shared" si="23"/>
        <v>8.0000000000000004E-4</v>
      </c>
      <c r="AX23" s="230">
        <f t="shared" si="24"/>
        <v>6.0000999999999998</v>
      </c>
      <c r="AY23" s="230">
        <f t="shared" si="25"/>
        <v>14.0002</v>
      </c>
      <c r="AZ23" s="230">
        <f t="shared" si="26"/>
        <v>14.000299999999999</v>
      </c>
      <c r="BA23" s="230">
        <f t="shared" si="27"/>
        <v>20.000399999999999</v>
      </c>
      <c r="BB23" s="230">
        <f t="shared" si="28"/>
        <v>5.0000000000000001E-4</v>
      </c>
      <c r="BC23" s="230">
        <f t="shared" si="29"/>
        <v>15.0006</v>
      </c>
      <c r="BD23" s="230">
        <f t="shared" si="30"/>
        <v>6.9999999999999999E-4</v>
      </c>
      <c r="BE23" s="230">
        <f t="shared" si="31"/>
        <v>8.0000000000000004E-4</v>
      </c>
      <c r="BF23" s="230">
        <f t="shared" si="32"/>
        <v>10.0009</v>
      </c>
      <c r="BG23" s="230">
        <f t="shared" si="33"/>
        <v>11.000999999999999</v>
      </c>
      <c r="BH23" s="230">
        <f t="shared" si="34"/>
        <v>12.001099999999999</v>
      </c>
      <c r="BI23" s="230">
        <f t="shared" si="35"/>
        <v>9.0012000000000008</v>
      </c>
      <c r="BJ23" s="230">
        <f t="shared" si="36"/>
        <v>11.001300000000001</v>
      </c>
      <c r="BK23" s="156"/>
    </row>
    <row r="24" spans="1:63" x14ac:dyDescent="0.2">
      <c r="A24" s="208">
        <f t="shared" si="0"/>
        <v>12</v>
      </c>
      <c r="B24" s="209">
        <f t="shared" si="1"/>
        <v>18</v>
      </c>
      <c r="C24" s="736">
        <f t="shared" si="2"/>
        <v>8</v>
      </c>
      <c r="D24" s="565">
        <f t="shared" si="3"/>
        <v>18</v>
      </c>
      <c r="E24" s="210">
        <f t="shared" si="4"/>
        <v>17</v>
      </c>
      <c r="F24" s="209">
        <f t="shared" si="5"/>
        <v>18</v>
      </c>
      <c r="G24" s="211" t="str">
        <f t="shared" si="6"/>
        <v/>
      </c>
      <c r="H24" s="209">
        <f t="shared" si="7"/>
        <v>-982</v>
      </c>
      <c r="I24" s="212" t="str">
        <f t="shared" si="8"/>
        <v/>
      </c>
      <c r="J24" s="213">
        <f t="shared" si="9"/>
        <v>-982</v>
      </c>
      <c r="K24" s="178">
        <f t="shared" si="10"/>
        <v>18</v>
      </c>
      <c r="L24" s="234" t="s">
        <v>137</v>
      </c>
      <c r="M24" s="215"/>
      <c r="N24" s="216" t="str">
        <f t="shared" si="37"/>
        <v>m</v>
      </c>
      <c r="O24" s="217"/>
      <c r="P24" s="218" t="s">
        <v>478</v>
      </c>
      <c r="Q24" s="219" t="s">
        <v>124</v>
      </c>
      <c r="R24" s="220">
        <f t="array" ref="R24">(IF(COUNT(Z24,AA24,AB24,AC24,AD24,AE24,AF24,AG24,AH24,AI24,AJ24,AK24,AL24,AM24,AN24)&lt;11,SUM(Z24,AA24,AB24,AC24,AD24,AE24,AF24,AG24,AH24,AI24,AJ24,AK24,AL24,AM24,AN24),SUM(LARGE((Z24,AA24,AB24,AC24,AD24,AE24,AF24,AG24,AH24,AI24,AJ24,AK24,AL24,AM24,AN24),{1;2;3;4;5;6;7;8;9;10}))))</f>
        <v>118</v>
      </c>
      <c r="S24" s="221" t="str">
        <f>INDEX(ETAPP!B$1:B$32,MATCH(COUNTIF(Z24:AN24,PVO!A$1),ETAPP!A$1:A$32,0))&amp;INDEX(ETAPP!B$1:B$32,MATCH(COUNTIF(Z24:AN24,PVO!A$2),ETAPP!A$1:A$32,0))&amp;INDEX(ETAPP!B$1:B$32,MATCH(COUNTIF(Z24:AN24,PVO!A$3),ETAPP!A$1:A$32,0))&amp;INDEX(ETAPP!B$1:B$32,MATCH(COUNTIF(Z24:AN24,PVO!A$4),ETAPP!A$1:A$32,0))&amp;INDEX(ETAPP!B$1:B$32,MATCH(COUNTIF(Z24:AN24,PVO!A$5),ETAPP!A$1:A$32,0))&amp;INDEX(ETAPP!B$1:B$32,MATCH(COUNTIF(Z24:AN24,PVO!A$6),ETAPP!A$1:A$32,0))&amp;INDEX(ETAPP!B$1:B$32,MATCH(COUNTIF(Z24:AN24,PVO!A$7),ETAPP!A$1:A$32,0))&amp;INDEX(ETAPP!B$1:B$32,MATCH(COUNTIF(Z24:AN24,PVO!A$8),ETAPP!A$1:A$32,0))&amp;INDEX(ETAPP!B$1:B$32,MATCH(COUNTIF(Z24:AN24,PVO!A$9),ETAPP!A$1:A$32,0))&amp;INDEX(ETAPP!B$1:B$32,MATCH(COUNTIF(Z24:AN24,PVO!A$10),ETAPP!A$1:A$32,0))&amp;INDEX(ETAPP!B$1:B$32,MATCH(COUNTIF(Z24:AN24,PVO!A$11),ETAPP!A$1:A$32,0))&amp;INDEX(ETAPP!B$1:B$32,MATCH(COUNTIF(Z24:AN24,PVO!A$12),ETAPP!A$1:A$32,0))&amp;INDEX(ETAPP!B$1:B$32,MATCH(COUNTIF(Z24:AN24,PVO!A$13),ETAPP!A$1:A$32,0))&amp;INDEX(ETAPP!B$1:B$32,MATCH(COUNTIF(Z24:AN24,PVO!A$14),ETAPP!A$1:A$32,0))&amp;INDEX(ETAPP!B$1:B$32,MATCH(COUNTIF(Z24:AN24,PVO!A$15),ETAPP!A$1:A$32,0))&amp;INDEX(ETAPP!B$1:B$32,MATCH(COUNTIF(Z24:AN24,PVO!A$16),ETAPP!A$1:A$32,0))&amp;INDEX(ETAPP!B$1:B$32,MATCH(COUNTIF(Z24:AN24,PVO!A$17),ETAPP!A$1:A$32,0))&amp;INDEX(ETAPP!B$1:B$32,MATCH(COUNTIF(Z24:AN24,PVO!A$18),ETAPP!A$1:A$32,0))&amp;INDEX(ETAPP!B$1:B$32,MATCH(COUNTIF(Z24:AN24,PVO!A$19),ETAPP!A$1:A$32,0))&amp;INDEX(ETAPP!B$1:B$32,MATCH(COUNTIF(Z24:AN24,PVO!A$20),ETAPP!A$1:A$32,0))&amp;INDEX(ETAPP!B$1:B$32,MATCH(COUNTIF(Z24:AN24,PVO!A$21),ETAPP!A$1:A$32,0))</f>
        <v>0000AAB00ACBAAA000000</v>
      </c>
      <c r="T24" s="221" t="str">
        <f t="shared" si="11"/>
        <v>118,0-0000AAB00ACBAAA000000</v>
      </c>
      <c r="U24" s="221">
        <f t="shared" si="12"/>
        <v>18</v>
      </c>
      <c r="V24" s="221">
        <f t="shared" si="13"/>
        <v>53</v>
      </c>
      <c r="W24" s="221" t="str">
        <f t="shared" si="14"/>
        <v>118,0-0000AAB00ACBAAA000000-053</v>
      </c>
      <c r="X24" s="221">
        <f t="shared" si="15"/>
        <v>18</v>
      </c>
      <c r="Y24" s="222">
        <f t="shared" si="16"/>
        <v>50</v>
      </c>
      <c r="Z24" s="223">
        <f>IFERROR(INDEX('V1'!C$300:C$400,MATCH("*"&amp;L24&amp;"*",'V1'!B$300:B$400,0)),"  ")</f>
        <v>7</v>
      </c>
      <c r="AA24" s="223">
        <f>IFERROR(INDEX('V2'!C$300:C$400,MATCH("*"&amp;L24&amp;"*",'V2'!B$300:B$400,0)),"  ")</f>
        <v>9</v>
      </c>
      <c r="AB24" s="223">
        <f>IFERROR(INDEX('V3'!C$300:C$400,MATCH("*"&amp;L24&amp;"*",'V3'!B$300:B$400,0)),"  ")</f>
        <v>9</v>
      </c>
      <c r="AC24" s="223">
        <f>IFERROR(INDEX('V4'!C$300:C$400,MATCH("*"&amp;L24&amp;"*",'V4'!B$300:B$400,0)),"  ")</f>
        <v>10</v>
      </c>
      <c r="AD24" s="223">
        <f>IFERROR(INDEX('V5'!C$300:C$400,MATCH("*"&amp;L24&amp;"*",'V5'!B$300:B$400,0)),"  ")</f>
        <v>10</v>
      </c>
      <c r="AE24" s="223">
        <f>IFERROR(INDEX('V6'!C$300:C$400,MATCH("*"&amp;L24&amp;"*",'V6'!B$300:B$400,0)),"  ")</f>
        <v>6</v>
      </c>
      <c r="AF24" s="223">
        <f>IFERROR(INDEX('V7'!C$300:C$400,MATCH("*"&amp;L24&amp;"*",'V7'!B$300:B$400,0)),"  ")</f>
        <v>8</v>
      </c>
      <c r="AG24" s="223">
        <f>IFERROR(INDEX('V8'!C$300:C$400,MATCH("*"&amp;L24&amp;"*",'V8'!B$300:B$400,0)),"  ")</f>
        <v>11</v>
      </c>
      <c r="AH24" s="223">
        <f>IFERROR(INDEX('V9'!C$300:C$400,MATCH("*"&amp;L24&amp;"*",'V9'!B$300:B$400,0)),"  ")</f>
        <v>15</v>
      </c>
      <c r="AI24" s="223">
        <f>IFERROR(INDEX('V10'!C$300:C$400,MATCH("*"&amp;L24&amp;"*",'V10'!B$300:B$400,0)),"  ")</f>
        <v>14</v>
      </c>
      <c r="AJ24" s="223">
        <f>IFERROR(INDEX('V11'!C$300:C$400,MATCH("*"&amp;L24&amp;"*",'V11'!B$300:B$400,0)),"  ")</f>
        <v>16</v>
      </c>
      <c r="AK24" s="223">
        <f>IFERROR(INDEX('V12'!C$300:C$400,MATCH("*"&amp;L24&amp;"*",'V12'!B$300:B$400,0)),"  ")</f>
        <v>10</v>
      </c>
      <c r="AL24" s="223">
        <f>IFERROR(INDEX('V13'!C$300:C$400,MATCH("*"&amp;L24&amp;"*",'V13'!B$300:B$400,0)),"  ")</f>
        <v>14</v>
      </c>
      <c r="AM24" s="223"/>
      <c r="AN24" s="223"/>
      <c r="AO24" s="224">
        <f t="shared" si="17"/>
        <v>18</v>
      </c>
      <c r="AP24" s="627">
        <f t="shared" si="18"/>
        <v>139</v>
      </c>
      <c r="AQ24" s="225" t="str">
        <f t="shared" si="19"/>
        <v>edasi 18</v>
      </c>
      <c r="AR24" s="226" t="str">
        <f>IFERROR(INDEX(#REF!,MATCH("*"&amp;L24&amp;"*",#REF!,0)),"  ")</f>
        <v xml:space="preserve">  </v>
      </c>
      <c r="AS24" s="227">
        <f t="shared" si="20"/>
        <v>13</v>
      </c>
      <c r="AT24" s="228">
        <f t="shared" si="21"/>
        <v>0</v>
      </c>
      <c r="AU24" s="228">
        <f t="shared" si="22"/>
        <v>0</v>
      </c>
      <c r="AV24" s="156"/>
      <c r="AW24" s="229">
        <f t="shared" si="23"/>
        <v>8.0007000000000001</v>
      </c>
      <c r="AX24" s="230">
        <f t="shared" si="24"/>
        <v>7.0000999999999998</v>
      </c>
      <c r="AY24" s="230">
        <f t="shared" si="25"/>
        <v>9.0001999999999995</v>
      </c>
      <c r="AZ24" s="230">
        <f t="shared" si="26"/>
        <v>9.0002999999999993</v>
      </c>
      <c r="BA24" s="230">
        <f t="shared" si="27"/>
        <v>10.000400000000001</v>
      </c>
      <c r="BB24" s="230">
        <f t="shared" si="28"/>
        <v>10.000500000000001</v>
      </c>
      <c r="BC24" s="230">
        <f t="shared" si="29"/>
        <v>6.0006000000000004</v>
      </c>
      <c r="BD24" s="230">
        <f t="shared" si="30"/>
        <v>8.0007000000000001</v>
      </c>
      <c r="BE24" s="230">
        <f t="shared" si="31"/>
        <v>11.0008</v>
      </c>
      <c r="BF24" s="230">
        <f t="shared" si="32"/>
        <v>15.0009</v>
      </c>
      <c r="BG24" s="230">
        <f t="shared" si="33"/>
        <v>14.000999999999999</v>
      </c>
      <c r="BH24" s="230">
        <f t="shared" si="34"/>
        <v>16.001100000000001</v>
      </c>
      <c r="BI24" s="230">
        <f t="shared" si="35"/>
        <v>10.001200000000001</v>
      </c>
      <c r="BJ24" s="230">
        <f t="shared" si="36"/>
        <v>14.001300000000001</v>
      </c>
      <c r="BK24" s="156"/>
    </row>
    <row r="25" spans="1:63" x14ac:dyDescent="0.2">
      <c r="A25" s="208">
        <f t="shared" si="0"/>
        <v>13</v>
      </c>
      <c r="B25" s="209">
        <f t="shared" si="1"/>
        <v>20</v>
      </c>
      <c r="C25" s="736" t="str">
        <f t="shared" si="2"/>
        <v/>
      </c>
      <c r="D25" s="565">
        <f t="shared" si="3"/>
        <v>-980</v>
      </c>
      <c r="E25" s="210" t="str">
        <f t="shared" si="4"/>
        <v/>
      </c>
      <c r="F25" s="209">
        <f t="shared" si="5"/>
        <v>-980</v>
      </c>
      <c r="G25" s="211">
        <f t="shared" si="6"/>
        <v>2</v>
      </c>
      <c r="H25" s="209">
        <f t="shared" si="7"/>
        <v>20</v>
      </c>
      <c r="I25" s="212" t="str">
        <f t="shared" si="8"/>
        <v/>
      </c>
      <c r="J25" s="213">
        <f t="shared" si="9"/>
        <v>-980</v>
      </c>
      <c r="K25" s="178">
        <f t="shared" si="10"/>
        <v>19</v>
      </c>
      <c r="L25" s="232" t="s">
        <v>146</v>
      </c>
      <c r="M25" s="215" t="s">
        <v>135</v>
      </c>
      <c r="N25" s="216" t="str">
        <f t="shared" si="37"/>
        <v/>
      </c>
      <c r="O25" s="217"/>
      <c r="P25" s="218"/>
      <c r="Q25" s="219" t="s">
        <v>124</v>
      </c>
      <c r="R25" s="220">
        <f t="array" ref="R25">(IF(COUNT(Z25,AA25,AB25,AC25,AD25,AE25,AF25,AG25,AH25,AI25,AJ25,AK25,AL25,AM25,AN25)&lt;11,SUM(Z25,AA25,AB25,AC25,AD25,AE25,AF25,AG25,AH25,AI25,AJ25,AK25,AL25,AM25,AN25),SUM(LARGE((Z25,AA25,AB25,AC25,AD25,AE25,AF25,AG25,AH25,AI25,AJ25,AK25,AL25,AM25,AN25),{1;2;3;4;5;6;7;8;9;10}))))</f>
        <v>112</v>
      </c>
      <c r="S25" s="221" t="str">
        <f>INDEX(ETAPP!B$1:B$32,MATCH(COUNTIF(Z25:AN25,PVO!A$1),ETAPP!A$1:A$32,0))&amp;INDEX(ETAPP!B$1:B$32,MATCH(COUNTIF(Z25:AN25,PVO!A$2),ETAPP!A$1:A$32,0))&amp;INDEX(ETAPP!B$1:B$32,MATCH(COUNTIF(Z25:AN25,PVO!A$3),ETAPP!A$1:A$32,0))&amp;INDEX(ETAPP!B$1:B$32,MATCH(COUNTIF(Z25:AN25,PVO!A$4),ETAPP!A$1:A$32,0))&amp;INDEX(ETAPP!B$1:B$32,MATCH(COUNTIF(Z25:AN25,PVO!A$5),ETAPP!A$1:A$32,0))&amp;INDEX(ETAPP!B$1:B$32,MATCH(COUNTIF(Z25:AN25,PVO!A$6),ETAPP!A$1:A$32,0))&amp;INDEX(ETAPP!B$1:B$32,MATCH(COUNTIF(Z25:AN25,PVO!A$7),ETAPP!A$1:A$32,0))&amp;INDEX(ETAPP!B$1:B$32,MATCH(COUNTIF(Z25:AN25,PVO!A$8),ETAPP!A$1:A$32,0))&amp;INDEX(ETAPP!B$1:B$32,MATCH(COUNTIF(Z25:AN25,PVO!A$9),ETAPP!A$1:A$32,0))&amp;INDEX(ETAPP!B$1:B$32,MATCH(COUNTIF(Z25:AN25,PVO!A$10),ETAPP!A$1:A$32,0))&amp;INDEX(ETAPP!B$1:B$32,MATCH(COUNTIF(Z25:AN25,PVO!A$11),ETAPP!A$1:A$32,0))&amp;INDEX(ETAPP!B$1:B$32,MATCH(COUNTIF(Z25:AN25,PVO!A$12),ETAPP!A$1:A$32,0))&amp;INDEX(ETAPP!B$1:B$32,MATCH(COUNTIF(Z25:AN25,PVO!A$13),ETAPP!A$1:A$32,0))&amp;INDEX(ETAPP!B$1:B$32,MATCH(COUNTIF(Z25:AN25,PVO!A$14),ETAPP!A$1:A$32,0))&amp;INDEX(ETAPP!B$1:B$32,MATCH(COUNTIF(Z25:AN25,PVO!A$15),ETAPP!A$1:A$32,0))&amp;INDEX(ETAPP!B$1:B$32,MATCH(COUNTIF(Z25:AN25,PVO!A$16),ETAPP!A$1:A$32,0))&amp;INDEX(ETAPP!B$1:B$32,MATCH(COUNTIF(Z25:AN25,PVO!A$17),ETAPP!A$1:A$32,0))&amp;INDEX(ETAPP!B$1:B$32,MATCH(COUNTIF(Z25:AN25,PVO!A$18),ETAPP!A$1:A$32,0))&amp;INDEX(ETAPP!B$1:B$32,MATCH(COUNTIF(Z25:AN25,PVO!A$19),ETAPP!A$1:A$32,0))&amp;INDEX(ETAPP!B$1:B$32,MATCH(COUNTIF(Z25:AN25,PVO!A$20),ETAPP!A$1:A$32,0))&amp;INDEX(ETAPP!B$1:B$32,MATCH(COUNTIF(Z25:AN25,PVO!A$21),ETAPP!A$1:A$32,0))</f>
        <v>0000A0A0ADB000A000000</v>
      </c>
      <c r="T25" s="221" t="str">
        <f t="shared" si="11"/>
        <v>112,0-0000A0A0ADB000A000000</v>
      </c>
      <c r="U25" s="221">
        <f t="shared" si="12"/>
        <v>20</v>
      </c>
      <c r="V25" s="221">
        <f t="shared" si="13"/>
        <v>35</v>
      </c>
      <c r="W25" s="221" t="str">
        <f t="shared" si="14"/>
        <v>112,0-0000A0A0ADB000A000000-035</v>
      </c>
      <c r="X25" s="221">
        <f t="shared" si="15"/>
        <v>19</v>
      </c>
      <c r="Y25" s="222">
        <f t="shared" si="16"/>
        <v>49</v>
      </c>
      <c r="Z25" s="223" t="str">
        <f>IFERROR(INDEX('V1'!C$300:C$400,MATCH("*"&amp;L25&amp;"*",'V1'!B$300:B$400,0)),"  ")</f>
        <v xml:space="preserve">  </v>
      </c>
      <c r="AA25" s="223">
        <f>IFERROR(INDEX('V2'!C$300:C$400,MATCH("*"&amp;L25&amp;"*",'V2'!B$300:B$400,0)),"  ")</f>
        <v>6</v>
      </c>
      <c r="AB25" s="223">
        <f>IFERROR(INDEX('V3'!C$300:C$400,MATCH("*"&amp;L25&amp;"*",'V3'!B$300:B$400,0)),"  ")</f>
        <v>12</v>
      </c>
      <c r="AC25" s="223">
        <f>IFERROR(INDEX('V4'!C$300:C$400,MATCH("*"&amp;L25&amp;"*",'V4'!B$300:B$400,0)),"  ")</f>
        <v>11</v>
      </c>
      <c r="AD25" s="223" t="str">
        <f>IFERROR(INDEX('V5'!C$300:C$400,MATCH("*"&amp;L25&amp;"*",'V5'!B$300:B$400,0)),"  ")</f>
        <v xml:space="preserve">  </v>
      </c>
      <c r="AE25" s="223">
        <f>IFERROR(INDEX('V6'!C$300:C$400,MATCH("*"&amp;L25&amp;"*",'V6'!B$300:B$400,0)),"  ")</f>
        <v>10</v>
      </c>
      <c r="AF25" s="223">
        <f>IFERROR(INDEX('V7'!C$300:C$400,MATCH("*"&amp;L25&amp;"*",'V7'!B$300:B$400,0)),"  ")</f>
        <v>11</v>
      </c>
      <c r="AG25" s="223" t="str">
        <f>IFERROR(INDEX('V8'!C$300:C$400,MATCH("*"&amp;L25&amp;"*",'V8'!B$300:B$400,0)),"  ")</f>
        <v xml:space="preserve">  </v>
      </c>
      <c r="AH25" s="223">
        <f>IFERROR(INDEX('V9'!C$300:C$400,MATCH("*"&amp;L25&amp;"*",'V9'!B$300:B$400,0)),"  ")</f>
        <v>11</v>
      </c>
      <c r="AI25" s="223">
        <f>IFERROR(INDEX('V10'!C$300:C$400,MATCH("*"&amp;L25&amp;"*",'V10'!B$300:B$400,0)),"  ")</f>
        <v>10</v>
      </c>
      <c r="AJ25" s="223">
        <f>IFERROR(INDEX('V11'!C$300:C$400,MATCH("*"&amp;L25&amp;"*",'V11'!B$300:B$400,0)),"  ")</f>
        <v>11</v>
      </c>
      <c r="AK25" s="223">
        <f>IFERROR(INDEX('V12'!C$300:C$400,MATCH("*"&amp;L25&amp;"*",'V12'!B$300:B$400,0)),"  ")</f>
        <v>14</v>
      </c>
      <c r="AL25" s="223">
        <f>IFERROR(INDEX('V13'!C$300:C$400,MATCH("*"&amp;L25&amp;"*",'V13'!B$300:B$400,0)),"  ")</f>
        <v>16</v>
      </c>
      <c r="AM25" s="223"/>
      <c r="AN25" s="223"/>
      <c r="AO25" s="224">
        <f t="shared" si="17"/>
        <v>19</v>
      </c>
      <c r="AP25" s="627">
        <f t="shared" si="18"/>
        <v>112</v>
      </c>
      <c r="AQ25" s="225" t="str">
        <f t="shared" si="19"/>
        <v>edasi 19</v>
      </c>
      <c r="AR25" s="226" t="str">
        <f>IFERROR(INDEX(#REF!,MATCH("*"&amp;L25&amp;"*",#REF!,0)),"  ")</f>
        <v xml:space="preserve">  </v>
      </c>
      <c r="AS25" s="227">
        <f t="shared" si="20"/>
        <v>10</v>
      </c>
      <c r="AT25" s="228">
        <f t="shared" si="21"/>
        <v>0</v>
      </c>
      <c r="AU25" s="228">
        <f t="shared" si="22"/>
        <v>0</v>
      </c>
      <c r="AV25" s="233"/>
      <c r="AW25" s="229">
        <f t="shared" si="23"/>
        <v>8.0000000000000004E-4</v>
      </c>
      <c r="AX25" s="230">
        <f t="shared" si="24"/>
        <v>1E-4</v>
      </c>
      <c r="AY25" s="230">
        <f t="shared" si="25"/>
        <v>6.0002000000000004</v>
      </c>
      <c r="AZ25" s="230">
        <f t="shared" si="26"/>
        <v>12.000299999999999</v>
      </c>
      <c r="BA25" s="230">
        <f t="shared" si="27"/>
        <v>11.000400000000001</v>
      </c>
      <c r="BB25" s="230">
        <f t="shared" si="28"/>
        <v>5.0000000000000001E-4</v>
      </c>
      <c r="BC25" s="230">
        <f t="shared" si="29"/>
        <v>10.0006</v>
      </c>
      <c r="BD25" s="230">
        <f t="shared" si="30"/>
        <v>11.0007</v>
      </c>
      <c r="BE25" s="230">
        <f t="shared" si="31"/>
        <v>8.0000000000000004E-4</v>
      </c>
      <c r="BF25" s="230">
        <f t="shared" si="32"/>
        <v>11.0009</v>
      </c>
      <c r="BG25" s="230">
        <f t="shared" si="33"/>
        <v>10.000999999999999</v>
      </c>
      <c r="BH25" s="230">
        <f t="shared" si="34"/>
        <v>11.001099999999999</v>
      </c>
      <c r="BI25" s="230">
        <f t="shared" si="35"/>
        <v>14.001200000000001</v>
      </c>
      <c r="BJ25" s="230">
        <f t="shared" si="36"/>
        <v>16.001300000000001</v>
      </c>
      <c r="BK25" s="156"/>
    </row>
    <row r="26" spans="1:63" x14ac:dyDescent="0.2">
      <c r="A26" s="208">
        <f t="shared" si="0"/>
        <v>13</v>
      </c>
      <c r="B26" s="209">
        <f t="shared" si="1"/>
        <v>20</v>
      </c>
      <c r="C26" s="736" t="str">
        <f t="shared" si="2"/>
        <v/>
      </c>
      <c r="D26" s="565">
        <f t="shared" si="3"/>
        <v>-980</v>
      </c>
      <c r="E26" s="210">
        <f t="shared" si="4"/>
        <v>18</v>
      </c>
      <c r="F26" s="209">
        <f t="shared" si="5"/>
        <v>20</v>
      </c>
      <c r="G26" s="211" t="str">
        <f t="shared" si="6"/>
        <v/>
      </c>
      <c r="H26" s="209">
        <f t="shared" si="7"/>
        <v>-980</v>
      </c>
      <c r="I26" s="212" t="str">
        <f t="shared" si="8"/>
        <v/>
      </c>
      <c r="J26" s="213">
        <f t="shared" si="9"/>
        <v>-980</v>
      </c>
      <c r="K26" s="178">
        <f t="shared" si="10"/>
        <v>19</v>
      </c>
      <c r="L26" s="234" t="s">
        <v>147</v>
      </c>
      <c r="M26" s="215"/>
      <c r="N26" s="216" t="str">
        <f t="shared" si="37"/>
        <v>m</v>
      </c>
      <c r="O26" s="217"/>
      <c r="P26" s="218"/>
      <c r="Q26" s="219" t="s">
        <v>124</v>
      </c>
      <c r="R26" s="220">
        <f t="array" ref="R26">(IF(COUNT(Z26,AA26,AB26,AC26,AD26,AE26,AF26,AG26,AH26,AI26,AJ26,AK26,AL26,AM26,AN26)&lt;11,SUM(Z26,AA26,AB26,AC26,AD26,AE26,AF26,AG26,AH26,AI26,AJ26,AK26,AL26,AM26,AN26),SUM(LARGE((Z26,AA26,AB26,AC26,AD26,AE26,AF26,AG26,AH26,AI26,AJ26,AK26,AL26,AM26,AN26),{1;2;3;4;5;6;7;8;9;10}))))</f>
        <v>112</v>
      </c>
      <c r="S26" s="221" t="str">
        <f>INDEX(ETAPP!B$1:B$32,MATCH(COUNTIF(Z26:AN26,PVO!A$1),ETAPP!A$1:A$32,0))&amp;INDEX(ETAPP!B$1:B$32,MATCH(COUNTIF(Z26:AN26,PVO!A$2),ETAPP!A$1:A$32,0))&amp;INDEX(ETAPP!B$1:B$32,MATCH(COUNTIF(Z26:AN26,PVO!A$3),ETAPP!A$1:A$32,0))&amp;INDEX(ETAPP!B$1:B$32,MATCH(COUNTIF(Z26:AN26,PVO!A$4),ETAPP!A$1:A$32,0))&amp;INDEX(ETAPP!B$1:B$32,MATCH(COUNTIF(Z26:AN26,PVO!A$5),ETAPP!A$1:A$32,0))&amp;INDEX(ETAPP!B$1:B$32,MATCH(COUNTIF(Z26:AN26,PVO!A$6),ETAPP!A$1:A$32,0))&amp;INDEX(ETAPP!B$1:B$32,MATCH(COUNTIF(Z26:AN26,PVO!A$7),ETAPP!A$1:A$32,0))&amp;INDEX(ETAPP!B$1:B$32,MATCH(COUNTIF(Z26:AN26,PVO!A$8),ETAPP!A$1:A$32,0))&amp;INDEX(ETAPP!B$1:B$32,MATCH(COUNTIF(Z26:AN26,PVO!A$9),ETAPP!A$1:A$32,0))&amp;INDEX(ETAPP!B$1:B$32,MATCH(COUNTIF(Z26:AN26,PVO!A$10),ETAPP!A$1:A$32,0))&amp;INDEX(ETAPP!B$1:B$32,MATCH(COUNTIF(Z26:AN26,PVO!A$11),ETAPP!A$1:A$32,0))&amp;INDEX(ETAPP!B$1:B$32,MATCH(COUNTIF(Z26:AN26,PVO!A$12),ETAPP!A$1:A$32,0))&amp;INDEX(ETAPP!B$1:B$32,MATCH(COUNTIF(Z26:AN26,PVO!A$13),ETAPP!A$1:A$32,0))&amp;INDEX(ETAPP!B$1:B$32,MATCH(COUNTIF(Z26:AN26,PVO!A$14),ETAPP!A$1:A$32,0))&amp;INDEX(ETAPP!B$1:B$32,MATCH(COUNTIF(Z26:AN26,PVO!A$15),ETAPP!A$1:A$32,0))&amp;INDEX(ETAPP!B$1:B$32,MATCH(COUNTIF(Z26:AN26,PVO!A$16),ETAPP!A$1:A$32,0))&amp;INDEX(ETAPP!B$1:B$32,MATCH(COUNTIF(Z26:AN26,PVO!A$17),ETAPP!A$1:A$32,0))&amp;INDEX(ETAPP!B$1:B$32,MATCH(COUNTIF(Z26:AN26,PVO!A$18),ETAPP!A$1:A$32,0))&amp;INDEX(ETAPP!B$1:B$32,MATCH(COUNTIF(Z26:AN26,PVO!A$19),ETAPP!A$1:A$32,0))&amp;INDEX(ETAPP!B$1:B$32,MATCH(COUNTIF(Z26:AN26,PVO!A$20),ETAPP!A$1:A$32,0))&amp;INDEX(ETAPP!B$1:B$32,MATCH(COUNTIF(Z26:AN26,PVO!A$21),ETAPP!A$1:A$32,0))</f>
        <v>0000A0A0ADB000A000000</v>
      </c>
      <c r="T26" s="221" t="str">
        <f t="shared" si="11"/>
        <v>112,0-0000A0A0ADB000A000000</v>
      </c>
      <c r="U26" s="221">
        <f t="shared" si="12"/>
        <v>20</v>
      </c>
      <c r="V26" s="221">
        <f t="shared" si="13"/>
        <v>4</v>
      </c>
      <c r="W26" s="221" t="str">
        <f t="shared" si="14"/>
        <v>112,0-0000A0A0ADB000A000000-004</v>
      </c>
      <c r="X26" s="221">
        <f t="shared" si="15"/>
        <v>20</v>
      </c>
      <c r="Y26" s="222">
        <f t="shared" si="16"/>
        <v>48</v>
      </c>
      <c r="Z26" s="223" t="str">
        <f>IFERROR(INDEX('V1'!C$300:C$400,MATCH("*"&amp;L26&amp;"*",'V1'!B$300:B$400,0)),"  ")</f>
        <v xml:space="preserve">  </v>
      </c>
      <c r="AA26" s="223">
        <f>IFERROR(INDEX('V2'!C$300:C$400,MATCH("*"&amp;L26&amp;"*",'V2'!B$300:B$400,0)),"  ")</f>
        <v>6</v>
      </c>
      <c r="AB26" s="223">
        <f>IFERROR(INDEX('V3'!C$300:C$400,MATCH("*"&amp;L26&amp;"*",'V3'!B$300:B$400,0)),"  ")</f>
        <v>12</v>
      </c>
      <c r="AC26" s="223">
        <f>IFERROR(INDEX('V4'!C$300:C$400,MATCH("*"&amp;L26&amp;"*",'V4'!B$300:B$400,0)),"  ")</f>
        <v>11</v>
      </c>
      <c r="AD26" s="223" t="str">
        <f>IFERROR(INDEX('V5'!C$300:C$400,MATCH("*"&amp;L26&amp;"*",'V5'!B$300:B$400,0)),"  ")</f>
        <v xml:space="preserve">  </v>
      </c>
      <c r="AE26" s="223">
        <f>IFERROR(INDEX('V6'!C$300:C$400,MATCH("*"&amp;L26&amp;"*",'V6'!B$300:B$400,0)),"  ")</f>
        <v>10</v>
      </c>
      <c r="AF26" s="223">
        <f>IFERROR(INDEX('V7'!C$300:C$400,MATCH("*"&amp;L26&amp;"*",'V7'!B$300:B$400,0)),"  ")</f>
        <v>11</v>
      </c>
      <c r="AG26" s="223" t="str">
        <f>IFERROR(INDEX('V8'!C$300:C$400,MATCH("*"&amp;L26&amp;"*",'V8'!B$300:B$400,0)),"  ")</f>
        <v xml:space="preserve">  </v>
      </c>
      <c r="AH26" s="223">
        <f>IFERROR(INDEX('V9'!C$300:C$400,MATCH("*"&amp;L26&amp;"*",'V9'!B$300:B$400,0)),"  ")</f>
        <v>11</v>
      </c>
      <c r="AI26" s="223">
        <f>IFERROR(INDEX('V10'!C$300:C$400,MATCH("*"&amp;L26&amp;"*",'V10'!B$300:B$400,0)),"  ")</f>
        <v>10</v>
      </c>
      <c r="AJ26" s="223">
        <f>IFERROR(INDEX('V11'!C$300:C$400,MATCH("*"&amp;L26&amp;"*",'V11'!B$300:B$400,0)),"  ")</f>
        <v>11</v>
      </c>
      <c r="AK26" s="223">
        <f>IFERROR(INDEX('V12'!C$300:C$400,MATCH("*"&amp;L26&amp;"*",'V12'!B$300:B$400,0)),"  ")</f>
        <v>14</v>
      </c>
      <c r="AL26" s="223">
        <f>IFERROR(INDEX('V13'!C$300:C$400,MATCH("*"&amp;L26&amp;"*",'V13'!B$300:B$400,0)),"  ")</f>
        <v>16</v>
      </c>
      <c r="AM26" s="223"/>
      <c r="AN26" s="223"/>
      <c r="AO26" s="224">
        <f t="shared" si="17"/>
        <v>19</v>
      </c>
      <c r="AP26" s="627">
        <f t="shared" si="18"/>
        <v>112</v>
      </c>
      <c r="AQ26" s="225" t="str">
        <f t="shared" si="19"/>
        <v>edasi 19</v>
      </c>
      <c r="AR26" s="226" t="str">
        <f>IFERROR(INDEX(#REF!,MATCH("*"&amp;L26&amp;"*",#REF!,0)),"  ")</f>
        <v xml:space="preserve">  </v>
      </c>
      <c r="AS26" s="227">
        <f t="shared" si="20"/>
        <v>10</v>
      </c>
      <c r="AT26" s="228">
        <f t="shared" si="21"/>
        <v>0</v>
      </c>
      <c r="AU26" s="228">
        <f t="shared" si="22"/>
        <v>0</v>
      </c>
      <c r="AV26" s="233"/>
      <c r="AW26" s="229">
        <f t="shared" si="23"/>
        <v>8.0000000000000004E-4</v>
      </c>
      <c r="AX26" s="230">
        <f t="shared" si="24"/>
        <v>1E-4</v>
      </c>
      <c r="AY26" s="230">
        <f t="shared" si="25"/>
        <v>6.0002000000000004</v>
      </c>
      <c r="AZ26" s="230">
        <f t="shared" si="26"/>
        <v>12.000299999999999</v>
      </c>
      <c r="BA26" s="230">
        <f t="shared" si="27"/>
        <v>11.000400000000001</v>
      </c>
      <c r="BB26" s="230">
        <f t="shared" si="28"/>
        <v>5.0000000000000001E-4</v>
      </c>
      <c r="BC26" s="230">
        <f t="shared" si="29"/>
        <v>10.0006</v>
      </c>
      <c r="BD26" s="230">
        <f t="shared" si="30"/>
        <v>11.0007</v>
      </c>
      <c r="BE26" s="230">
        <f t="shared" si="31"/>
        <v>8.0000000000000004E-4</v>
      </c>
      <c r="BF26" s="230">
        <f t="shared" si="32"/>
        <v>11.0009</v>
      </c>
      <c r="BG26" s="230">
        <f t="shared" si="33"/>
        <v>10.000999999999999</v>
      </c>
      <c r="BH26" s="230">
        <f t="shared" si="34"/>
        <v>11.001099999999999</v>
      </c>
      <c r="BI26" s="230">
        <f t="shared" si="35"/>
        <v>14.001200000000001</v>
      </c>
      <c r="BJ26" s="230">
        <f t="shared" si="36"/>
        <v>16.001300000000001</v>
      </c>
      <c r="BK26" s="156"/>
    </row>
    <row r="27" spans="1:63" x14ac:dyDescent="0.2">
      <c r="A27" s="208">
        <f t="shared" si="0"/>
        <v>15</v>
      </c>
      <c r="B27" s="209">
        <f t="shared" si="1"/>
        <v>21</v>
      </c>
      <c r="C27" s="736" t="str">
        <f t="shared" si="2"/>
        <v/>
      </c>
      <c r="D27" s="565">
        <f t="shared" si="3"/>
        <v>-979</v>
      </c>
      <c r="E27" s="210">
        <f t="shared" si="4"/>
        <v>19</v>
      </c>
      <c r="F27" s="209">
        <f t="shared" si="5"/>
        <v>21</v>
      </c>
      <c r="G27" s="211" t="str">
        <f t="shared" si="6"/>
        <v/>
      </c>
      <c r="H27" s="209">
        <f t="shared" si="7"/>
        <v>-979</v>
      </c>
      <c r="I27" s="212" t="str">
        <f t="shared" si="8"/>
        <v/>
      </c>
      <c r="J27" s="213">
        <f t="shared" si="9"/>
        <v>-979</v>
      </c>
      <c r="K27" s="178">
        <f t="shared" si="10"/>
        <v>21</v>
      </c>
      <c r="L27" s="232" t="s">
        <v>131</v>
      </c>
      <c r="M27" s="215"/>
      <c r="N27" s="216" t="str">
        <f t="shared" si="37"/>
        <v>m</v>
      </c>
      <c r="O27" s="217"/>
      <c r="P27" s="218"/>
      <c r="Q27" s="219" t="s">
        <v>124</v>
      </c>
      <c r="R27" s="220">
        <f t="array" ref="R27">(IF(COUNT(Z27,AA27,AB27,AC27,AD27,AE27,AF27,AG27,AH27,AI27,AJ27,AK27,AL27,AM27,AN27)&lt;11,SUM(Z27,AA27,AB27,AC27,AD27,AE27,AF27,AG27,AH27,AI27,AJ27,AK27,AL27,AM27,AN27),SUM(LARGE((Z27,AA27,AB27,AC27,AD27,AE27,AF27,AG27,AH27,AI27,AJ27,AK27,AL27,AM27,AN27),{1;2;3;4;5;6;7;8;9;10}))))</f>
        <v>111.5</v>
      </c>
      <c r="S27" s="221" t="str">
        <f>INDEX(ETAPP!B$1:B$32,MATCH(COUNTIF(Z27:AN27,PVO!A$1),ETAPP!A$1:A$32,0))&amp;INDEX(ETAPP!B$1:B$32,MATCH(COUNTIF(Z27:AN27,PVO!A$2),ETAPP!A$1:A$32,0))&amp;INDEX(ETAPP!B$1:B$32,MATCH(COUNTIF(Z27:AN27,PVO!A$3),ETAPP!A$1:A$32,0))&amp;INDEX(ETAPP!B$1:B$32,MATCH(COUNTIF(Z27:AN27,PVO!A$4),ETAPP!A$1:A$32,0))&amp;INDEX(ETAPP!B$1:B$32,MATCH(COUNTIF(Z27:AN27,PVO!A$5),ETAPP!A$1:A$32,0))&amp;INDEX(ETAPP!B$1:B$32,MATCH(COUNTIF(Z27:AN27,PVO!A$6),ETAPP!A$1:A$32,0))&amp;INDEX(ETAPP!B$1:B$32,MATCH(COUNTIF(Z27:AN27,PVO!A$7),ETAPP!A$1:A$32,0))&amp;INDEX(ETAPP!B$1:B$32,MATCH(COUNTIF(Z27:AN27,PVO!A$8),ETAPP!A$1:A$32,0))&amp;INDEX(ETAPP!B$1:B$32,MATCH(COUNTIF(Z27:AN27,PVO!A$9),ETAPP!A$1:A$32,0))&amp;INDEX(ETAPP!B$1:B$32,MATCH(COUNTIF(Z27:AN27,PVO!A$10),ETAPP!A$1:A$32,0))&amp;INDEX(ETAPP!B$1:B$32,MATCH(COUNTIF(Z27:AN27,PVO!A$11),ETAPP!A$1:A$32,0))&amp;INDEX(ETAPP!B$1:B$32,MATCH(COUNTIF(Z27:AN27,PVO!A$12),ETAPP!A$1:A$32,0))&amp;INDEX(ETAPP!B$1:B$32,MATCH(COUNTIF(Z27:AN27,PVO!A$13),ETAPP!A$1:A$32,0))&amp;INDEX(ETAPP!B$1:B$32,MATCH(COUNTIF(Z27:AN27,PVO!A$14),ETAPP!A$1:A$32,0))&amp;INDEX(ETAPP!B$1:B$32,MATCH(COUNTIF(Z27:AN27,PVO!A$15),ETAPP!A$1:A$32,0))&amp;INDEX(ETAPP!B$1:B$32,MATCH(COUNTIF(Z27:AN27,PVO!A$16),ETAPP!A$1:A$32,0))&amp;INDEX(ETAPP!B$1:B$32,MATCH(COUNTIF(Z27:AN27,PVO!A$17),ETAPP!A$1:A$32,0))&amp;INDEX(ETAPP!B$1:B$32,MATCH(COUNTIF(Z27:AN27,PVO!A$18),ETAPP!A$1:A$32,0))&amp;INDEX(ETAPP!B$1:B$32,MATCH(COUNTIF(Z27:AN27,PVO!A$19),ETAPP!A$1:A$32,0))&amp;INDEX(ETAPP!B$1:B$32,MATCH(COUNTIF(Z27:AN27,PVO!A$20),ETAPP!A$1:A$32,0))&amp;INDEX(ETAPP!B$1:B$32,MATCH(COUNTIF(Z27:AN27,PVO!A$21),ETAPP!A$1:A$32,0))</f>
        <v>A0A0BA0000A0000000000</v>
      </c>
      <c r="T27" s="221" t="str">
        <f t="shared" si="11"/>
        <v>111,5-A0A0BA0000A0000000000</v>
      </c>
      <c r="U27" s="221">
        <f t="shared" si="12"/>
        <v>21</v>
      </c>
      <c r="V27" s="221">
        <f t="shared" si="13"/>
        <v>1</v>
      </c>
      <c r="W27" s="221" t="str">
        <f t="shared" si="14"/>
        <v>111,5-A0A0BA0000A0000000000-001</v>
      </c>
      <c r="X27" s="221">
        <f t="shared" si="15"/>
        <v>21</v>
      </c>
      <c r="Y27" s="222">
        <f t="shared" si="16"/>
        <v>47</v>
      </c>
      <c r="Z27" s="223">
        <f>IFERROR(INDEX('V1'!C$300:C$400,MATCH("*"&amp;L27&amp;"*",'V1'!B$300:B$400,0)),"  ")</f>
        <v>16</v>
      </c>
      <c r="AA27" s="223">
        <f>IFERROR(INDEX('V2'!C$300:C$400,MATCH("*"&amp;L27&amp;"*",'V2'!B$300:B$400,0)),"  ")</f>
        <v>18</v>
      </c>
      <c r="AB27" s="223">
        <f>IFERROR(INDEX('V3'!C$300:C$400,MATCH("*"&amp;L27&amp;"*",'V3'!B$300:B$400,0)),"  ")</f>
        <v>10</v>
      </c>
      <c r="AC27" s="223">
        <f>IFERROR(INDEX('V4'!C$300:C$400,MATCH("*"&amp;L27&amp;"*",'V4'!B$300:B$400,0)),"  ")</f>
        <v>20</v>
      </c>
      <c r="AD27" s="223" t="str">
        <f>IFERROR(INDEX('V5'!C$300:C$400,MATCH("*"&amp;L27&amp;"*",'V5'!B$300:B$400,0)),"  ")</f>
        <v xml:space="preserve">  </v>
      </c>
      <c r="AE27" s="223">
        <f>IFERROR(INDEX('V6'!C$300:C$400,MATCH("*"&amp;L27&amp;"*",'V6'!B$300:B$400,0)),"  ")</f>
        <v>15</v>
      </c>
      <c r="AF27" s="223">
        <f>IFERROR(INDEX('V7'!C$300:C$400,MATCH("*"&amp;L27&amp;"*",'V7'!B$300:B$400,0)),"  ")</f>
        <v>16.5</v>
      </c>
      <c r="AG27" s="223">
        <f>IFERROR(INDEX('V8'!C$300:C$400,MATCH("*"&amp;L27&amp;"*",'V8'!B$300:B$400,0)),"  ")</f>
        <v>16</v>
      </c>
      <c r="AH27" s="223" t="str">
        <f>IFERROR(INDEX('V9'!C$300:C$400,MATCH("*"&amp;L27&amp;"*",'V9'!B$300:B$400,0)),"  ")</f>
        <v xml:space="preserve">  </v>
      </c>
      <c r="AI27" s="223" t="str">
        <f>IFERROR(INDEX('V10'!C$300:C$400,MATCH("*"&amp;L27&amp;"*",'V10'!B$300:B$400,0)),"  ")</f>
        <v xml:space="preserve">  </v>
      </c>
      <c r="AJ27" s="223" t="str">
        <f>IFERROR(INDEX('V11'!C$300:C$400,MATCH("*"&amp;L27&amp;"*",'V11'!B$300:B$400,0)),"  ")</f>
        <v xml:space="preserve">  </v>
      </c>
      <c r="AK27" s="223" t="str">
        <f>IFERROR(INDEX('V12'!C$300:C$400,MATCH("*"&amp;L27&amp;"*",'V12'!B$300:B$400,0)),"  ")</f>
        <v xml:space="preserve">  </v>
      </c>
      <c r="AL27" s="223" t="str">
        <f>IFERROR(INDEX('V13'!C$300:C$400,MATCH("*"&amp;L27&amp;"*",'V13'!B$300:B$400,0)),"  ")</f>
        <v xml:space="preserve">  </v>
      </c>
      <c r="AM27" s="223"/>
      <c r="AN27" s="223"/>
      <c r="AO27" s="224">
        <f t="shared" si="17"/>
        <v>21</v>
      </c>
      <c r="AP27" s="627">
        <f t="shared" si="18"/>
        <v>111.5</v>
      </c>
      <c r="AQ27" s="225" t="str">
        <f t="shared" si="19"/>
        <v>edasi 21</v>
      </c>
      <c r="AR27" s="226" t="str">
        <f>IFERROR(INDEX(#REF!,MATCH("*"&amp;L27&amp;"*",#REF!,0)),"  ")</f>
        <v xml:space="preserve">  </v>
      </c>
      <c r="AS27" s="227">
        <f t="shared" si="20"/>
        <v>7</v>
      </c>
      <c r="AT27" s="228">
        <f t="shared" si="21"/>
        <v>2</v>
      </c>
      <c r="AU27" s="228">
        <f t="shared" si="22"/>
        <v>1</v>
      </c>
      <c r="AV27" s="156"/>
      <c r="AW27" s="229">
        <f t="shared" si="23"/>
        <v>1E-3</v>
      </c>
      <c r="AX27" s="230">
        <f t="shared" si="24"/>
        <v>16.0001</v>
      </c>
      <c r="AY27" s="230">
        <f t="shared" si="25"/>
        <v>18.0002</v>
      </c>
      <c r="AZ27" s="230">
        <f t="shared" si="26"/>
        <v>10.000299999999999</v>
      </c>
      <c r="BA27" s="230">
        <f t="shared" si="27"/>
        <v>20.000399999999999</v>
      </c>
      <c r="BB27" s="230">
        <f t="shared" si="28"/>
        <v>5.0000000000000001E-4</v>
      </c>
      <c r="BC27" s="230">
        <f t="shared" si="29"/>
        <v>15.0006</v>
      </c>
      <c r="BD27" s="230">
        <f t="shared" si="30"/>
        <v>16.500699999999998</v>
      </c>
      <c r="BE27" s="230">
        <f t="shared" si="31"/>
        <v>16.000800000000002</v>
      </c>
      <c r="BF27" s="230">
        <f t="shared" si="32"/>
        <v>8.9999999999999998E-4</v>
      </c>
      <c r="BG27" s="230">
        <f t="shared" si="33"/>
        <v>1E-3</v>
      </c>
      <c r="BH27" s="230">
        <f t="shared" si="34"/>
        <v>1.1000000000000001E-3</v>
      </c>
      <c r="BI27" s="230">
        <f t="shared" si="35"/>
        <v>1.1999999999999999E-3</v>
      </c>
      <c r="BJ27" s="230">
        <f t="shared" si="36"/>
        <v>1.2999999999999999E-3</v>
      </c>
      <c r="BK27" s="156"/>
    </row>
    <row r="28" spans="1:63" x14ac:dyDescent="0.2">
      <c r="A28" s="208">
        <f t="shared" si="0"/>
        <v>16</v>
      </c>
      <c r="B28" s="209">
        <f t="shared" si="1"/>
        <v>22</v>
      </c>
      <c r="C28" s="736">
        <f t="shared" si="2"/>
        <v>9</v>
      </c>
      <c r="D28" s="565">
        <f t="shared" si="3"/>
        <v>22</v>
      </c>
      <c r="E28" s="210">
        <f t="shared" si="4"/>
        <v>20</v>
      </c>
      <c r="F28" s="209">
        <f t="shared" si="5"/>
        <v>22</v>
      </c>
      <c r="G28" s="211" t="str">
        <f t="shared" si="6"/>
        <v/>
      </c>
      <c r="H28" s="209">
        <f t="shared" si="7"/>
        <v>-978</v>
      </c>
      <c r="I28" s="212" t="str">
        <f t="shared" si="8"/>
        <v/>
      </c>
      <c r="J28" s="213">
        <f t="shared" si="9"/>
        <v>-978</v>
      </c>
      <c r="K28" s="178">
        <f t="shared" si="10"/>
        <v>22</v>
      </c>
      <c r="L28" s="242" t="s">
        <v>139</v>
      </c>
      <c r="M28" s="215"/>
      <c r="N28" s="216" t="str">
        <f t="shared" si="37"/>
        <v>m</v>
      </c>
      <c r="O28" s="217"/>
      <c r="P28" s="218" t="s">
        <v>478</v>
      </c>
      <c r="Q28" s="219" t="s">
        <v>124</v>
      </c>
      <c r="R28" s="220">
        <f t="array" ref="R28">(IF(COUNT(Z28,AA28,AB28,AC28,AD28,AE28,AF28,AG28,AH28,AI28,AJ28,AK28,AL28,AM28,AN28)&lt;11,SUM(Z28,AA28,AB28,AC28,AD28,AE28,AF28,AG28,AH28,AI28,AJ28,AK28,AL28,AM28,AN28),SUM(LARGE((Z28,AA28,AB28,AC28,AD28,AE28,AF28,AG28,AH28,AI28,AJ28,AK28,AL28,AM28,AN28),{1;2;3;4;5;6;7;8;9;10}))))</f>
        <v>105</v>
      </c>
      <c r="S28" s="221" t="str">
        <f>INDEX(ETAPP!B$1:B$32,MATCH(COUNTIF(Z28:AN28,PVO!A$1),ETAPP!A$1:A$32,0))&amp;INDEX(ETAPP!B$1:B$32,MATCH(COUNTIF(Z28:AN28,PVO!A$2),ETAPP!A$1:A$32,0))&amp;INDEX(ETAPP!B$1:B$32,MATCH(COUNTIF(Z28:AN28,PVO!A$3),ETAPP!A$1:A$32,0))&amp;INDEX(ETAPP!B$1:B$32,MATCH(COUNTIF(Z28:AN28,PVO!A$4),ETAPP!A$1:A$32,0))&amp;INDEX(ETAPP!B$1:B$32,MATCH(COUNTIF(Z28:AN28,PVO!A$5),ETAPP!A$1:A$32,0))&amp;INDEX(ETAPP!B$1:B$32,MATCH(COUNTIF(Z28:AN28,PVO!A$6),ETAPP!A$1:A$32,0))&amp;INDEX(ETAPP!B$1:B$32,MATCH(COUNTIF(Z28:AN28,PVO!A$7),ETAPP!A$1:A$32,0))&amp;INDEX(ETAPP!B$1:B$32,MATCH(COUNTIF(Z28:AN28,PVO!A$8),ETAPP!A$1:A$32,0))&amp;INDEX(ETAPP!B$1:B$32,MATCH(COUNTIF(Z28:AN28,PVO!A$9),ETAPP!A$1:A$32,0))&amp;INDEX(ETAPP!B$1:B$32,MATCH(COUNTIF(Z28:AN28,PVO!A$10),ETAPP!A$1:A$32,0))&amp;INDEX(ETAPP!B$1:B$32,MATCH(COUNTIF(Z28:AN28,PVO!A$11),ETAPP!A$1:A$32,0))&amp;INDEX(ETAPP!B$1:B$32,MATCH(COUNTIF(Z28:AN28,PVO!A$12),ETAPP!A$1:A$32,0))&amp;INDEX(ETAPP!B$1:B$32,MATCH(COUNTIF(Z28:AN28,PVO!A$13),ETAPP!A$1:A$32,0))&amp;INDEX(ETAPP!B$1:B$32,MATCH(COUNTIF(Z28:AN28,PVO!A$14),ETAPP!A$1:A$32,0))&amp;INDEX(ETAPP!B$1:B$32,MATCH(COUNTIF(Z28:AN28,PVO!A$15),ETAPP!A$1:A$32,0))&amp;INDEX(ETAPP!B$1:B$32,MATCH(COUNTIF(Z28:AN28,PVO!A$16),ETAPP!A$1:A$32,0))&amp;INDEX(ETAPP!B$1:B$32,MATCH(COUNTIF(Z28:AN28,PVO!A$17),ETAPP!A$1:A$32,0))&amp;INDEX(ETAPP!B$1:B$32,MATCH(COUNTIF(Z28:AN28,PVO!A$18),ETAPP!A$1:A$32,0))&amp;INDEX(ETAPP!B$1:B$32,MATCH(COUNTIF(Z28:AN28,PVO!A$19),ETAPP!A$1:A$32,0))&amp;INDEX(ETAPP!B$1:B$32,MATCH(COUNTIF(Z28:AN28,PVO!A$20),ETAPP!A$1:A$32,0))&amp;INDEX(ETAPP!B$1:B$32,MATCH(COUNTIF(Z28:AN28,PVO!A$21),ETAPP!A$1:A$32,0))</f>
        <v>0000AAA00AABAAA000000</v>
      </c>
      <c r="T28" s="221" t="str">
        <f t="shared" si="11"/>
        <v>105,0-0000AAA00AABAAA000000</v>
      </c>
      <c r="U28" s="221">
        <f t="shared" si="12"/>
        <v>22</v>
      </c>
      <c r="V28" s="221">
        <f t="shared" si="13"/>
        <v>15</v>
      </c>
      <c r="W28" s="221" t="str">
        <f t="shared" si="14"/>
        <v>105,0-0000AAA00AABAAA000000-015</v>
      </c>
      <c r="X28" s="221">
        <f t="shared" si="15"/>
        <v>22</v>
      </c>
      <c r="Y28" s="222">
        <f t="shared" si="16"/>
        <v>46</v>
      </c>
      <c r="Z28" s="223">
        <f>IFERROR(INDEX('V1'!C$300:C$400,MATCH("*"&amp;L28&amp;"*",'V1'!B$300:B$400,0)),"  ")</f>
        <v>7</v>
      </c>
      <c r="AA28" s="223">
        <f>IFERROR(INDEX('V2'!C$300:C$400,MATCH("*"&amp;L28&amp;"*",'V2'!B$300:B$400,0)),"  ")</f>
        <v>9</v>
      </c>
      <c r="AB28" s="223">
        <f>IFERROR(INDEX('V3'!C$300:C$400,MATCH("*"&amp;L28&amp;"*",'V3'!B$300:B$400,0)),"  ")</f>
        <v>9</v>
      </c>
      <c r="AC28" s="223" t="str">
        <f>IFERROR(INDEX('V4'!C$300:C$400,MATCH("*"&amp;L28&amp;"*",'V4'!B$300:B$400,0)),"  ")</f>
        <v xml:space="preserve">  </v>
      </c>
      <c r="AD28" s="223">
        <f>IFERROR(INDEX('V5'!C$300:C$400,MATCH("*"&amp;L28&amp;"*",'V5'!B$300:B$400,0)),"  ")</f>
        <v>10</v>
      </c>
      <c r="AE28" s="223">
        <f>IFERROR(INDEX('V6'!C$300:C$400,MATCH("*"&amp;L28&amp;"*",'V6'!B$300:B$400,0)),"  ")</f>
        <v>6</v>
      </c>
      <c r="AF28" s="223">
        <f>IFERROR(INDEX('V7'!C$300:C$400,MATCH("*"&amp;L28&amp;"*",'V7'!B$300:B$400,0)),"  ")</f>
        <v>8</v>
      </c>
      <c r="AG28" s="223">
        <f>IFERROR(INDEX('V8'!C$300:C$400,MATCH("*"&amp;L28&amp;"*",'V8'!B$300:B$400,0)),"  ")</f>
        <v>11</v>
      </c>
      <c r="AH28" s="223">
        <f>IFERROR(INDEX('V9'!C$300:C$400,MATCH("*"&amp;L28&amp;"*",'V9'!B$300:B$400,0)),"  ")</f>
        <v>15</v>
      </c>
      <c r="AI28" s="223" t="str">
        <f>IFERROR(INDEX('V10'!C$300:C$400,MATCH("*"&amp;L28&amp;"*",'V10'!B$300:B$400,0)),"  ")</f>
        <v xml:space="preserve">  </v>
      </c>
      <c r="AJ28" s="223">
        <f>IFERROR(INDEX('V11'!C$300:C$400,MATCH("*"&amp;L28&amp;"*",'V11'!B$300:B$400,0)),"  ")</f>
        <v>16</v>
      </c>
      <c r="AK28" s="223" t="str">
        <f>IFERROR(INDEX('V12'!C$300:C$400,MATCH("*"&amp;L28&amp;"*",'V12'!B$300:B$400,0)),"  ")</f>
        <v xml:space="preserve">  </v>
      </c>
      <c r="AL28" s="223">
        <f>IFERROR(INDEX('V13'!C$300:C$400,MATCH("*"&amp;L28&amp;"*",'V13'!B$300:B$400,0)),"  ")</f>
        <v>14</v>
      </c>
      <c r="AM28" s="223"/>
      <c r="AN28" s="223"/>
      <c r="AO28" s="224">
        <f t="shared" si="17"/>
        <v>22</v>
      </c>
      <c r="AP28" s="627">
        <f t="shared" si="18"/>
        <v>105</v>
      </c>
      <c r="AQ28" s="225" t="str">
        <f t="shared" si="19"/>
        <v>edasi 22</v>
      </c>
      <c r="AR28" s="226" t="str">
        <f>IFERROR(INDEX(#REF!,MATCH("*"&amp;L28&amp;"*",#REF!,0)),"  ")</f>
        <v xml:space="preserve">  </v>
      </c>
      <c r="AS28" s="227">
        <f t="shared" si="20"/>
        <v>10</v>
      </c>
      <c r="AT28" s="228">
        <f t="shared" si="21"/>
        <v>0</v>
      </c>
      <c r="AU28" s="228">
        <f t="shared" si="22"/>
        <v>0</v>
      </c>
      <c r="AV28" s="156"/>
      <c r="AW28" s="229">
        <f t="shared" si="23"/>
        <v>1.1999999999999999E-3</v>
      </c>
      <c r="AX28" s="230">
        <f t="shared" si="24"/>
        <v>7.0000999999999998</v>
      </c>
      <c r="AY28" s="230">
        <f t="shared" si="25"/>
        <v>9.0001999999999995</v>
      </c>
      <c r="AZ28" s="230">
        <f t="shared" si="26"/>
        <v>9.0002999999999993</v>
      </c>
      <c r="BA28" s="230">
        <f t="shared" si="27"/>
        <v>4.0000000000000002E-4</v>
      </c>
      <c r="BB28" s="230">
        <f t="shared" si="28"/>
        <v>10.000500000000001</v>
      </c>
      <c r="BC28" s="230">
        <f t="shared" si="29"/>
        <v>6.0006000000000004</v>
      </c>
      <c r="BD28" s="230">
        <f t="shared" si="30"/>
        <v>8.0007000000000001</v>
      </c>
      <c r="BE28" s="230">
        <f t="shared" si="31"/>
        <v>11.0008</v>
      </c>
      <c r="BF28" s="230">
        <f t="shared" si="32"/>
        <v>15.0009</v>
      </c>
      <c r="BG28" s="230">
        <f t="shared" si="33"/>
        <v>1E-3</v>
      </c>
      <c r="BH28" s="230">
        <f t="shared" si="34"/>
        <v>16.001100000000001</v>
      </c>
      <c r="BI28" s="230">
        <f t="shared" si="35"/>
        <v>1.1999999999999999E-3</v>
      </c>
      <c r="BJ28" s="230">
        <f t="shared" si="36"/>
        <v>14.001300000000001</v>
      </c>
      <c r="BK28" s="156"/>
    </row>
    <row r="29" spans="1:63" x14ac:dyDescent="0.2">
      <c r="A29" s="208">
        <f t="shared" si="0"/>
        <v>17</v>
      </c>
      <c r="B29" s="209">
        <f t="shared" si="1"/>
        <v>23</v>
      </c>
      <c r="C29" s="736" t="str">
        <f t="shared" si="2"/>
        <v/>
      </c>
      <c r="D29" s="565">
        <f t="shared" si="3"/>
        <v>-977</v>
      </c>
      <c r="E29" s="210">
        <f t="shared" si="4"/>
        <v>21</v>
      </c>
      <c r="F29" s="209">
        <f t="shared" si="5"/>
        <v>23</v>
      </c>
      <c r="G29" s="211" t="str">
        <f t="shared" si="6"/>
        <v/>
      </c>
      <c r="H29" s="209">
        <f t="shared" si="7"/>
        <v>-977</v>
      </c>
      <c r="I29" s="212" t="str">
        <f t="shared" si="8"/>
        <v/>
      </c>
      <c r="J29" s="213">
        <f t="shared" si="9"/>
        <v>-977</v>
      </c>
      <c r="K29" s="243">
        <f t="shared" si="10"/>
        <v>23</v>
      </c>
      <c r="L29" s="1420" t="s">
        <v>145</v>
      </c>
      <c r="M29" s="244"/>
      <c r="N29" s="245" t="str">
        <f t="shared" si="37"/>
        <v>m</v>
      </c>
      <c r="O29" s="246"/>
      <c r="P29" s="247"/>
      <c r="Q29" s="219" t="s">
        <v>124</v>
      </c>
      <c r="R29" s="220">
        <f t="array" ref="R29">(IF(COUNT(Z29,AA29,AB29,AC29,AD29,AE29,AF29,AG29,AH29,AI29,AJ29,AK29,AL29,AM29,AN29)&lt;11,SUM(Z29,AA29,AB29,AC29,AD29,AE29,AF29,AG29,AH29,AI29,AJ29,AK29,AL29,AM29,AN29),SUM(LARGE((Z29,AA29,AB29,AC29,AD29,AE29,AF29,AG29,AH29,AI29,AJ29,AK29,AL29,AM29,AN29),{1;2;3;4;5;6;7;8;9;10}))))</f>
        <v>104</v>
      </c>
      <c r="S29" s="221" t="str">
        <f>INDEX(ETAPP!B$1:B$32,MATCH(COUNTIF(Z29:AN29,PVO!A$1),ETAPP!A$1:A$32,0))&amp;INDEX(ETAPP!B$1:B$32,MATCH(COUNTIF(Z29:AN29,PVO!A$2),ETAPP!A$1:A$32,0))&amp;INDEX(ETAPP!B$1:B$32,MATCH(COUNTIF(Z29:AN29,PVO!A$3),ETAPP!A$1:A$32,0))&amp;INDEX(ETAPP!B$1:B$32,MATCH(COUNTIF(Z29:AN29,PVO!A$4),ETAPP!A$1:A$32,0))&amp;INDEX(ETAPP!B$1:B$32,MATCH(COUNTIF(Z29:AN29,PVO!A$5),ETAPP!A$1:A$32,0))&amp;INDEX(ETAPP!B$1:B$32,MATCH(COUNTIF(Z29:AN29,PVO!A$6),ETAPP!A$1:A$32,0))&amp;INDEX(ETAPP!B$1:B$32,MATCH(COUNTIF(Z29:AN29,PVO!A$7),ETAPP!A$1:A$32,0))&amp;INDEX(ETAPP!B$1:B$32,MATCH(COUNTIF(Z29:AN29,PVO!A$8),ETAPP!A$1:A$32,0))&amp;INDEX(ETAPP!B$1:B$32,MATCH(COUNTIF(Z29:AN29,PVO!A$9),ETAPP!A$1:A$32,0))&amp;INDEX(ETAPP!B$1:B$32,MATCH(COUNTIF(Z29:AN29,PVO!A$10),ETAPP!A$1:A$32,0))&amp;INDEX(ETAPP!B$1:B$32,MATCH(COUNTIF(Z29:AN29,PVO!A$11),ETAPP!A$1:A$32,0))&amp;INDEX(ETAPP!B$1:B$32,MATCH(COUNTIF(Z29:AN29,PVO!A$12),ETAPP!A$1:A$32,0))&amp;INDEX(ETAPP!B$1:B$32,MATCH(COUNTIF(Z29:AN29,PVO!A$13),ETAPP!A$1:A$32,0))&amp;INDEX(ETAPP!B$1:B$32,MATCH(COUNTIF(Z29:AN29,PVO!A$14),ETAPP!A$1:A$32,0))&amp;INDEX(ETAPP!B$1:B$32,MATCH(COUNTIF(Z29:AN29,PVO!A$15),ETAPP!A$1:A$32,0))&amp;INDEX(ETAPP!B$1:B$32,MATCH(COUNTIF(Z29:AN29,PVO!A$16),ETAPP!A$1:A$32,0))&amp;INDEX(ETAPP!B$1:B$32,MATCH(COUNTIF(Z29:AN29,PVO!A$17),ETAPP!A$1:A$32,0))&amp;INDEX(ETAPP!B$1:B$32,MATCH(COUNTIF(Z29:AN29,PVO!A$18),ETAPP!A$1:A$32,0))&amp;INDEX(ETAPP!B$1:B$32,MATCH(COUNTIF(Z29:AN29,PVO!A$19),ETAPP!A$1:A$32,0))&amp;INDEX(ETAPP!B$1:B$32,MATCH(COUNTIF(Z29:AN29,PVO!A$20),ETAPP!A$1:A$32,0))&amp;INDEX(ETAPP!B$1:B$32,MATCH(COUNTIF(Z29:AN29,PVO!A$21),ETAPP!A$1:A$32,0))</f>
        <v>A0A000AAAA0A0A0000000</v>
      </c>
      <c r="T29" s="248" t="str">
        <f t="shared" si="11"/>
        <v>104,0-A0A000AAAA0A0A0000000</v>
      </c>
      <c r="U29" s="248">
        <f t="shared" si="12"/>
        <v>23</v>
      </c>
      <c r="V29" s="248">
        <f t="shared" si="13"/>
        <v>61</v>
      </c>
      <c r="W29" s="248" t="str">
        <f t="shared" si="14"/>
        <v>104,0-A0A000AAAA0A0A0000000-061</v>
      </c>
      <c r="X29" s="248">
        <f t="shared" si="15"/>
        <v>23</v>
      </c>
      <c r="Y29" s="249">
        <f t="shared" si="16"/>
        <v>45</v>
      </c>
      <c r="Z29" s="223">
        <f>IFERROR(INDEX('V1'!C$300:C$400,MATCH("*"&amp;L29&amp;"*",'V1'!B$300:B$400,0)),"  ")</f>
        <v>9</v>
      </c>
      <c r="AA29" s="223" t="str">
        <f>IFERROR(INDEX('V2'!C$300:C$400,MATCH("*"&amp;L29&amp;"*",'V2'!B$300:B$400,0)),"  ")</f>
        <v xml:space="preserve">  </v>
      </c>
      <c r="AB29" s="223" t="str">
        <f>IFERROR(INDEX('V3'!C$300:C$400,MATCH("*"&amp;L29&amp;"*",'V3'!B$300:B$400,0)),"  ")</f>
        <v xml:space="preserve">  </v>
      </c>
      <c r="AC29" s="223">
        <f>IFERROR(INDEX('V4'!C$300:C$400,MATCH("*"&amp;L29&amp;"*",'V4'!B$300:B$400,0)),"  ")</f>
        <v>12</v>
      </c>
      <c r="AD29" s="223">
        <f>IFERROR(INDEX('V5'!C$300:C$400,MATCH("*"&amp;L29&amp;"*",'V5'!B$300:B$400,0)),"  ")</f>
        <v>14</v>
      </c>
      <c r="AE29" s="223">
        <f>IFERROR(INDEX('V6'!C$300:C$400,MATCH("*"&amp;L29&amp;"*",'V6'!B$300:B$400,0)),"  ")</f>
        <v>13</v>
      </c>
      <c r="AF29" s="223">
        <f>IFERROR(INDEX('V7'!C$300:C$400,MATCH("*"&amp;L29&amp;"*",'V7'!B$300:B$400,0)),"  ")</f>
        <v>20</v>
      </c>
      <c r="AG29" s="223" t="str">
        <f>IFERROR(INDEX('V8'!C$300:C$400,MATCH("*"&amp;L29&amp;"*",'V8'!B$300:B$400,0)),"  ")</f>
        <v xml:space="preserve">  </v>
      </c>
      <c r="AH29" s="223">
        <f>IFERROR(INDEX('V9'!C$300:C$400,MATCH("*"&amp;L29&amp;"*",'V9'!B$300:B$400,0)),"  ")</f>
        <v>7</v>
      </c>
      <c r="AI29" s="223" t="str">
        <f>IFERROR(INDEX('V10'!C$300:C$400,MATCH("*"&amp;L29&amp;"*",'V10'!B$300:B$400,0)),"  ")</f>
        <v xml:space="preserve">  </v>
      </c>
      <c r="AJ29" s="223">
        <f>IFERROR(INDEX('V11'!C$300:C$400,MATCH("*"&amp;L29&amp;"*",'V11'!B$300:B$400,0)),"  ")</f>
        <v>18</v>
      </c>
      <c r="AK29" s="223" t="str">
        <f>IFERROR(INDEX('V12'!C$300:C$400,MATCH("*"&amp;L29&amp;"*",'V12'!B$300:B$400,0)),"  ")</f>
        <v xml:space="preserve">  </v>
      </c>
      <c r="AL29" s="223">
        <f>IFERROR(INDEX('V13'!C$300:C$400,MATCH("*"&amp;L29&amp;"*",'V13'!B$300:B$400,0)),"  ")</f>
        <v>11</v>
      </c>
      <c r="AM29" s="223"/>
      <c r="AN29" s="223"/>
      <c r="AO29" s="224">
        <f t="shared" si="17"/>
        <v>23</v>
      </c>
      <c r="AP29" s="627">
        <f t="shared" si="18"/>
        <v>104</v>
      </c>
      <c r="AQ29" s="225" t="str">
        <f t="shared" si="19"/>
        <v>edasi 23</v>
      </c>
      <c r="AR29" s="226" t="str">
        <f>IFERROR(INDEX(#REF!,MATCH("*"&amp;L29&amp;"*",#REF!,0)),"  ")</f>
        <v xml:space="preserve">  </v>
      </c>
      <c r="AS29" s="227">
        <f t="shared" si="20"/>
        <v>8</v>
      </c>
      <c r="AT29" s="228">
        <f t="shared" si="21"/>
        <v>2</v>
      </c>
      <c r="AU29" s="228">
        <f t="shared" si="22"/>
        <v>1</v>
      </c>
      <c r="AV29" s="233"/>
      <c r="AW29" s="229">
        <f t="shared" si="23"/>
        <v>8.0000000000000004E-4</v>
      </c>
      <c r="AX29" s="230">
        <f t="shared" si="24"/>
        <v>9.0000999999999998</v>
      </c>
      <c r="AY29" s="230">
        <f t="shared" si="25"/>
        <v>2.0000000000000001E-4</v>
      </c>
      <c r="AZ29" s="230">
        <f t="shared" si="26"/>
        <v>2.9999999999999997E-4</v>
      </c>
      <c r="BA29" s="230">
        <f t="shared" si="27"/>
        <v>12.000400000000001</v>
      </c>
      <c r="BB29" s="230">
        <f t="shared" si="28"/>
        <v>14.000500000000001</v>
      </c>
      <c r="BC29" s="230">
        <f t="shared" si="29"/>
        <v>13.0006</v>
      </c>
      <c r="BD29" s="230">
        <f t="shared" si="30"/>
        <v>20.000699999999998</v>
      </c>
      <c r="BE29" s="230">
        <f t="shared" si="31"/>
        <v>8.0000000000000004E-4</v>
      </c>
      <c r="BF29" s="230">
        <f t="shared" si="32"/>
        <v>7.0008999999999997</v>
      </c>
      <c r="BG29" s="230">
        <f t="shared" si="33"/>
        <v>1E-3</v>
      </c>
      <c r="BH29" s="230">
        <f t="shared" si="34"/>
        <v>18.001100000000001</v>
      </c>
      <c r="BI29" s="230">
        <f t="shared" si="35"/>
        <v>1.1999999999999999E-3</v>
      </c>
      <c r="BJ29" s="230">
        <f t="shared" si="36"/>
        <v>11.001300000000001</v>
      </c>
      <c r="BK29" s="156"/>
    </row>
    <row r="30" spans="1:63" x14ac:dyDescent="0.2">
      <c r="A30" s="208">
        <f t="shared" si="0"/>
        <v>18</v>
      </c>
      <c r="B30" s="209">
        <f t="shared" si="1"/>
        <v>24</v>
      </c>
      <c r="C30" s="736" t="str">
        <f t="shared" si="2"/>
        <v/>
      </c>
      <c r="D30" s="565">
        <f t="shared" si="3"/>
        <v>-976</v>
      </c>
      <c r="E30" s="210">
        <f t="shared" si="4"/>
        <v>22</v>
      </c>
      <c r="F30" s="209">
        <f t="shared" si="5"/>
        <v>24</v>
      </c>
      <c r="G30" s="211" t="str">
        <f t="shared" si="6"/>
        <v/>
      </c>
      <c r="H30" s="209">
        <f t="shared" si="7"/>
        <v>-976</v>
      </c>
      <c r="I30" s="212" t="str">
        <f t="shared" si="8"/>
        <v/>
      </c>
      <c r="J30" s="213">
        <f t="shared" si="9"/>
        <v>-976</v>
      </c>
      <c r="K30" s="178">
        <f t="shared" si="10"/>
        <v>24</v>
      </c>
      <c r="L30" s="232" t="s">
        <v>129</v>
      </c>
      <c r="M30" s="215"/>
      <c r="N30" s="216" t="str">
        <f t="shared" si="37"/>
        <v>m</v>
      </c>
      <c r="O30" s="217"/>
      <c r="P30" s="218"/>
      <c r="Q30" s="219" t="s">
        <v>124</v>
      </c>
      <c r="R30" s="220">
        <f t="array" ref="R30">(IF(COUNT(Z30,AA30,AB30,AC30,AD30,AE30,AF30,AG30,AH30,AI30,AJ30,AK30,AL30,AM30,AN30)&lt;11,SUM(Z30,AA30,AB30,AC30,AD30,AE30,AF30,AG30,AH30,AI30,AJ30,AK30,AL30,AM30,AN30),SUM(LARGE((Z30,AA30,AB30,AC30,AD30,AE30,AF30,AG30,AH30,AI30,AJ30,AK30,AL30,AM30,AN30),{1;2;3;4;5;6;7;8;9;10}))))</f>
        <v>100</v>
      </c>
      <c r="S30" s="221" t="str">
        <f>INDEX(ETAPP!B$1:B$32,MATCH(COUNTIF(Z30:AN30,PVO!A$1),ETAPP!A$1:A$32,0))&amp;INDEX(ETAPP!B$1:B$32,MATCH(COUNTIF(Z30:AN30,PVO!A$2),ETAPP!A$1:A$32,0))&amp;INDEX(ETAPP!B$1:B$32,MATCH(COUNTIF(Z30:AN30,PVO!A$3),ETAPP!A$1:A$32,0))&amp;INDEX(ETAPP!B$1:B$32,MATCH(COUNTIF(Z30:AN30,PVO!A$4),ETAPP!A$1:A$32,0))&amp;INDEX(ETAPP!B$1:B$32,MATCH(COUNTIF(Z30:AN30,PVO!A$5),ETAPP!A$1:A$32,0))&amp;INDEX(ETAPP!B$1:B$32,MATCH(COUNTIF(Z30:AN30,PVO!A$6),ETAPP!A$1:A$32,0))&amp;INDEX(ETAPP!B$1:B$32,MATCH(COUNTIF(Z30:AN30,PVO!A$7),ETAPP!A$1:A$32,0))&amp;INDEX(ETAPP!B$1:B$32,MATCH(COUNTIF(Z30:AN30,PVO!A$8),ETAPP!A$1:A$32,0))&amp;INDEX(ETAPP!B$1:B$32,MATCH(COUNTIF(Z30:AN30,PVO!A$9),ETAPP!A$1:A$32,0))&amp;INDEX(ETAPP!B$1:B$32,MATCH(COUNTIF(Z30:AN30,PVO!A$10),ETAPP!A$1:A$32,0))&amp;INDEX(ETAPP!B$1:B$32,MATCH(COUNTIF(Z30:AN30,PVO!A$11),ETAPP!A$1:A$32,0))&amp;INDEX(ETAPP!B$1:B$32,MATCH(COUNTIF(Z30:AN30,PVO!A$12),ETAPP!A$1:A$32,0))&amp;INDEX(ETAPP!B$1:B$32,MATCH(COUNTIF(Z30:AN30,PVO!A$13),ETAPP!A$1:A$32,0))&amp;INDEX(ETAPP!B$1:B$32,MATCH(COUNTIF(Z30:AN30,PVO!A$14),ETAPP!A$1:A$32,0))&amp;INDEX(ETAPP!B$1:B$32,MATCH(COUNTIF(Z30:AN30,PVO!A$15),ETAPP!A$1:A$32,0))&amp;INDEX(ETAPP!B$1:B$32,MATCH(COUNTIF(Z30:AN30,PVO!A$16),ETAPP!A$1:A$32,0))&amp;INDEX(ETAPP!B$1:B$32,MATCH(COUNTIF(Z30:AN30,PVO!A$17),ETAPP!A$1:A$32,0))&amp;INDEX(ETAPP!B$1:B$32,MATCH(COUNTIF(Z30:AN30,PVO!A$18),ETAPP!A$1:A$32,0))&amp;INDEX(ETAPP!B$1:B$32,MATCH(COUNTIF(Z30:AN30,PVO!A$19),ETAPP!A$1:A$32,0))&amp;INDEX(ETAPP!B$1:B$32,MATCH(COUNTIF(Z30:AN30,PVO!A$20),ETAPP!A$1:A$32,0))&amp;INDEX(ETAPP!B$1:B$32,MATCH(COUNTIF(Z30:AN30,PVO!A$21),ETAPP!A$1:A$32,0))</f>
        <v>A0000AA0AB0AA00000000</v>
      </c>
      <c r="T30" s="221" t="str">
        <f t="shared" si="11"/>
        <v>100,0-A0000AA0AB0AA00000000</v>
      </c>
      <c r="U30" s="221">
        <f t="shared" si="12"/>
        <v>24</v>
      </c>
      <c r="V30" s="221">
        <f t="shared" si="13"/>
        <v>55</v>
      </c>
      <c r="W30" s="221" t="str">
        <f t="shared" si="14"/>
        <v>100,0-A0000AA0AB0AA00000000-055</v>
      </c>
      <c r="X30" s="221">
        <f t="shared" si="15"/>
        <v>24</v>
      </c>
      <c r="Y30" s="222">
        <f t="shared" si="16"/>
        <v>44</v>
      </c>
      <c r="Z30" s="223">
        <f>IFERROR(INDEX('V1'!C$300:C$400,MATCH("*"&amp;L30&amp;"*",'V1'!B$300:B$400,0)),"  ")</f>
        <v>8</v>
      </c>
      <c r="AA30" s="223">
        <f>IFERROR(INDEX('V2'!C$300:C$400,MATCH("*"&amp;L30&amp;"*",'V2'!B$300:B$400,0)),"  ")</f>
        <v>20</v>
      </c>
      <c r="AB30" s="223">
        <f>IFERROR(INDEX('V3'!C$300:C$400,MATCH("*"&amp;L30&amp;"*",'V3'!B$300:B$400,0)),"  ")</f>
        <v>11</v>
      </c>
      <c r="AC30" s="223">
        <f>IFERROR(INDEX('V4'!C$300:C$400,MATCH("*"&amp;L30&amp;"*",'V4'!B$300:B$400,0)),"  ")</f>
        <v>15</v>
      </c>
      <c r="AD30" s="223" t="str">
        <f>IFERROR(INDEX('V5'!C$300:C$400,MATCH("*"&amp;L30&amp;"*",'V5'!B$300:B$400,0)),"  ")</f>
        <v xml:space="preserve">  </v>
      </c>
      <c r="AE30" s="223">
        <f>IFERROR(INDEX('V6'!C$300:C$400,MATCH("*"&amp;L30&amp;"*",'V6'!B$300:B$400,0)),"  ")</f>
        <v>11</v>
      </c>
      <c r="AF30" s="223" t="str">
        <f>IFERROR(INDEX('V7'!C$300:C$400,MATCH("*"&amp;L30&amp;"*",'V7'!B$300:B$400,0)),"  ")</f>
        <v xml:space="preserve">  </v>
      </c>
      <c r="AG30" s="223" t="str">
        <f>IFERROR(INDEX('V8'!C$300:C$400,MATCH("*"&amp;L30&amp;"*",'V8'!B$300:B$400,0)),"  ")</f>
        <v xml:space="preserve">  </v>
      </c>
      <c r="AH30" s="223">
        <f>IFERROR(INDEX('V9'!C$300:C$400,MATCH("*"&amp;L30&amp;"*",'V9'!B$300:B$400,0)),"  ")</f>
        <v>14</v>
      </c>
      <c r="AI30" s="223">
        <f>IFERROR(INDEX('V10'!C$300:C$400,MATCH("*"&amp;L30&amp;"*",'V10'!B$300:B$400,0)),"  ")</f>
        <v>9</v>
      </c>
      <c r="AJ30" s="223" t="str">
        <f>IFERROR(INDEX('V11'!C$300:C$400,MATCH("*"&amp;L30&amp;"*",'V11'!B$300:B$400,0)),"  ")</f>
        <v xml:space="preserve">  </v>
      </c>
      <c r="AK30" s="223">
        <f>IFERROR(INDEX('V12'!C$300:C$400,MATCH("*"&amp;L30&amp;"*",'V12'!B$300:B$400,0)),"  ")</f>
        <v>12</v>
      </c>
      <c r="AL30" s="223" t="str">
        <f>IFERROR(INDEX('V13'!C$300:C$400,MATCH("*"&amp;L30&amp;"*",'V13'!B$300:B$400,0)),"  ")</f>
        <v xml:space="preserve">  </v>
      </c>
      <c r="AM30" s="223"/>
      <c r="AN30" s="223"/>
      <c r="AO30" s="224">
        <f t="shared" si="17"/>
        <v>24</v>
      </c>
      <c r="AP30" s="627">
        <f t="shared" si="18"/>
        <v>100</v>
      </c>
      <c r="AQ30" s="225" t="str">
        <f t="shared" si="19"/>
        <v>edasi 24</v>
      </c>
      <c r="AR30" s="226" t="str">
        <f>IFERROR(INDEX(#REF!,MATCH("*"&amp;L30&amp;"*",#REF!,0)),"  ")</f>
        <v xml:space="preserve">  </v>
      </c>
      <c r="AS30" s="227">
        <f t="shared" si="20"/>
        <v>8</v>
      </c>
      <c r="AT30" s="228">
        <f t="shared" si="21"/>
        <v>1</v>
      </c>
      <c r="AU30" s="228">
        <f t="shared" si="22"/>
        <v>1</v>
      </c>
      <c r="AV30" s="156"/>
      <c r="AW30" s="229">
        <f t="shared" si="23"/>
        <v>8.0000000000000004E-4</v>
      </c>
      <c r="AX30" s="230">
        <f t="shared" si="24"/>
        <v>8.0000999999999998</v>
      </c>
      <c r="AY30" s="230">
        <f t="shared" si="25"/>
        <v>20.0002</v>
      </c>
      <c r="AZ30" s="230">
        <f t="shared" si="26"/>
        <v>11.000299999999999</v>
      </c>
      <c r="BA30" s="230">
        <f t="shared" si="27"/>
        <v>15.000400000000001</v>
      </c>
      <c r="BB30" s="230">
        <f t="shared" si="28"/>
        <v>5.0000000000000001E-4</v>
      </c>
      <c r="BC30" s="230">
        <f t="shared" si="29"/>
        <v>11.0006</v>
      </c>
      <c r="BD30" s="230">
        <f t="shared" si="30"/>
        <v>6.9999999999999999E-4</v>
      </c>
      <c r="BE30" s="230">
        <f t="shared" si="31"/>
        <v>8.0000000000000004E-4</v>
      </c>
      <c r="BF30" s="230">
        <f t="shared" si="32"/>
        <v>14.0009</v>
      </c>
      <c r="BG30" s="230">
        <f t="shared" si="33"/>
        <v>9.0009999999999994</v>
      </c>
      <c r="BH30" s="230">
        <f t="shared" si="34"/>
        <v>1.1000000000000001E-3</v>
      </c>
      <c r="BI30" s="230">
        <f t="shared" si="35"/>
        <v>12.001200000000001</v>
      </c>
      <c r="BJ30" s="230">
        <f t="shared" si="36"/>
        <v>1.2999999999999999E-3</v>
      </c>
      <c r="BK30" s="156"/>
    </row>
    <row r="31" spans="1:63" x14ac:dyDescent="0.2">
      <c r="A31" s="208" t="str">
        <f t="shared" si="0"/>
        <v/>
      </c>
      <c r="B31" s="209">
        <f t="shared" si="1"/>
        <v>-975</v>
      </c>
      <c r="C31" s="736" t="str">
        <f t="shared" si="2"/>
        <v/>
      </c>
      <c r="D31" s="565">
        <f t="shared" si="3"/>
        <v>-975</v>
      </c>
      <c r="E31" s="210">
        <f t="shared" si="4"/>
        <v>23</v>
      </c>
      <c r="F31" s="209">
        <f t="shared" si="5"/>
        <v>25</v>
      </c>
      <c r="G31" s="211" t="str">
        <f t="shared" si="6"/>
        <v/>
      </c>
      <c r="H31" s="209">
        <f t="shared" si="7"/>
        <v>-975</v>
      </c>
      <c r="I31" s="212" t="str">
        <f t="shared" si="8"/>
        <v/>
      </c>
      <c r="J31" s="213">
        <f t="shared" si="9"/>
        <v>-975</v>
      </c>
      <c r="K31" s="178">
        <f t="shared" si="10"/>
        <v>25</v>
      </c>
      <c r="L31" s="234" t="s">
        <v>82</v>
      </c>
      <c r="M31" s="215"/>
      <c r="N31" s="216" t="str">
        <f t="shared" si="37"/>
        <v>m</v>
      </c>
      <c r="O31" s="217"/>
      <c r="P31" s="218"/>
      <c r="Q31" s="219"/>
      <c r="R31" s="220">
        <f t="array" ref="R31">(IF(COUNT(Z31,AA31,AB31,AC31,AD31,AE31,AF31,AG31,AH31,AI31,AJ31,AK31,AL31,AM31,AN31)&lt;11,SUM(Z31,AA31,AB31,AC31,AD31,AE31,AF31,AG31,AH31,AI31,AJ31,AK31,AL31,AM31,AN31),SUM(LARGE((Z31,AA31,AB31,AC31,AD31,AE31,AF31,AG31,AH31,AI31,AJ31,AK31,AL31,AM31,AN31),{1;2;3;4;5;6;7;8;9;10}))))</f>
        <v>90</v>
      </c>
      <c r="S31" s="221" t="str">
        <f>INDEX(ETAPP!B$1:B$32,MATCH(COUNTIF(Z31:AN31,PVO!A$1),ETAPP!A$1:A$32,0))&amp;INDEX(ETAPP!B$1:B$32,MATCH(COUNTIF(Z31:AN31,PVO!A$2),ETAPP!A$1:A$32,0))&amp;INDEX(ETAPP!B$1:B$32,MATCH(COUNTIF(Z31:AN31,PVO!A$3),ETAPP!A$1:A$32,0))&amp;INDEX(ETAPP!B$1:B$32,MATCH(COUNTIF(Z31:AN31,PVO!A$4),ETAPP!A$1:A$32,0))&amp;INDEX(ETAPP!B$1:B$32,MATCH(COUNTIF(Z31:AN31,PVO!A$5),ETAPP!A$1:A$32,0))&amp;INDEX(ETAPP!B$1:B$32,MATCH(COUNTIF(Z31:AN31,PVO!A$6),ETAPP!A$1:A$32,0))&amp;INDEX(ETAPP!B$1:B$32,MATCH(COUNTIF(Z31:AN31,PVO!A$7),ETAPP!A$1:A$32,0))&amp;INDEX(ETAPP!B$1:B$32,MATCH(COUNTIF(Z31:AN31,PVO!A$8),ETAPP!A$1:A$32,0))&amp;INDEX(ETAPP!B$1:B$32,MATCH(COUNTIF(Z31:AN31,PVO!A$9),ETAPP!A$1:A$32,0))&amp;INDEX(ETAPP!B$1:B$32,MATCH(COUNTIF(Z31:AN31,PVO!A$10),ETAPP!A$1:A$32,0))&amp;INDEX(ETAPP!B$1:B$32,MATCH(COUNTIF(Z31:AN31,PVO!A$11),ETAPP!A$1:A$32,0))&amp;INDEX(ETAPP!B$1:B$32,MATCH(COUNTIF(Z31:AN31,PVO!A$12),ETAPP!A$1:A$32,0))&amp;INDEX(ETAPP!B$1:B$32,MATCH(COUNTIF(Z31:AN31,PVO!A$13),ETAPP!A$1:A$32,0))&amp;INDEX(ETAPP!B$1:B$32,MATCH(COUNTIF(Z31:AN31,PVO!A$14),ETAPP!A$1:A$32,0))&amp;INDEX(ETAPP!B$1:B$32,MATCH(COUNTIF(Z31:AN31,PVO!A$15),ETAPP!A$1:A$32,0))&amp;INDEX(ETAPP!B$1:B$32,MATCH(COUNTIF(Z31:AN31,PVO!A$16),ETAPP!A$1:A$32,0))&amp;INDEX(ETAPP!B$1:B$32,MATCH(COUNTIF(Z31:AN31,PVO!A$17),ETAPP!A$1:A$32,0))&amp;INDEX(ETAPP!B$1:B$32,MATCH(COUNTIF(Z31:AN31,PVO!A$18),ETAPP!A$1:A$32,0))&amp;INDEX(ETAPP!B$1:B$32,MATCH(COUNTIF(Z31:AN31,PVO!A$19),ETAPP!A$1:A$32,0))&amp;INDEX(ETAPP!B$1:B$32,MATCH(COUNTIF(Z31:AN31,PVO!A$20),ETAPP!A$1:A$32,0))&amp;INDEX(ETAPP!B$1:B$32,MATCH(COUNTIF(Z31:AN31,PVO!A$21),ETAPP!A$1:A$32,0))</f>
        <v>A0A00A0A0A00A00A00000</v>
      </c>
      <c r="T31" s="221" t="str">
        <f t="shared" si="11"/>
        <v>090,0-A0A00A0A0A00A00A00000</v>
      </c>
      <c r="U31" s="221">
        <f t="shared" si="12"/>
        <v>25</v>
      </c>
      <c r="V31" s="221">
        <f t="shared" si="13"/>
        <v>46</v>
      </c>
      <c r="W31" s="221" t="str">
        <f t="shared" si="14"/>
        <v>090,0-A0A00A0A0A00A00A00000-046</v>
      </c>
      <c r="X31" s="221">
        <f t="shared" si="15"/>
        <v>25</v>
      </c>
      <c r="Y31" s="222">
        <f t="shared" si="16"/>
        <v>43</v>
      </c>
      <c r="Z31" s="223">
        <f>IFERROR(INDEX('V1'!C$300:C$400,MATCH("*"&amp;L31&amp;"*",'V1'!B$300:B$400,0)),"  ")</f>
        <v>13</v>
      </c>
      <c r="AA31" s="223">
        <f>IFERROR(INDEX('V2'!C$300:C$400,MATCH("*"&amp;L31&amp;"*",'V2'!B$300:B$400,0)),"  ")</f>
        <v>15</v>
      </c>
      <c r="AB31" s="223" t="str">
        <f>IFERROR(INDEX('V3'!C$300:C$400,MATCH("*"&amp;L31&amp;"*",'V3'!B$300:B$400,0)),"  ")</f>
        <v xml:space="preserve">  </v>
      </c>
      <c r="AC31" s="223" t="str">
        <f>IFERROR(INDEX('V4'!C$300:C$400,MATCH("*"&amp;L31&amp;"*",'V4'!B$300:B$400,0)),"  ")</f>
        <v xml:space="preserve">  </v>
      </c>
      <c r="AD31" s="223">
        <f>IFERROR(INDEX('V5'!C$300:C$400,MATCH("*"&amp;L31&amp;"*",'V5'!B$300:B$400,0)),"  ")</f>
        <v>5</v>
      </c>
      <c r="AE31" s="223">
        <f>IFERROR(INDEX('V6'!C$300:C$400,MATCH("*"&amp;L31&amp;"*",'V6'!B$300:B$400,0)),"  ")</f>
        <v>18</v>
      </c>
      <c r="AF31" s="223" t="str">
        <f>IFERROR(INDEX('V7'!C$300:C$400,MATCH("*"&amp;L31&amp;"*",'V7'!B$300:B$400,0)),"  ")</f>
        <v xml:space="preserve">  </v>
      </c>
      <c r="AG31" s="223" t="str">
        <f>IFERROR(INDEX('V8'!C$300:C$400,MATCH("*"&amp;L31&amp;"*",'V8'!B$300:B$400,0)),"  ")</f>
        <v xml:space="preserve">  </v>
      </c>
      <c r="AH31" s="223">
        <f>IFERROR(INDEX('V9'!C$300:C$400,MATCH("*"&amp;L31&amp;"*",'V9'!B$300:B$400,0)),"  ")</f>
        <v>20</v>
      </c>
      <c r="AI31" s="223">
        <f>IFERROR(INDEX('V10'!C$300:C$400,MATCH("*"&amp;L31&amp;"*",'V10'!B$300:B$400,0)),"  ")</f>
        <v>11</v>
      </c>
      <c r="AJ31" s="223">
        <f>IFERROR(INDEX('V11'!C$300:C$400,MATCH("*"&amp;L31&amp;"*",'V11'!B$300:B$400,0)),"  ")</f>
        <v>8</v>
      </c>
      <c r="AK31" s="223" t="str">
        <f>IFERROR(INDEX('V12'!C$300:C$400,MATCH("*"&amp;L31&amp;"*",'V12'!B$300:B$400,0)),"  ")</f>
        <v xml:space="preserve">  </v>
      </c>
      <c r="AL31" s="223" t="str">
        <f>IFERROR(INDEX('V13'!C$300:C$400,MATCH("*"&amp;L31&amp;"*",'V13'!B$300:B$400,0)),"  ")</f>
        <v xml:space="preserve">  </v>
      </c>
      <c r="AM31" s="223"/>
      <c r="AN31" s="223"/>
      <c r="AO31" s="224">
        <f t="shared" si="17"/>
        <v>25</v>
      </c>
      <c r="AP31" s="627">
        <f t="shared" si="18"/>
        <v>90</v>
      </c>
      <c r="AQ31" s="225" t="str">
        <f t="shared" si="19"/>
        <v>edasi 25</v>
      </c>
      <c r="AR31" s="226" t="str">
        <f>IFERROR(INDEX(#REF!,MATCH("*"&amp;L31&amp;"*",#REF!,0)),"  ")</f>
        <v xml:space="preserve">  </v>
      </c>
      <c r="AS31" s="227">
        <f t="shared" si="20"/>
        <v>7</v>
      </c>
      <c r="AT31" s="228">
        <f t="shared" si="21"/>
        <v>2</v>
      </c>
      <c r="AU31" s="228">
        <f t="shared" si="22"/>
        <v>1</v>
      </c>
      <c r="AV31" s="233"/>
      <c r="AW31" s="229">
        <f t="shared" si="23"/>
        <v>6.9999999999999999E-4</v>
      </c>
      <c r="AX31" s="230">
        <f t="shared" si="24"/>
        <v>13.0001</v>
      </c>
      <c r="AY31" s="230">
        <f t="shared" si="25"/>
        <v>15.0002</v>
      </c>
      <c r="AZ31" s="230">
        <f t="shared" si="26"/>
        <v>2.9999999999999997E-4</v>
      </c>
      <c r="BA31" s="230">
        <f t="shared" si="27"/>
        <v>4.0000000000000002E-4</v>
      </c>
      <c r="BB31" s="230">
        <f t="shared" si="28"/>
        <v>5.0004999999999997</v>
      </c>
      <c r="BC31" s="230">
        <f t="shared" si="29"/>
        <v>18.000599999999999</v>
      </c>
      <c r="BD31" s="230">
        <f t="shared" si="30"/>
        <v>6.9999999999999999E-4</v>
      </c>
      <c r="BE31" s="230">
        <f t="shared" si="31"/>
        <v>8.0000000000000004E-4</v>
      </c>
      <c r="BF31" s="230">
        <f t="shared" si="32"/>
        <v>20.000900000000001</v>
      </c>
      <c r="BG31" s="230">
        <f t="shared" si="33"/>
        <v>11.000999999999999</v>
      </c>
      <c r="BH31" s="230">
        <f t="shared" si="34"/>
        <v>8.0010999999999992</v>
      </c>
      <c r="BI31" s="230">
        <f t="shared" si="35"/>
        <v>1.1999999999999999E-3</v>
      </c>
      <c r="BJ31" s="230">
        <f t="shared" si="36"/>
        <v>1.2999999999999999E-3</v>
      </c>
      <c r="BK31" s="156"/>
    </row>
    <row r="32" spans="1:63" x14ac:dyDescent="0.2">
      <c r="A32" s="208">
        <f t="shared" si="0"/>
        <v>19</v>
      </c>
      <c r="B32" s="209">
        <f t="shared" si="1"/>
        <v>26</v>
      </c>
      <c r="C32" s="736">
        <f t="shared" si="2"/>
        <v>10</v>
      </c>
      <c r="D32" s="565">
        <f t="shared" si="3"/>
        <v>26</v>
      </c>
      <c r="E32" s="210">
        <f t="shared" si="4"/>
        <v>24</v>
      </c>
      <c r="F32" s="209">
        <f t="shared" si="5"/>
        <v>26</v>
      </c>
      <c r="G32" s="211" t="str">
        <f t="shared" si="6"/>
        <v/>
      </c>
      <c r="H32" s="209">
        <f t="shared" si="7"/>
        <v>-974</v>
      </c>
      <c r="I32" s="212">
        <f t="shared" si="8"/>
        <v>2</v>
      </c>
      <c r="J32" s="213">
        <f t="shared" si="9"/>
        <v>26</v>
      </c>
      <c r="K32" s="178">
        <f t="shared" si="10"/>
        <v>26</v>
      </c>
      <c r="L32" s="214" t="s">
        <v>141</v>
      </c>
      <c r="M32" s="215"/>
      <c r="N32" s="216" t="str">
        <f t="shared" si="37"/>
        <v>m</v>
      </c>
      <c r="O32" s="217" t="s">
        <v>142</v>
      </c>
      <c r="P32" s="218" t="s">
        <v>478</v>
      </c>
      <c r="Q32" s="219" t="s">
        <v>124</v>
      </c>
      <c r="R32" s="220">
        <f t="array" ref="R32">(IF(COUNT(Z32,AA32,AB32,AC32,AD32,AE32,AF32,AG32,AH32,AI32,AJ32,AK32,AL32,AM32,AN32)&lt;11,SUM(Z32,AA32,AB32,AC32,AD32,AE32,AF32,AG32,AH32,AI32,AJ32,AK32,AL32,AM32,AN32),SUM(LARGE((Z32,AA32,AB32,AC32,AD32,AE32,AF32,AG32,AH32,AI32,AJ32,AK32,AL32,AM32,AN32),{1;2;3;4;5;6;7;8;9;10}))))</f>
        <v>90</v>
      </c>
      <c r="S32" s="221" t="str">
        <f>INDEX(ETAPP!B$1:B$32,MATCH(COUNTIF(Z32:AN32,PVO!A$1),ETAPP!A$1:A$32,0))&amp;INDEX(ETAPP!B$1:B$32,MATCH(COUNTIF(Z32:AN32,PVO!A$2),ETAPP!A$1:A$32,0))&amp;INDEX(ETAPP!B$1:B$32,MATCH(COUNTIF(Z32:AN32,PVO!A$3),ETAPP!A$1:A$32,0))&amp;INDEX(ETAPP!B$1:B$32,MATCH(COUNTIF(Z32:AN32,PVO!A$4),ETAPP!A$1:A$32,0))&amp;INDEX(ETAPP!B$1:B$32,MATCH(COUNTIF(Z32:AN32,PVO!A$5),ETAPP!A$1:A$32,0))&amp;INDEX(ETAPP!B$1:B$32,MATCH(COUNTIF(Z32:AN32,PVO!A$6),ETAPP!A$1:A$32,0))&amp;INDEX(ETAPP!B$1:B$32,MATCH(COUNTIF(Z32:AN32,PVO!A$7),ETAPP!A$1:A$32,0))&amp;INDEX(ETAPP!B$1:B$32,MATCH(COUNTIF(Z32:AN32,PVO!A$8),ETAPP!A$1:A$32,0))&amp;INDEX(ETAPP!B$1:B$32,MATCH(COUNTIF(Z32:AN32,PVO!A$9),ETAPP!A$1:A$32,0))&amp;INDEX(ETAPP!B$1:B$32,MATCH(COUNTIF(Z32:AN32,PVO!A$10),ETAPP!A$1:A$32,0))&amp;INDEX(ETAPP!B$1:B$32,MATCH(COUNTIF(Z32:AN32,PVO!A$11),ETAPP!A$1:A$32,0))&amp;INDEX(ETAPP!B$1:B$32,MATCH(COUNTIF(Z32:AN32,PVO!A$12),ETAPP!A$1:A$32,0))&amp;INDEX(ETAPP!B$1:B$32,MATCH(COUNTIF(Z32:AN32,PVO!A$13),ETAPP!A$1:A$32,0))&amp;INDEX(ETAPP!B$1:B$32,MATCH(COUNTIF(Z32:AN32,PVO!A$14),ETAPP!A$1:A$32,0))&amp;INDEX(ETAPP!B$1:B$32,MATCH(COUNTIF(Z32:AN32,PVO!A$15),ETAPP!A$1:A$32,0))&amp;INDEX(ETAPP!B$1:B$32,MATCH(COUNTIF(Z32:AN32,PVO!A$16),ETAPP!A$1:A$32,0))&amp;INDEX(ETAPP!B$1:B$32,MATCH(COUNTIF(Z32:AN32,PVO!A$17),ETAPP!A$1:A$32,0))&amp;INDEX(ETAPP!B$1:B$32,MATCH(COUNTIF(Z32:AN32,PVO!A$18),ETAPP!A$1:A$32,0))&amp;INDEX(ETAPP!B$1:B$32,MATCH(COUNTIF(Z32:AN32,PVO!A$19),ETAPP!A$1:A$32,0))&amp;INDEX(ETAPP!B$1:B$32,MATCH(COUNTIF(Z32:AN32,PVO!A$20),ETAPP!A$1:A$32,0))&amp;INDEX(ETAPP!B$1:B$32,MATCH(COUNTIF(Z32:AN32,PVO!A$21),ETAPP!A$1:A$32,0))</f>
        <v>000A0BA000BA000000000</v>
      </c>
      <c r="T32" s="221" t="str">
        <f t="shared" si="11"/>
        <v>090,0-000A0BA000BA000000000</v>
      </c>
      <c r="U32" s="221">
        <f t="shared" si="12"/>
        <v>26</v>
      </c>
      <c r="V32" s="221">
        <f t="shared" si="13"/>
        <v>52</v>
      </c>
      <c r="W32" s="221" t="str">
        <f t="shared" si="14"/>
        <v>090,0-000A0BA000BA000000000-052</v>
      </c>
      <c r="X32" s="221">
        <f t="shared" si="15"/>
        <v>26</v>
      </c>
      <c r="Y32" s="222">
        <f t="shared" si="16"/>
        <v>42</v>
      </c>
      <c r="Z32" s="223">
        <f>IFERROR(INDEX('V1'!C$300:C$400,MATCH("*"&amp;L32&amp;"*",'V1'!B$300:B$400,0)),"  ")</f>
        <v>14</v>
      </c>
      <c r="AA32" s="223">
        <f>IFERROR(INDEX('V2'!C$300:C$400,MATCH("*"&amp;L32&amp;"*",'V2'!B$300:B$400,0)),"  ")</f>
        <v>10</v>
      </c>
      <c r="AB32" s="223" t="str">
        <f>IFERROR(INDEX('V3'!C$300:C$400,MATCH("*"&amp;L32&amp;"*",'V3'!B$300:B$400,0)),"  ")</f>
        <v xml:space="preserve">  </v>
      </c>
      <c r="AC32" s="223" t="str">
        <f>IFERROR(INDEX('V4'!C$300:C$400,MATCH("*"&amp;L32&amp;"*",'V4'!B$300:B$400,0)),"  ")</f>
        <v xml:space="preserve">  </v>
      </c>
      <c r="AD32" s="223" t="str">
        <f>IFERROR(INDEX('V5'!C$300:C$400,MATCH("*"&amp;L32&amp;"*",'V5'!B$300:B$400,0)),"  ")</f>
        <v xml:space="preserve">  </v>
      </c>
      <c r="AE32" s="223" t="str">
        <f>IFERROR(INDEX('V6'!C$300:C$400,MATCH("*"&amp;L32&amp;"*",'V6'!B$300:B$400,0)),"  ")</f>
        <v xml:space="preserve">  </v>
      </c>
      <c r="AF32" s="223" t="str">
        <f>IFERROR(INDEX('V7'!C$300:C$400,MATCH("*"&amp;L32&amp;"*",'V7'!B$300:B$400,0)),"  ")</f>
        <v xml:space="preserve">  </v>
      </c>
      <c r="AG32" s="223">
        <f>IFERROR(INDEX('V8'!C$300:C$400,MATCH("*"&amp;L32&amp;"*",'V8'!B$300:B$400,0)),"  ")</f>
        <v>10</v>
      </c>
      <c r="AH32" s="223" t="str">
        <f>IFERROR(INDEX('V9'!C$300:C$400,MATCH("*"&amp;L32&amp;"*",'V9'!B$300:B$400,0)),"  ")</f>
        <v xml:space="preserve">  </v>
      </c>
      <c r="AI32" s="223">
        <f>IFERROR(INDEX('V10'!C$300:C$400,MATCH("*"&amp;L32&amp;"*",'V10'!B$300:B$400,0)),"  ")</f>
        <v>15</v>
      </c>
      <c r="AJ32" s="223">
        <f>IFERROR(INDEX('V11'!C$300:C$400,MATCH("*"&amp;L32&amp;"*",'V11'!B$300:B$400,0)),"  ")</f>
        <v>9</v>
      </c>
      <c r="AK32" s="223">
        <f>IFERROR(INDEX('V12'!C$300:C$400,MATCH("*"&amp;L32&amp;"*",'V12'!B$300:B$400,0)),"  ")</f>
        <v>15</v>
      </c>
      <c r="AL32" s="223">
        <f>IFERROR(INDEX('V13'!C$300:C$400,MATCH("*"&amp;L32&amp;"*",'V13'!B$300:B$400,0)),"  ")</f>
        <v>17</v>
      </c>
      <c r="AM32" s="223"/>
      <c r="AN32" s="223"/>
      <c r="AO32" s="224">
        <f t="shared" si="17"/>
        <v>26</v>
      </c>
      <c r="AP32" s="627">
        <f t="shared" si="18"/>
        <v>90</v>
      </c>
      <c r="AQ32" s="225" t="str">
        <f t="shared" si="19"/>
        <v>edasi 26</v>
      </c>
      <c r="AR32" s="226" t="str">
        <f>IFERROR(INDEX(#REF!,MATCH("*"&amp;L32&amp;"*",#REF!,0)),"  ")</f>
        <v xml:space="preserve">  </v>
      </c>
      <c r="AS32" s="227">
        <f t="shared" si="20"/>
        <v>7</v>
      </c>
      <c r="AT32" s="228">
        <f t="shared" si="21"/>
        <v>0</v>
      </c>
      <c r="AU32" s="228">
        <f t="shared" si="22"/>
        <v>0</v>
      </c>
      <c r="AV32" s="156"/>
      <c r="AW32" s="229">
        <f t="shared" si="23"/>
        <v>5.0000000000000001E-4</v>
      </c>
      <c r="AX32" s="230">
        <f t="shared" si="24"/>
        <v>14.0001</v>
      </c>
      <c r="AY32" s="230">
        <f t="shared" si="25"/>
        <v>10.0002</v>
      </c>
      <c r="AZ32" s="230">
        <f t="shared" si="26"/>
        <v>2.9999999999999997E-4</v>
      </c>
      <c r="BA32" s="230">
        <f t="shared" si="27"/>
        <v>4.0000000000000002E-4</v>
      </c>
      <c r="BB32" s="230">
        <f t="shared" si="28"/>
        <v>5.0000000000000001E-4</v>
      </c>
      <c r="BC32" s="230">
        <f t="shared" si="29"/>
        <v>5.9999999999999995E-4</v>
      </c>
      <c r="BD32" s="230">
        <f t="shared" si="30"/>
        <v>6.9999999999999999E-4</v>
      </c>
      <c r="BE32" s="230">
        <f t="shared" si="31"/>
        <v>10.0008</v>
      </c>
      <c r="BF32" s="230">
        <f t="shared" si="32"/>
        <v>8.9999999999999998E-4</v>
      </c>
      <c r="BG32" s="230">
        <f t="shared" si="33"/>
        <v>15.000999999999999</v>
      </c>
      <c r="BH32" s="230">
        <f t="shared" si="34"/>
        <v>9.0010999999999992</v>
      </c>
      <c r="BI32" s="230">
        <f t="shared" si="35"/>
        <v>15.001200000000001</v>
      </c>
      <c r="BJ32" s="230">
        <f t="shared" si="36"/>
        <v>17.001300000000001</v>
      </c>
      <c r="BK32" s="156"/>
    </row>
    <row r="33" spans="1:63" x14ac:dyDescent="0.2">
      <c r="A33" s="208" t="str">
        <f t="shared" si="0"/>
        <v/>
      </c>
      <c r="B33" s="209">
        <f t="shared" si="1"/>
        <v>-973</v>
      </c>
      <c r="C33" s="736">
        <f t="shared" si="2"/>
        <v>11</v>
      </c>
      <c r="D33" s="565">
        <f t="shared" si="3"/>
        <v>27</v>
      </c>
      <c r="E33" s="210">
        <f t="shared" si="4"/>
        <v>25</v>
      </c>
      <c r="F33" s="209">
        <f t="shared" si="5"/>
        <v>27</v>
      </c>
      <c r="G33" s="211" t="str">
        <f t="shared" si="6"/>
        <v/>
      </c>
      <c r="H33" s="209">
        <f t="shared" si="7"/>
        <v>-973</v>
      </c>
      <c r="I33" s="212" t="str">
        <f t="shared" si="8"/>
        <v/>
      </c>
      <c r="J33" s="213">
        <f t="shared" si="9"/>
        <v>-973</v>
      </c>
      <c r="K33" s="178">
        <f t="shared" si="10"/>
        <v>27</v>
      </c>
      <c r="L33" s="234" t="s">
        <v>125</v>
      </c>
      <c r="M33" s="215"/>
      <c r="N33" s="216" t="str">
        <f t="shared" si="37"/>
        <v>m</v>
      </c>
      <c r="O33" s="217"/>
      <c r="P33" s="218" t="s">
        <v>478</v>
      </c>
      <c r="Q33" s="219"/>
      <c r="R33" s="220">
        <f t="array" ref="R33">(IF(COUNT(Z33,AA33,AB33,AC33,AD33,AE33,AF33,AG33,AH33,AI33,AJ33,AK33,AL33,AM33,AN33)&lt;11,SUM(Z33,AA33,AB33,AC33,AD33,AE33,AF33,AG33,AH33,AI33,AJ33,AK33,AL33,AM33,AN33),SUM(LARGE((Z33,AA33,AB33,AC33,AD33,AE33,AF33,AG33,AH33,AI33,AJ33,AK33,AL33,AM33,AN33),{1;2;3;4;5;6;7;8;9;10}))))</f>
        <v>86</v>
      </c>
      <c r="S33" s="221" t="str">
        <f>INDEX(ETAPP!B$1:B$32,MATCH(COUNTIF(Z33:AN33,PVO!A$1),ETAPP!A$1:A$32,0))&amp;INDEX(ETAPP!B$1:B$32,MATCH(COUNTIF(Z33:AN33,PVO!A$2),ETAPP!A$1:A$32,0))&amp;INDEX(ETAPP!B$1:B$32,MATCH(COUNTIF(Z33:AN33,PVO!A$3),ETAPP!A$1:A$32,0))&amp;INDEX(ETAPP!B$1:B$32,MATCH(COUNTIF(Z33:AN33,PVO!A$4),ETAPP!A$1:A$32,0))&amp;INDEX(ETAPP!B$1:B$32,MATCH(COUNTIF(Z33:AN33,PVO!A$5),ETAPP!A$1:A$32,0))&amp;INDEX(ETAPP!B$1:B$32,MATCH(COUNTIF(Z33:AN33,PVO!A$6),ETAPP!A$1:A$32,0))&amp;INDEX(ETAPP!B$1:B$32,MATCH(COUNTIF(Z33:AN33,PVO!A$7),ETAPP!A$1:A$32,0))&amp;INDEX(ETAPP!B$1:B$32,MATCH(COUNTIF(Z33:AN33,PVO!A$8),ETAPP!A$1:A$32,0))&amp;INDEX(ETAPP!B$1:B$32,MATCH(COUNTIF(Z33:AN33,PVO!A$9),ETAPP!A$1:A$32,0))&amp;INDEX(ETAPP!B$1:B$32,MATCH(COUNTIF(Z33:AN33,PVO!A$10),ETAPP!A$1:A$32,0))&amp;INDEX(ETAPP!B$1:B$32,MATCH(COUNTIF(Z33:AN33,PVO!A$11),ETAPP!A$1:A$32,0))&amp;INDEX(ETAPP!B$1:B$32,MATCH(COUNTIF(Z33:AN33,PVO!A$12),ETAPP!A$1:A$32,0))&amp;INDEX(ETAPP!B$1:B$32,MATCH(COUNTIF(Z33:AN33,PVO!A$13),ETAPP!A$1:A$32,0))&amp;INDEX(ETAPP!B$1:B$32,MATCH(COUNTIF(Z33:AN33,PVO!A$14),ETAPP!A$1:A$32,0))&amp;INDEX(ETAPP!B$1:B$32,MATCH(COUNTIF(Z33:AN33,PVO!A$15),ETAPP!A$1:A$32,0))&amp;INDEX(ETAPP!B$1:B$32,MATCH(COUNTIF(Z33:AN33,PVO!A$16),ETAPP!A$1:A$32,0))&amp;INDEX(ETAPP!B$1:B$32,MATCH(COUNTIF(Z33:AN33,PVO!A$17),ETAPP!A$1:A$32,0))&amp;INDEX(ETAPP!B$1:B$32,MATCH(COUNTIF(Z33:AN33,PVO!A$18),ETAPP!A$1:A$32,0))&amp;INDEX(ETAPP!B$1:B$32,MATCH(COUNTIF(Z33:AN33,PVO!A$19),ETAPP!A$1:A$32,0))&amp;INDEX(ETAPP!B$1:B$32,MATCH(COUNTIF(Z33:AN33,PVO!A$20),ETAPP!A$1:A$32,0))&amp;INDEX(ETAPP!B$1:B$32,MATCH(COUNTIF(Z33:AN33,PVO!A$21),ETAPP!A$1:A$32,0))</f>
        <v>000000BBA0B0000000000</v>
      </c>
      <c r="T33" s="221" t="str">
        <f t="shared" si="11"/>
        <v>086,0-000000BBA0B0000000000</v>
      </c>
      <c r="U33" s="221">
        <f t="shared" si="12"/>
        <v>27</v>
      </c>
      <c r="V33" s="221">
        <f t="shared" si="13"/>
        <v>28</v>
      </c>
      <c r="W33" s="221" t="str">
        <f t="shared" si="14"/>
        <v>086,0-000000BBA0B0000000000-028</v>
      </c>
      <c r="X33" s="221">
        <f t="shared" si="15"/>
        <v>27</v>
      </c>
      <c r="Y33" s="222">
        <f t="shared" si="16"/>
        <v>41</v>
      </c>
      <c r="Z33" s="223">
        <f>IFERROR(INDEX('V1'!C$300:C$400,MATCH("*"&amp;L33&amp;"*",'V1'!B$300:B$400,0)),"  ")</f>
        <v>14</v>
      </c>
      <c r="AA33" s="223">
        <f>IFERROR(INDEX('V2'!C$300:C$400,MATCH("*"&amp;L33&amp;"*",'V2'!B$300:B$400,0)),"  ")</f>
        <v>10</v>
      </c>
      <c r="AB33" s="223">
        <f>IFERROR(INDEX('V3'!C$300:C$400,MATCH("*"&amp;L33&amp;"*",'V3'!B$300:B$400,0)),"  ")</f>
        <v>13</v>
      </c>
      <c r="AC33" s="223">
        <f>IFERROR(INDEX('V4'!C$300:C$400,MATCH("*"&amp;L33&amp;"*",'V4'!B$300:B$400,0)),"  ")</f>
        <v>12</v>
      </c>
      <c r="AD33" s="223">
        <f>IFERROR(INDEX('V5'!C$300:C$400,MATCH("*"&amp;L33&amp;"*",'V5'!B$300:B$400,0)),"  ")</f>
        <v>14</v>
      </c>
      <c r="AE33" s="223">
        <f>IFERROR(INDEX('V6'!C$300:C$400,MATCH("*"&amp;L33&amp;"*",'V6'!B$300:B$400,0)),"  ")</f>
        <v>13</v>
      </c>
      <c r="AF33" s="223" t="str">
        <f>IFERROR(INDEX('V7'!C$300:C$400,MATCH("*"&amp;L33&amp;"*",'V7'!B$300:B$400,0)),"  ")</f>
        <v xml:space="preserve">  </v>
      </c>
      <c r="AG33" s="223">
        <f>IFERROR(INDEX('V8'!C$300:C$400,MATCH("*"&amp;L33&amp;"*",'V8'!B$300:B$400,0)),"  ")</f>
        <v>10</v>
      </c>
      <c r="AH33" s="223" t="str">
        <f>IFERROR(INDEX('V9'!C$300:C$400,MATCH("*"&amp;L33&amp;"*",'V9'!B$300:B$400,0)),"  ")</f>
        <v xml:space="preserve">  </v>
      </c>
      <c r="AI33" s="223" t="str">
        <f>IFERROR(INDEX('V10'!C$300:C$400,MATCH("*"&amp;L33&amp;"*",'V10'!B$300:B$400,0)),"  ")</f>
        <v xml:space="preserve">  </v>
      </c>
      <c r="AJ33" s="223" t="str">
        <f>IFERROR(INDEX('V11'!C$300:C$400,MATCH("*"&amp;L33&amp;"*",'V11'!B$300:B$400,0)),"  ")</f>
        <v xml:space="preserve">  </v>
      </c>
      <c r="AK33" s="223" t="str">
        <f>IFERROR(INDEX('V12'!C$300:C$400,MATCH("*"&amp;L33&amp;"*",'V12'!B$300:B$400,0)),"  ")</f>
        <v xml:space="preserve">  </v>
      </c>
      <c r="AL33" s="223" t="str">
        <f>IFERROR(INDEX('V13'!C$300:C$400,MATCH("*"&amp;L33&amp;"*",'V13'!B$300:B$400,0)),"  ")</f>
        <v xml:space="preserve">  </v>
      </c>
      <c r="AM33" s="223"/>
      <c r="AN33" s="223"/>
      <c r="AO33" s="224">
        <f t="shared" si="17"/>
        <v>27</v>
      </c>
      <c r="AP33" s="627">
        <f t="shared" si="18"/>
        <v>86</v>
      </c>
      <c r="AQ33" s="225" t="str">
        <f t="shared" si="19"/>
        <v>edasi 27</v>
      </c>
      <c r="AR33" s="226" t="str">
        <f>IFERROR(INDEX(#REF!,MATCH("*"&amp;L33&amp;"*",#REF!,0)),"  ")</f>
        <v xml:space="preserve">  </v>
      </c>
      <c r="AS33" s="227">
        <f t="shared" si="20"/>
        <v>7</v>
      </c>
      <c r="AT33" s="228">
        <f t="shared" si="21"/>
        <v>0</v>
      </c>
      <c r="AU33" s="228">
        <f t="shared" si="22"/>
        <v>0</v>
      </c>
      <c r="AV33" s="156"/>
      <c r="AW33" s="229">
        <f t="shared" si="23"/>
        <v>1E-3</v>
      </c>
      <c r="AX33" s="230">
        <f t="shared" si="24"/>
        <v>14.0001</v>
      </c>
      <c r="AY33" s="230">
        <f t="shared" si="25"/>
        <v>10.0002</v>
      </c>
      <c r="AZ33" s="230">
        <f t="shared" si="26"/>
        <v>13.000299999999999</v>
      </c>
      <c r="BA33" s="230">
        <f t="shared" si="27"/>
        <v>12.000400000000001</v>
      </c>
      <c r="BB33" s="230">
        <f t="shared" si="28"/>
        <v>14.000500000000001</v>
      </c>
      <c r="BC33" s="230">
        <f t="shared" si="29"/>
        <v>13.0006</v>
      </c>
      <c r="BD33" s="230">
        <f t="shared" si="30"/>
        <v>6.9999999999999999E-4</v>
      </c>
      <c r="BE33" s="230">
        <f t="shared" si="31"/>
        <v>10.0008</v>
      </c>
      <c r="BF33" s="230">
        <f t="shared" si="32"/>
        <v>8.9999999999999998E-4</v>
      </c>
      <c r="BG33" s="230">
        <f t="shared" si="33"/>
        <v>1E-3</v>
      </c>
      <c r="BH33" s="230">
        <f t="shared" si="34"/>
        <v>1.1000000000000001E-3</v>
      </c>
      <c r="BI33" s="230">
        <f t="shared" si="35"/>
        <v>1.1999999999999999E-3</v>
      </c>
      <c r="BJ33" s="230">
        <f t="shared" si="36"/>
        <v>1.2999999999999999E-3</v>
      </c>
      <c r="BK33" s="156"/>
    </row>
    <row r="34" spans="1:63" x14ac:dyDescent="0.2">
      <c r="A34" s="208" t="str">
        <f t="shared" si="0"/>
        <v/>
      </c>
      <c r="B34" s="209">
        <f t="shared" si="1"/>
        <v>-972</v>
      </c>
      <c r="C34" s="736" t="str">
        <f t="shared" si="2"/>
        <v/>
      </c>
      <c r="D34" s="565">
        <f t="shared" si="3"/>
        <v>-972</v>
      </c>
      <c r="E34" s="210">
        <f t="shared" si="4"/>
        <v>26</v>
      </c>
      <c r="F34" s="209">
        <f t="shared" si="5"/>
        <v>28</v>
      </c>
      <c r="G34" s="211" t="str">
        <f t="shared" si="6"/>
        <v/>
      </c>
      <c r="H34" s="209">
        <f t="shared" si="7"/>
        <v>-972</v>
      </c>
      <c r="I34" s="212" t="str">
        <f t="shared" si="8"/>
        <v/>
      </c>
      <c r="J34" s="213">
        <f t="shared" si="9"/>
        <v>-972</v>
      </c>
      <c r="K34" s="178">
        <f t="shared" si="10"/>
        <v>28</v>
      </c>
      <c r="L34" s="242" t="s">
        <v>163</v>
      </c>
      <c r="M34" s="215"/>
      <c r="N34" s="216" t="str">
        <f t="shared" si="37"/>
        <v>m</v>
      </c>
      <c r="O34" s="217"/>
      <c r="P34" s="218"/>
      <c r="Q34" s="219"/>
      <c r="R34" s="220">
        <f t="array" ref="R34">(IF(COUNT(Z34,AA34,AB34,AC34,AD34,AE34,AF34,AG34,AH34,AI34,AJ34,AK34,AL34,AM34,AN34)&lt;11,SUM(Z34,AA34,AB34,AC34,AD34,AE34,AF34,AG34,AH34,AI34,AJ34,AK34,AL34,AM34,AN34),SUM(LARGE((Z34,AA34,AB34,AC34,AD34,AE34,AF34,AG34,AH34,AI34,AJ34,AK34,AL34,AM34,AN34),{1;2;3;4;5;6;7;8;9;10}))))</f>
        <v>84</v>
      </c>
      <c r="S34" s="221" t="str">
        <f>INDEX(ETAPP!B$1:B$32,MATCH(COUNTIF(Z34:AN34,PVO!A$1),ETAPP!A$1:A$32,0))&amp;INDEX(ETAPP!B$1:B$32,MATCH(COUNTIF(Z34:AN34,PVO!A$2),ETAPP!A$1:A$32,0))&amp;INDEX(ETAPP!B$1:B$32,MATCH(COUNTIF(Z34:AN34,PVO!A$3),ETAPP!A$1:A$32,0))&amp;INDEX(ETAPP!B$1:B$32,MATCH(COUNTIF(Z34:AN34,PVO!A$4),ETAPP!A$1:A$32,0))&amp;INDEX(ETAPP!B$1:B$32,MATCH(COUNTIF(Z34:AN34,PVO!A$5),ETAPP!A$1:A$32,0))&amp;INDEX(ETAPP!B$1:B$32,MATCH(COUNTIF(Z34:AN34,PVO!A$6),ETAPP!A$1:A$32,0))&amp;INDEX(ETAPP!B$1:B$32,MATCH(COUNTIF(Z34:AN34,PVO!A$7),ETAPP!A$1:A$32,0))&amp;INDEX(ETAPP!B$1:B$32,MATCH(COUNTIF(Z34:AN34,PVO!A$8),ETAPP!A$1:A$32,0))&amp;INDEX(ETAPP!B$1:B$32,MATCH(COUNTIF(Z34:AN34,PVO!A$9),ETAPP!A$1:A$32,0))&amp;INDEX(ETAPP!B$1:B$32,MATCH(COUNTIF(Z34:AN34,PVO!A$10),ETAPP!A$1:A$32,0))&amp;INDEX(ETAPP!B$1:B$32,MATCH(COUNTIF(Z34:AN34,PVO!A$11),ETAPP!A$1:A$32,0))&amp;INDEX(ETAPP!B$1:B$32,MATCH(COUNTIF(Z34:AN34,PVO!A$12),ETAPP!A$1:A$32,0))&amp;INDEX(ETAPP!B$1:B$32,MATCH(COUNTIF(Z34:AN34,PVO!A$13),ETAPP!A$1:A$32,0))&amp;INDEX(ETAPP!B$1:B$32,MATCH(COUNTIF(Z34:AN34,PVO!A$14),ETAPP!A$1:A$32,0))&amp;INDEX(ETAPP!B$1:B$32,MATCH(COUNTIF(Z34:AN34,PVO!A$15),ETAPP!A$1:A$32,0))&amp;INDEX(ETAPP!B$1:B$32,MATCH(COUNTIF(Z34:AN34,PVO!A$16),ETAPP!A$1:A$32,0))&amp;INDEX(ETAPP!B$1:B$32,MATCH(COUNTIF(Z34:AN34,PVO!A$17),ETAPP!A$1:A$32,0))&amp;INDEX(ETAPP!B$1:B$32,MATCH(COUNTIF(Z34:AN34,PVO!A$18),ETAPP!A$1:A$32,0))&amp;INDEX(ETAPP!B$1:B$32,MATCH(COUNTIF(Z34:AN34,PVO!A$19),ETAPP!A$1:A$32,0))&amp;INDEX(ETAPP!B$1:B$32,MATCH(COUNTIF(Z34:AN34,PVO!A$20),ETAPP!A$1:A$32,0))&amp;INDEX(ETAPP!B$1:B$32,MATCH(COUNTIF(Z34:AN34,PVO!A$21),ETAPP!A$1:A$32,0))</f>
        <v>A0A00A0B0000000A00000</v>
      </c>
      <c r="T34" s="221" t="str">
        <f t="shared" si="11"/>
        <v>084,0-A0A00A0B0000000A00000</v>
      </c>
      <c r="U34" s="221">
        <f t="shared" si="12"/>
        <v>28</v>
      </c>
      <c r="V34" s="221">
        <f t="shared" si="13"/>
        <v>67</v>
      </c>
      <c r="W34" s="221" t="str">
        <f t="shared" si="14"/>
        <v>084,0-A0A00A0B0000000A00000-067</v>
      </c>
      <c r="X34" s="221">
        <f t="shared" si="15"/>
        <v>28</v>
      </c>
      <c r="Y34" s="222">
        <f t="shared" si="16"/>
        <v>40</v>
      </c>
      <c r="Z34" s="223">
        <f>IFERROR(INDEX('V1'!C$300:C$400,MATCH("*"&amp;L34&amp;"*",'V1'!B$300:B$400,0)),"  ")</f>
        <v>13</v>
      </c>
      <c r="AA34" s="223">
        <f>IFERROR(INDEX('V2'!C$300:C$400,MATCH("*"&amp;L34&amp;"*",'V2'!B$300:B$400,0)),"  ")</f>
        <v>15</v>
      </c>
      <c r="AB34" s="223" t="str">
        <f>IFERROR(INDEX('V3'!C$300:C$400,MATCH("*"&amp;L34&amp;"*",'V3'!B$300:B$400,0)),"  ")</f>
        <v xml:space="preserve">  </v>
      </c>
      <c r="AC34" s="223" t="str">
        <f>IFERROR(INDEX('V4'!C$300:C$400,MATCH("*"&amp;L34&amp;"*",'V4'!B$300:B$400,0)),"  ")</f>
        <v xml:space="preserve">  </v>
      </c>
      <c r="AD34" s="223">
        <f>IFERROR(INDEX('V5'!C$300:C$400,MATCH("*"&amp;L34&amp;"*",'V5'!B$300:B$400,0)),"  ")</f>
        <v>5</v>
      </c>
      <c r="AE34" s="223">
        <f>IFERROR(INDEX('V6'!C$300:C$400,MATCH("*"&amp;L34&amp;"*",'V6'!B$300:B$400,0)),"  ")</f>
        <v>18</v>
      </c>
      <c r="AF34" s="223" t="str">
        <f>IFERROR(INDEX('V7'!C$300:C$400,MATCH("*"&amp;L34&amp;"*",'V7'!B$300:B$400,0)),"  ")</f>
        <v xml:space="preserve">  </v>
      </c>
      <c r="AG34" s="223">
        <f>IFERROR(INDEX('V8'!C$300:C$400,MATCH("*"&amp;L34&amp;"*",'V8'!B$300:B$400,0)),"  ")</f>
        <v>13</v>
      </c>
      <c r="AH34" s="223">
        <f>IFERROR(INDEX('V9'!C$300:C$400,MATCH("*"&amp;L34&amp;"*",'V9'!B$300:B$400,0)),"  ")</f>
        <v>20</v>
      </c>
      <c r="AI34" s="223" t="str">
        <f>IFERROR(INDEX('V10'!C$300:C$400,MATCH("*"&amp;L34&amp;"*",'V10'!B$300:B$400,0)),"  ")</f>
        <v xml:space="preserve">  </v>
      </c>
      <c r="AJ34" s="223" t="str">
        <f>IFERROR(INDEX('V11'!C$300:C$400,MATCH("*"&amp;L34&amp;"*",'V11'!B$300:B$400,0)),"  ")</f>
        <v xml:space="preserve">  </v>
      </c>
      <c r="AK34" s="223" t="str">
        <f>IFERROR(INDEX('V12'!C$300:C$400,MATCH("*"&amp;L34&amp;"*",'V12'!B$300:B$400,0)),"  ")</f>
        <v xml:space="preserve">  </v>
      </c>
      <c r="AL34" s="223" t="str">
        <f>IFERROR(INDEX('V13'!C$300:C$400,MATCH("*"&amp;L34&amp;"*",'V13'!B$300:B$400,0)),"  ")</f>
        <v xml:space="preserve">  </v>
      </c>
      <c r="AM34" s="223"/>
      <c r="AN34" s="223"/>
      <c r="AO34" s="224">
        <f t="shared" si="17"/>
        <v>28</v>
      </c>
      <c r="AP34" s="627">
        <f t="shared" si="18"/>
        <v>84</v>
      </c>
      <c r="AQ34" s="225" t="str">
        <f t="shared" si="19"/>
        <v>edasi 28</v>
      </c>
      <c r="AR34" s="226" t="str">
        <f>IFERROR(INDEX(#REF!,MATCH("*"&amp;L34&amp;"*",#REF!,0)),"  ")</f>
        <v xml:space="preserve">  </v>
      </c>
      <c r="AS34" s="227">
        <f t="shared" si="20"/>
        <v>6</v>
      </c>
      <c r="AT34" s="228">
        <f t="shared" si="21"/>
        <v>2</v>
      </c>
      <c r="AU34" s="228">
        <f t="shared" si="22"/>
        <v>1</v>
      </c>
      <c r="AV34" s="156"/>
      <c r="AW34" s="229">
        <f t="shared" si="23"/>
        <v>6.9999999999999999E-4</v>
      </c>
      <c r="AX34" s="230">
        <f t="shared" si="24"/>
        <v>13.0001</v>
      </c>
      <c r="AY34" s="230">
        <f t="shared" si="25"/>
        <v>15.0002</v>
      </c>
      <c r="AZ34" s="230">
        <f t="shared" si="26"/>
        <v>2.9999999999999997E-4</v>
      </c>
      <c r="BA34" s="230">
        <f t="shared" si="27"/>
        <v>4.0000000000000002E-4</v>
      </c>
      <c r="BB34" s="230">
        <f t="shared" si="28"/>
        <v>5.0004999999999997</v>
      </c>
      <c r="BC34" s="230">
        <f t="shared" si="29"/>
        <v>18.000599999999999</v>
      </c>
      <c r="BD34" s="230">
        <f t="shared" si="30"/>
        <v>6.9999999999999999E-4</v>
      </c>
      <c r="BE34" s="230">
        <f t="shared" si="31"/>
        <v>13.0008</v>
      </c>
      <c r="BF34" s="230">
        <f t="shared" si="32"/>
        <v>20.000900000000001</v>
      </c>
      <c r="BG34" s="230">
        <f t="shared" si="33"/>
        <v>1E-3</v>
      </c>
      <c r="BH34" s="230">
        <f t="shared" si="34"/>
        <v>1.1000000000000001E-3</v>
      </c>
      <c r="BI34" s="230">
        <f t="shared" si="35"/>
        <v>1.1999999999999999E-3</v>
      </c>
      <c r="BJ34" s="230">
        <f t="shared" si="36"/>
        <v>1.2999999999999999E-3</v>
      </c>
      <c r="BK34" s="156"/>
    </row>
    <row r="35" spans="1:63" x14ac:dyDescent="0.2">
      <c r="A35" s="208">
        <f t="shared" si="0"/>
        <v>20</v>
      </c>
      <c r="B35" s="209">
        <f t="shared" si="1"/>
        <v>29</v>
      </c>
      <c r="C35" s="736">
        <f t="shared" si="2"/>
        <v>12</v>
      </c>
      <c r="D35" s="565">
        <f t="shared" si="3"/>
        <v>29</v>
      </c>
      <c r="E35" s="210">
        <f t="shared" si="4"/>
        <v>27</v>
      </c>
      <c r="F35" s="209">
        <f t="shared" si="5"/>
        <v>29</v>
      </c>
      <c r="G35" s="211" t="str">
        <f t="shared" si="6"/>
        <v/>
      </c>
      <c r="H35" s="209">
        <f t="shared" si="7"/>
        <v>-971</v>
      </c>
      <c r="I35" s="212" t="str">
        <f t="shared" si="8"/>
        <v/>
      </c>
      <c r="J35" s="213">
        <f t="shared" si="9"/>
        <v>-971</v>
      </c>
      <c r="K35" s="178">
        <f t="shared" si="10"/>
        <v>29</v>
      </c>
      <c r="L35" s="234" t="s">
        <v>136</v>
      </c>
      <c r="M35" s="215"/>
      <c r="N35" s="216" t="str">
        <f t="shared" si="37"/>
        <v>m</v>
      </c>
      <c r="O35" s="217"/>
      <c r="P35" s="218" t="s">
        <v>478</v>
      </c>
      <c r="Q35" s="219" t="s">
        <v>124</v>
      </c>
      <c r="R35" s="220">
        <f t="array" ref="R35">(IF(COUNT(Z35,AA35,AB35,AC35,AD35,AE35,AF35,AG35,AH35,AI35,AJ35,AK35,AL35,AM35,AN35)&lt;11,SUM(Z35,AA35,AB35,AC35,AD35,AE35,AF35,AG35,AH35,AI35,AJ35,AK35,AL35,AM35,AN35),SUM(LARGE((Z35,AA35,AB35,AC35,AD35,AE35,AF35,AG35,AH35,AI35,AJ35,AK35,AL35,AM35,AN35),{1;2;3;4;5;6;7;8;9;10}))))</f>
        <v>81</v>
      </c>
      <c r="S35" s="221" t="str">
        <f>INDEX(ETAPP!B$1:B$32,MATCH(COUNTIF(Z35:AN35,PVO!A$1),ETAPP!A$1:A$32,0))&amp;INDEX(ETAPP!B$1:B$32,MATCH(COUNTIF(Z35:AN35,PVO!A$2),ETAPP!A$1:A$32,0))&amp;INDEX(ETAPP!B$1:B$32,MATCH(COUNTIF(Z35:AN35,PVO!A$3),ETAPP!A$1:A$32,0))&amp;INDEX(ETAPP!B$1:B$32,MATCH(COUNTIF(Z35:AN35,PVO!A$4),ETAPP!A$1:A$32,0))&amp;INDEX(ETAPP!B$1:B$32,MATCH(COUNTIF(Z35:AN35,PVO!A$5),ETAPP!A$1:A$32,0))&amp;INDEX(ETAPP!B$1:B$32,MATCH(COUNTIF(Z35:AN35,PVO!A$6),ETAPP!A$1:A$32,0))&amp;INDEX(ETAPP!B$1:B$32,MATCH(COUNTIF(Z35:AN35,PVO!A$7),ETAPP!A$1:A$32,0))&amp;INDEX(ETAPP!B$1:B$32,MATCH(COUNTIF(Z35:AN35,PVO!A$8),ETAPP!A$1:A$32,0))&amp;INDEX(ETAPP!B$1:B$32,MATCH(COUNTIF(Z35:AN35,PVO!A$9),ETAPP!A$1:A$32,0))&amp;INDEX(ETAPP!B$1:B$32,MATCH(COUNTIF(Z35:AN35,PVO!A$10),ETAPP!A$1:A$32,0))&amp;INDEX(ETAPP!B$1:B$32,MATCH(COUNTIF(Z35:AN35,PVO!A$11),ETAPP!A$1:A$32,0))&amp;INDEX(ETAPP!B$1:B$32,MATCH(COUNTIF(Z35:AN35,PVO!A$12),ETAPP!A$1:A$32,0))&amp;INDEX(ETAPP!B$1:B$32,MATCH(COUNTIF(Z35:AN35,PVO!A$13),ETAPP!A$1:A$32,0))&amp;INDEX(ETAPP!B$1:B$32,MATCH(COUNTIF(Z35:AN35,PVO!A$14),ETAPP!A$1:A$32,0))&amp;INDEX(ETAPP!B$1:B$32,MATCH(COUNTIF(Z35:AN35,PVO!A$15),ETAPP!A$1:A$32,0))&amp;INDEX(ETAPP!B$1:B$32,MATCH(COUNTIF(Z35:AN35,PVO!A$16),ETAPP!A$1:A$32,0))&amp;INDEX(ETAPP!B$1:B$32,MATCH(COUNTIF(Z35:AN35,PVO!A$17),ETAPP!A$1:A$32,0))&amp;INDEX(ETAPP!B$1:B$32,MATCH(COUNTIF(Z35:AN35,PVO!A$18),ETAPP!A$1:A$32,0))&amp;INDEX(ETAPP!B$1:B$32,MATCH(COUNTIF(Z35:AN35,PVO!A$19),ETAPP!A$1:A$32,0))&amp;INDEX(ETAPP!B$1:B$32,MATCH(COUNTIF(Z35:AN35,PVO!A$20),ETAPP!A$1:A$32,0))&amp;INDEX(ETAPP!B$1:B$32,MATCH(COUNTIF(Z35:AN35,PVO!A$21),ETAPP!A$1:A$32,0))</f>
        <v>00000000AABABAA000000</v>
      </c>
      <c r="T35" s="221" t="str">
        <f t="shared" si="11"/>
        <v>081,0-00000000AABABAA000000</v>
      </c>
      <c r="U35" s="221">
        <f t="shared" si="12"/>
        <v>29</v>
      </c>
      <c r="V35" s="221">
        <f t="shared" si="13"/>
        <v>48</v>
      </c>
      <c r="W35" s="221" t="str">
        <f t="shared" si="14"/>
        <v>081,0-00000000AABABAA000000-048</v>
      </c>
      <c r="X35" s="221">
        <f t="shared" si="15"/>
        <v>29</v>
      </c>
      <c r="Y35" s="222">
        <f t="shared" si="16"/>
        <v>39</v>
      </c>
      <c r="Z35" s="223">
        <f>IFERROR(INDEX('V1'!C$300:C$400,MATCH("*"&amp;L35&amp;"*",'V1'!B$300:B$400,0)),"  ")</f>
        <v>10</v>
      </c>
      <c r="AA35" s="223">
        <f>IFERROR(INDEX('V2'!C$300:C$400,MATCH("*"&amp;L35&amp;"*",'V2'!B$300:B$400,0)),"  ")</f>
        <v>11</v>
      </c>
      <c r="AB35" s="223" t="str">
        <f>IFERROR(INDEX('V3'!C$300:C$400,MATCH("*"&amp;L35&amp;"*",'V3'!B$300:B$400,0)),"  ")</f>
        <v xml:space="preserve">  </v>
      </c>
      <c r="AC35" s="223" t="str">
        <f>IFERROR(INDEX('V4'!C$300:C$400,MATCH("*"&amp;L35&amp;"*",'V4'!B$300:B$400,0)),"  ")</f>
        <v xml:space="preserve">  </v>
      </c>
      <c r="AD35" s="223">
        <f>IFERROR(INDEX('V5'!C$300:C$400,MATCH("*"&amp;L35&amp;"*",'V5'!B$300:B$400,0)),"  ")</f>
        <v>8</v>
      </c>
      <c r="AE35" s="223">
        <f>IFERROR(INDEX('V6'!C$300:C$400,MATCH("*"&amp;L35&amp;"*",'V6'!B$300:B$400,0)),"  ")</f>
        <v>9</v>
      </c>
      <c r="AF35" s="223">
        <f>IFERROR(INDEX('V7'!C$300:C$400,MATCH("*"&amp;L35&amp;"*",'V7'!B$300:B$400,0)),"  ")</f>
        <v>10</v>
      </c>
      <c r="AG35" s="223">
        <f>IFERROR(INDEX('V8'!C$300:C$400,MATCH("*"&amp;L35&amp;"*",'V8'!B$300:B$400,0)),"  ")</f>
        <v>7</v>
      </c>
      <c r="AH35" s="223">
        <f>IFERROR(INDEX('V9'!C$300:C$400,MATCH("*"&amp;L35&amp;"*",'V9'!B$300:B$400,0)),"  ")</f>
        <v>6</v>
      </c>
      <c r="AI35" s="223" t="str">
        <f>IFERROR(INDEX('V10'!C$300:C$400,MATCH("*"&amp;L35&amp;"*",'V10'!B$300:B$400,0)),"  ")</f>
        <v xml:space="preserve">  </v>
      </c>
      <c r="AJ35" s="223" t="str">
        <f>IFERROR(INDEX('V11'!C$300:C$400,MATCH("*"&amp;L35&amp;"*",'V11'!B$300:B$400,0)),"  ")</f>
        <v xml:space="preserve">  </v>
      </c>
      <c r="AK35" s="223">
        <f>IFERROR(INDEX('V12'!C$300:C$400,MATCH("*"&amp;L35&amp;"*",'V12'!B$300:B$400,0)),"  ")</f>
        <v>8</v>
      </c>
      <c r="AL35" s="223">
        <f>IFERROR(INDEX('V13'!C$300:C$400,MATCH("*"&amp;L35&amp;"*",'V13'!B$300:B$400,0)),"  ")</f>
        <v>12</v>
      </c>
      <c r="AM35" s="223"/>
      <c r="AN35" s="223"/>
      <c r="AO35" s="224">
        <f t="shared" si="17"/>
        <v>29</v>
      </c>
      <c r="AP35" s="627">
        <f t="shared" si="18"/>
        <v>81</v>
      </c>
      <c r="AQ35" s="225" t="str">
        <f t="shared" si="19"/>
        <v>edasi 29</v>
      </c>
      <c r="AR35" s="226" t="str">
        <f>IFERROR(INDEX(#REF!,MATCH("*"&amp;L35&amp;"*",#REF!,0)),"  ")</f>
        <v xml:space="preserve">  </v>
      </c>
      <c r="AS35" s="227">
        <f t="shared" si="20"/>
        <v>9</v>
      </c>
      <c r="AT35" s="228">
        <f t="shared" si="21"/>
        <v>0</v>
      </c>
      <c r="AU35" s="228">
        <f t="shared" si="22"/>
        <v>0</v>
      </c>
      <c r="AV35" s="233"/>
      <c r="AW35" s="229">
        <f t="shared" si="23"/>
        <v>1E-3</v>
      </c>
      <c r="AX35" s="230">
        <f t="shared" si="24"/>
        <v>10.0001</v>
      </c>
      <c r="AY35" s="230">
        <f t="shared" si="25"/>
        <v>11.0002</v>
      </c>
      <c r="AZ35" s="230">
        <f t="shared" si="26"/>
        <v>2.9999999999999997E-4</v>
      </c>
      <c r="BA35" s="230">
        <f t="shared" si="27"/>
        <v>4.0000000000000002E-4</v>
      </c>
      <c r="BB35" s="230">
        <f t="shared" si="28"/>
        <v>8.0005000000000006</v>
      </c>
      <c r="BC35" s="230">
        <f t="shared" si="29"/>
        <v>9.0006000000000004</v>
      </c>
      <c r="BD35" s="230">
        <f t="shared" si="30"/>
        <v>10.0007</v>
      </c>
      <c r="BE35" s="230">
        <f t="shared" si="31"/>
        <v>7.0007999999999999</v>
      </c>
      <c r="BF35" s="230">
        <f t="shared" si="32"/>
        <v>6.0008999999999997</v>
      </c>
      <c r="BG35" s="230">
        <f t="shared" si="33"/>
        <v>1E-3</v>
      </c>
      <c r="BH35" s="230">
        <f t="shared" si="34"/>
        <v>1.1000000000000001E-3</v>
      </c>
      <c r="BI35" s="230">
        <f t="shared" si="35"/>
        <v>8.0012000000000008</v>
      </c>
      <c r="BJ35" s="230">
        <f t="shared" si="36"/>
        <v>12.001300000000001</v>
      </c>
      <c r="BK35" s="156"/>
    </row>
    <row r="36" spans="1:63" x14ac:dyDescent="0.2">
      <c r="A36" s="208" t="str">
        <f t="shared" si="0"/>
        <v/>
      </c>
      <c r="B36" s="209">
        <f t="shared" si="1"/>
        <v>-970</v>
      </c>
      <c r="C36" s="736" t="str">
        <f t="shared" si="2"/>
        <v/>
      </c>
      <c r="D36" s="565">
        <f t="shared" si="3"/>
        <v>-970</v>
      </c>
      <c r="E36" s="210" t="str">
        <f t="shared" si="4"/>
        <v/>
      </c>
      <c r="F36" s="209">
        <f t="shared" si="5"/>
        <v>-970</v>
      </c>
      <c r="G36" s="211">
        <f t="shared" si="6"/>
        <v>3</v>
      </c>
      <c r="H36" s="209">
        <f t="shared" si="7"/>
        <v>30</v>
      </c>
      <c r="I36" s="212" t="str">
        <f t="shared" si="8"/>
        <v/>
      </c>
      <c r="J36" s="213">
        <f t="shared" si="9"/>
        <v>-970</v>
      </c>
      <c r="K36" s="178">
        <f t="shared" si="10"/>
        <v>30</v>
      </c>
      <c r="L36" s="214" t="s">
        <v>265</v>
      </c>
      <c r="M36" s="215" t="s">
        <v>135</v>
      </c>
      <c r="N36" s="216"/>
      <c r="O36" s="217"/>
      <c r="P36" s="218"/>
      <c r="Q36" s="219"/>
      <c r="R36" s="220">
        <f t="array" ref="R36">(IF(COUNT(Z36,AA36,AB36,AC36,AD36,AE36,AF36,AG36,AH36,AI36,AJ36,AK36,AL36,AM36,AN36)&lt;11,SUM(Z36,AA36,AB36,AC36,AD36,AE36,AF36,AG36,AH36,AI36,AJ36,AK36,AL36,AM36,AN36),SUM(LARGE((Z36,AA36,AB36,AC36,AD36,AE36,AF36,AG36,AH36,AI36,AJ36,AK36,AL36,AM36,AN36),{1;2;3;4;5;6;7;8;9;10}))))</f>
        <v>79</v>
      </c>
      <c r="S36" s="221" t="str">
        <f>INDEX(ETAPP!B$1:B$32,MATCH(COUNTIF(Z36:AN36,PVO!A$1),ETAPP!A$1:A$32,0))&amp;INDEX(ETAPP!B$1:B$32,MATCH(COUNTIF(Z36:AN36,PVO!A$2),ETAPP!A$1:A$32,0))&amp;INDEX(ETAPP!B$1:B$32,MATCH(COUNTIF(Z36:AN36,PVO!A$3),ETAPP!A$1:A$32,0))&amp;INDEX(ETAPP!B$1:B$32,MATCH(COUNTIF(Z36:AN36,PVO!A$4),ETAPP!A$1:A$32,0))&amp;INDEX(ETAPP!B$1:B$32,MATCH(COUNTIF(Z36:AN36,PVO!A$5),ETAPP!A$1:A$32,0))&amp;INDEX(ETAPP!B$1:B$32,MATCH(COUNTIF(Z36:AN36,PVO!A$6),ETAPP!A$1:A$32,0))&amp;INDEX(ETAPP!B$1:B$32,MATCH(COUNTIF(Z36:AN36,PVO!A$7),ETAPP!A$1:A$32,0))&amp;INDEX(ETAPP!B$1:B$32,MATCH(COUNTIF(Z36:AN36,PVO!A$8),ETAPP!A$1:A$32,0))&amp;INDEX(ETAPP!B$1:B$32,MATCH(COUNTIF(Z36:AN36,PVO!A$9),ETAPP!A$1:A$32,0))&amp;INDEX(ETAPP!B$1:B$32,MATCH(COUNTIF(Z36:AN36,PVO!A$10),ETAPP!A$1:A$32,0))&amp;INDEX(ETAPP!B$1:B$32,MATCH(COUNTIF(Z36:AN36,PVO!A$11),ETAPP!A$1:A$32,0))&amp;INDEX(ETAPP!B$1:B$32,MATCH(COUNTIF(Z36:AN36,PVO!A$12),ETAPP!A$1:A$32,0))&amp;INDEX(ETAPP!B$1:B$32,MATCH(COUNTIF(Z36:AN36,PVO!A$13),ETAPP!A$1:A$32,0))&amp;INDEX(ETAPP!B$1:B$32,MATCH(COUNTIF(Z36:AN36,PVO!A$14),ETAPP!A$1:A$32,0))&amp;INDEX(ETAPP!B$1:B$32,MATCH(COUNTIF(Z36:AN36,PVO!A$15),ETAPP!A$1:A$32,0))&amp;INDEX(ETAPP!B$1:B$32,MATCH(COUNTIF(Z36:AN36,PVO!A$16),ETAPP!A$1:A$32,0))&amp;INDEX(ETAPP!B$1:B$32,MATCH(COUNTIF(Z36:AN36,PVO!A$17),ETAPP!A$1:A$32,0))&amp;INDEX(ETAPP!B$1:B$32,MATCH(COUNTIF(Z36:AN36,PVO!A$18),ETAPP!A$1:A$32,0))&amp;INDEX(ETAPP!B$1:B$32,MATCH(COUNTIF(Z36:AN36,PVO!A$19),ETAPP!A$1:A$32,0))&amp;INDEX(ETAPP!B$1:B$32,MATCH(COUNTIF(Z36:AN36,PVO!A$20),ETAPP!A$1:A$32,0))&amp;INDEX(ETAPP!B$1:B$32,MATCH(COUNTIF(Z36:AN36,PVO!A$21),ETAPP!A$1:A$32,0))</f>
        <v>000000000ACABAA000000</v>
      </c>
      <c r="T36" s="221" t="str">
        <f t="shared" si="11"/>
        <v>079,0-000000000ACABAA000000</v>
      </c>
      <c r="U36" s="221">
        <f t="shared" si="12"/>
        <v>30</v>
      </c>
      <c r="V36" s="221">
        <f t="shared" si="13"/>
        <v>36</v>
      </c>
      <c r="W36" s="221" t="str">
        <f t="shared" si="14"/>
        <v>079,0-000000000ACABAA000000-036</v>
      </c>
      <c r="X36" s="221">
        <f t="shared" si="15"/>
        <v>30</v>
      </c>
      <c r="Y36" s="222">
        <f t="shared" si="16"/>
        <v>38</v>
      </c>
      <c r="Z36" s="223">
        <f>IFERROR(INDEX('V1'!C$300:C$400,MATCH("*"&amp;L36&amp;"*",'V1'!B$300:B$400,0)),"  ")</f>
        <v>10</v>
      </c>
      <c r="AA36" s="223">
        <f>IFERROR(INDEX('V2'!C$300:C$400,MATCH("*"&amp;L36&amp;"*",'V2'!B$300:B$400,0)),"  ")</f>
        <v>11</v>
      </c>
      <c r="AB36" s="223">
        <f>IFERROR(INDEX('V3'!C$300:C$400,MATCH("*"&amp;L36&amp;"*",'V3'!B$300:B$400,0)),"  ")</f>
        <v>8</v>
      </c>
      <c r="AC36" s="223">
        <f>IFERROR(INDEX('V4'!C$300:C$400,MATCH("*"&amp;L36&amp;"*",'V4'!B$300:B$400,0)),"  ")</f>
        <v>10</v>
      </c>
      <c r="AD36" s="223">
        <f>IFERROR(INDEX('V5'!C$300:C$400,MATCH("*"&amp;L36&amp;"*",'V5'!B$300:B$400,0)),"  ")</f>
        <v>8</v>
      </c>
      <c r="AE36" s="223">
        <f>IFERROR(INDEX('V6'!C$300:C$400,MATCH("*"&amp;L36&amp;"*",'V6'!B$300:B$400,0)),"  ")</f>
        <v>9</v>
      </c>
      <c r="AF36" s="223">
        <f>IFERROR(INDEX('V7'!C$300:C$400,MATCH("*"&amp;L36&amp;"*",'V7'!B$300:B$400,0)),"  ")</f>
        <v>10</v>
      </c>
      <c r="AG36" s="223">
        <f>IFERROR(INDEX('V8'!C$300:C$400,MATCH("*"&amp;L36&amp;"*",'V8'!B$300:B$400,0)),"  ")</f>
        <v>7</v>
      </c>
      <c r="AH36" s="223">
        <f>IFERROR(INDEX('V9'!C$300:C$400,MATCH("*"&amp;L36&amp;"*",'V9'!B$300:B$400,0)),"  ")</f>
        <v>6</v>
      </c>
      <c r="AI36" s="223" t="str">
        <f>IFERROR(INDEX('V10'!C$300:C$400,MATCH("*"&amp;L36&amp;"*",'V10'!B$300:B$400,0)),"  ")</f>
        <v xml:space="preserve">  </v>
      </c>
      <c r="AJ36" s="223" t="str">
        <f>IFERROR(INDEX('V11'!C$300:C$400,MATCH("*"&amp;L36&amp;"*",'V11'!B$300:B$400,0)),"  ")</f>
        <v xml:space="preserve">  </v>
      </c>
      <c r="AK36" s="223" t="str">
        <f>IFERROR(INDEX('V12'!C$300:C$400,MATCH("*"&amp;L36&amp;"*",'V12'!B$300:B$400,0)),"  ")</f>
        <v xml:space="preserve">  </v>
      </c>
      <c r="AL36" s="223" t="str">
        <f>IFERROR(INDEX('V13'!C$300:C$400,MATCH("*"&amp;L36&amp;"*",'V13'!B$300:B$400,0)),"  ")</f>
        <v xml:space="preserve">  </v>
      </c>
      <c r="AM36" s="223"/>
      <c r="AN36" s="223"/>
      <c r="AO36" s="224">
        <f t="shared" si="17"/>
        <v>30</v>
      </c>
      <c r="AP36" s="627">
        <f t="shared" si="18"/>
        <v>79</v>
      </c>
      <c r="AQ36" s="225" t="str">
        <f t="shared" si="19"/>
        <v>edasi 30</v>
      </c>
      <c r="AR36" s="226" t="str">
        <f>IFERROR(INDEX(#REF!,MATCH("*"&amp;L36&amp;"*",#REF!,0)),"  ")</f>
        <v xml:space="preserve">  </v>
      </c>
      <c r="AS36" s="227">
        <f t="shared" si="20"/>
        <v>9</v>
      </c>
      <c r="AT36" s="228">
        <f t="shared" si="21"/>
        <v>0</v>
      </c>
      <c r="AU36" s="228">
        <f t="shared" si="22"/>
        <v>0</v>
      </c>
      <c r="AV36" s="156"/>
      <c r="AW36" s="229">
        <f t="shared" si="23"/>
        <v>1.1999999999999999E-3</v>
      </c>
      <c r="AX36" s="230">
        <f t="shared" si="24"/>
        <v>10.0001</v>
      </c>
      <c r="AY36" s="230">
        <f t="shared" si="25"/>
        <v>11.0002</v>
      </c>
      <c r="AZ36" s="230">
        <f t="shared" si="26"/>
        <v>8.0002999999999993</v>
      </c>
      <c r="BA36" s="230">
        <f t="shared" si="27"/>
        <v>10.000400000000001</v>
      </c>
      <c r="BB36" s="230">
        <f t="shared" si="28"/>
        <v>8.0005000000000006</v>
      </c>
      <c r="BC36" s="230">
        <f t="shared" si="29"/>
        <v>9.0006000000000004</v>
      </c>
      <c r="BD36" s="230">
        <f t="shared" si="30"/>
        <v>10.0007</v>
      </c>
      <c r="BE36" s="230">
        <f t="shared" si="31"/>
        <v>7.0007999999999999</v>
      </c>
      <c r="BF36" s="230">
        <f t="shared" si="32"/>
        <v>6.0008999999999997</v>
      </c>
      <c r="BG36" s="230">
        <f t="shared" si="33"/>
        <v>1E-3</v>
      </c>
      <c r="BH36" s="230">
        <f t="shared" si="34"/>
        <v>1.1000000000000001E-3</v>
      </c>
      <c r="BI36" s="230">
        <f t="shared" si="35"/>
        <v>1.1999999999999999E-3</v>
      </c>
      <c r="BJ36" s="230">
        <f t="shared" si="36"/>
        <v>1.2999999999999999E-3</v>
      </c>
      <c r="BK36" s="156"/>
    </row>
    <row r="37" spans="1:63" x14ac:dyDescent="0.2">
      <c r="A37" s="208">
        <f t="shared" si="0"/>
        <v>21</v>
      </c>
      <c r="B37" s="209">
        <f t="shared" si="1"/>
        <v>31</v>
      </c>
      <c r="C37" s="736">
        <f t="shared" si="2"/>
        <v>13</v>
      </c>
      <c r="D37" s="565">
        <f t="shared" si="3"/>
        <v>31</v>
      </c>
      <c r="E37" s="210">
        <f t="shared" si="4"/>
        <v>28</v>
      </c>
      <c r="F37" s="209">
        <f t="shared" si="5"/>
        <v>31</v>
      </c>
      <c r="G37" s="211" t="str">
        <f t="shared" si="6"/>
        <v/>
      </c>
      <c r="H37" s="209">
        <f t="shared" si="7"/>
        <v>-969</v>
      </c>
      <c r="I37" s="212" t="str">
        <f t="shared" si="8"/>
        <v/>
      </c>
      <c r="J37" s="213">
        <f t="shared" si="9"/>
        <v>-969</v>
      </c>
      <c r="K37" s="178">
        <f t="shared" si="10"/>
        <v>31</v>
      </c>
      <c r="L37" s="232" t="s">
        <v>87</v>
      </c>
      <c r="M37" s="215"/>
      <c r="N37" s="216" t="str">
        <f>IF(M37="","m","")</f>
        <v>m</v>
      </c>
      <c r="O37" s="217"/>
      <c r="P37" s="218" t="s">
        <v>478</v>
      </c>
      <c r="Q37" s="219" t="s">
        <v>124</v>
      </c>
      <c r="R37" s="220">
        <f t="array" ref="R37">(IF(COUNT(Z37,AA37,AB37,AC37,AD37,AE37,AF37,AG37,AH37,AI37,AJ37,AK37,AL37,AM37,AN37)&lt;11,SUM(Z37,AA37,AB37,AC37,AD37,AE37,AF37,AG37,AH37,AI37,AJ37,AK37,AL37,AM37,AN37),SUM(LARGE((Z37,AA37,AB37,AC37,AD37,AE37,AF37,AG37,AH37,AI37,AJ37,AK37,AL37,AM37,AN37),{1;2;3;4;5;6;7;8;9;10}))))</f>
        <v>68</v>
      </c>
      <c r="S37" s="221" t="str">
        <f>INDEX(ETAPP!B$1:B$32,MATCH(COUNTIF(Z37:AN37,PVO!A$1),ETAPP!A$1:A$32,0))&amp;INDEX(ETAPP!B$1:B$32,MATCH(COUNTIF(Z37:AN37,PVO!A$2),ETAPP!A$1:A$32,0))&amp;INDEX(ETAPP!B$1:B$32,MATCH(COUNTIF(Z37:AN37,PVO!A$3),ETAPP!A$1:A$32,0))&amp;INDEX(ETAPP!B$1:B$32,MATCH(COUNTIF(Z37:AN37,PVO!A$4),ETAPP!A$1:A$32,0))&amp;INDEX(ETAPP!B$1:B$32,MATCH(COUNTIF(Z37:AN37,PVO!A$5),ETAPP!A$1:A$32,0))&amp;INDEX(ETAPP!B$1:B$32,MATCH(COUNTIF(Z37:AN37,PVO!A$6),ETAPP!A$1:A$32,0))&amp;INDEX(ETAPP!B$1:B$32,MATCH(COUNTIF(Z37:AN37,PVO!A$7),ETAPP!A$1:A$32,0))&amp;INDEX(ETAPP!B$1:B$32,MATCH(COUNTIF(Z37:AN37,PVO!A$8),ETAPP!A$1:A$32,0))&amp;INDEX(ETAPP!B$1:B$32,MATCH(COUNTIF(Z37:AN37,PVO!A$9),ETAPP!A$1:A$32,0))&amp;INDEX(ETAPP!B$1:B$32,MATCH(COUNTIF(Z37:AN37,PVO!A$10),ETAPP!A$1:A$32,0))&amp;INDEX(ETAPP!B$1:B$32,MATCH(COUNTIF(Z37:AN37,PVO!A$11),ETAPP!A$1:A$32,0))&amp;INDEX(ETAPP!B$1:B$32,MATCH(COUNTIF(Z37:AN37,PVO!A$12),ETAPP!A$1:A$32,0))&amp;INDEX(ETAPP!B$1:B$32,MATCH(COUNTIF(Z37:AN37,PVO!A$13),ETAPP!A$1:A$32,0))&amp;INDEX(ETAPP!B$1:B$32,MATCH(COUNTIF(Z37:AN37,PVO!A$14),ETAPP!A$1:A$32,0))&amp;INDEX(ETAPP!B$1:B$32,MATCH(COUNTIF(Z37:AN37,PVO!A$15),ETAPP!A$1:A$32,0))&amp;INDEX(ETAPP!B$1:B$32,MATCH(COUNTIF(Z37:AN37,PVO!A$16),ETAPP!A$1:A$32,0))&amp;INDEX(ETAPP!B$1:B$32,MATCH(COUNTIF(Z37:AN37,PVO!A$17),ETAPP!A$1:A$32,0))&amp;INDEX(ETAPP!B$1:B$32,MATCH(COUNTIF(Z37:AN37,PVO!A$18),ETAPP!A$1:A$32,0))&amp;INDEX(ETAPP!B$1:B$32,MATCH(COUNTIF(Z37:AN37,PVO!A$19),ETAPP!A$1:A$32,0))&amp;INDEX(ETAPP!B$1:B$32,MATCH(COUNTIF(Z37:AN37,PVO!A$20),ETAPP!A$1:A$32,0))&amp;INDEX(ETAPP!B$1:B$32,MATCH(COUNTIF(Z37:AN37,PVO!A$21),ETAPP!A$1:A$32,0))</f>
        <v>0000000BB0A0A00000000</v>
      </c>
      <c r="T37" s="221" t="str">
        <f t="shared" si="11"/>
        <v>068,0-0000000BB0A0A00000000</v>
      </c>
      <c r="U37" s="221">
        <f t="shared" si="12"/>
        <v>31</v>
      </c>
      <c r="V37" s="221">
        <f t="shared" si="13"/>
        <v>21</v>
      </c>
      <c r="W37" s="221" t="str">
        <f t="shared" si="14"/>
        <v>068,0-0000000BB0A0A00000000-021</v>
      </c>
      <c r="X37" s="221">
        <f t="shared" si="15"/>
        <v>31</v>
      </c>
      <c r="Y37" s="222">
        <f t="shared" si="16"/>
        <v>37</v>
      </c>
      <c r="Z37" s="223">
        <f>IFERROR(INDEX('V1'!C$300:C$400,MATCH("*"&amp;L37&amp;"*",'V1'!B$300:B$400,0)),"  ")</f>
        <v>12</v>
      </c>
      <c r="AA37" s="223" t="str">
        <f>IFERROR(INDEX('V2'!C$300:C$400,MATCH("*"&amp;L37&amp;"*",'V2'!B$300:B$400,0)),"  ")</f>
        <v xml:space="preserve">  </v>
      </c>
      <c r="AB37" s="223" t="str">
        <f>IFERROR(INDEX('V3'!C$300:C$400,MATCH("*"&amp;L37&amp;"*",'V3'!B$300:B$400,0)),"  ")</f>
        <v xml:space="preserve">  </v>
      </c>
      <c r="AC37" s="223" t="str">
        <f>IFERROR(INDEX('V4'!C$300:C$400,MATCH("*"&amp;L37&amp;"*",'V4'!B$300:B$400,0)),"  ")</f>
        <v xml:space="preserve">  </v>
      </c>
      <c r="AD37" s="223">
        <f>IFERROR(INDEX('V5'!C$300:C$400,MATCH("*"&amp;L37&amp;"*",'V5'!B$300:B$400,0)),"  ")</f>
        <v>13</v>
      </c>
      <c r="AE37" s="223" t="str">
        <f>IFERROR(INDEX('V6'!C$300:C$400,MATCH("*"&amp;L37&amp;"*",'V6'!B$300:B$400,0)),"  ")</f>
        <v xml:space="preserve">  </v>
      </c>
      <c r="AF37" s="223" t="str">
        <f>IFERROR(INDEX('V7'!C$300:C$400,MATCH("*"&amp;L37&amp;"*",'V7'!B$300:B$400,0)),"  ")</f>
        <v xml:space="preserve">  </v>
      </c>
      <c r="AG37" s="223" t="str">
        <f>IFERROR(INDEX('V8'!C$300:C$400,MATCH("*"&amp;L37&amp;"*",'V8'!B$300:B$400,0)),"  ")</f>
        <v xml:space="preserve">  </v>
      </c>
      <c r="AH37" s="223" t="str">
        <f>IFERROR(INDEX('V9'!C$300:C$400,MATCH("*"&amp;L37&amp;"*",'V9'!B$300:B$400,0)),"  ")</f>
        <v xml:space="preserve">  </v>
      </c>
      <c r="AI37" s="223">
        <f>IFERROR(INDEX('V10'!C$300:C$400,MATCH("*"&amp;L37&amp;"*",'V10'!B$300:B$400,0)),"  ")</f>
        <v>12</v>
      </c>
      <c r="AJ37" s="223">
        <f>IFERROR(INDEX('V11'!C$300:C$400,MATCH("*"&amp;L37&amp;"*",'V11'!B$300:B$400,0)),"  ")</f>
        <v>8</v>
      </c>
      <c r="AK37" s="223">
        <f>IFERROR(INDEX('V12'!C$300:C$400,MATCH("*"&amp;L37&amp;"*",'V12'!B$300:B$400,0)),"  ")</f>
        <v>10</v>
      </c>
      <c r="AL37" s="223">
        <f>IFERROR(INDEX('V13'!C$300:C$400,MATCH("*"&amp;L37&amp;"*",'V13'!B$300:B$400,0)),"  ")</f>
        <v>13</v>
      </c>
      <c r="AM37" s="223"/>
      <c r="AN37" s="223"/>
      <c r="AO37" s="224">
        <f t="shared" si="17"/>
        <v>31</v>
      </c>
      <c r="AP37" s="627">
        <f t="shared" si="18"/>
        <v>68</v>
      </c>
      <c r="AQ37" s="225" t="str">
        <f t="shared" si="19"/>
        <v>edasi 31</v>
      </c>
      <c r="AR37" s="226" t="str">
        <f>IFERROR(INDEX(#REF!,MATCH("*"&amp;L37&amp;"*",#REF!,0)),"  ")</f>
        <v xml:space="preserve">  </v>
      </c>
      <c r="AS37" s="227">
        <f t="shared" si="20"/>
        <v>6</v>
      </c>
      <c r="AT37" s="228">
        <f t="shared" si="21"/>
        <v>0</v>
      </c>
      <c r="AU37" s="228">
        <f t="shared" si="22"/>
        <v>0</v>
      </c>
      <c r="AV37" s="156"/>
      <c r="AW37" s="229">
        <f t="shared" si="23"/>
        <v>4.0000000000000002E-4</v>
      </c>
      <c r="AX37" s="230">
        <f t="shared" si="24"/>
        <v>12.0001</v>
      </c>
      <c r="AY37" s="230">
        <f t="shared" si="25"/>
        <v>2.0000000000000001E-4</v>
      </c>
      <c r="AZ37" s="230">
        <f t="shared" si="26"/>
        <v>2.9999999999999997E-4</v>
      </c>
      <c r="BA37" s="230">
        <f t="shared" si="27"/>
        <v>4.0000000000000002E-4</v>
      </c>
      <c r="BB37" s="230">
        <f t="shared" si="28"/>
        <v>13.000500000000001</v>
      </c>
      <c r="BC37" s="230">
        <f t="shared" si="29"/>
        <v>5.9999999999999995E-4</v>
      </c>
      <c r="BD37" s="230">
        <f t="shared" si="30"/>
        <v>6.9999999999999999E-4</v>
      </c>
      <c r="BE37" s="230">
        <f t="shared" si="31"/>
        <v>8.0000000000000004E-4</v>
      </c>
      <c r="BF37" s="230">
        <f t="shared" si="32"/>
        <v>8.9999999999999998E-4</v>
      </c>
      <c r="BG37" s="230">
        <f t="shared" si="33"/>
        <v>12.000999999999999</v>
      </c>
      <c r="BH37" s="230">
        <f t="shared" si="34"/>
        <v>8.0010999999999992</v>
      </c>
      <c r="BI37" s="230">
        <f t="shared" si="35"/>
        <v>10.001200000000001</v>
      </c>
      <c r="BJ37" s="230">
        <f t="shared" si="36"/>
        <v>13.001300000000001</v>
      </c>
      <c r="BK37" s="156"/>
    </row>
    <row r="38" spans="1:63" x14ac:dyDescent="0.2">
      <c r="A38" s="208">
        <f t="shared" si="0"/>
        <v>22</v>
      </c>
      <c r="B38" s="209">
        <f t="shared" si="1"/>
        <v>32</v>
      </c>
      <c r="C38" s="736" t="str">
        <f t="shared" si="2"/>
        <v/>
      </c>
      <c r="D38" s="565">
        <f t="shared" si="3"/>
        <v>-968</v>
      </c>
      <c r="E38" s="210" t="str">
        <f t="shared" si="4"/>
        <v/>
      </c>
      <c r="F38" s="209">
        <f t="shared" si="5"/>
        <v>-968</v>
      </c>
      <c r="G38" s="211">
        <f t="shared" si="6"/>
        <v>4</v>
      </c>
      <c r="H38" s="209">
        <f t="shared" si="7"/>
        <v>32</v>
      </c>
      <c r="I38" s="212" t="str">
        <f t="shared" si="8"/>
        <v/>
      </c>
      <c r="J38" s="213">
        <f t="shared" si="9"/>
        <v>-968</v>
      </c>
      <c r="K38" s="178">
        <f t="shared" si="10"/>
        <v>32</v>
      </c>
      <c r="L38" s="589" t="s">
        <v>148</v>
      </c>
      <c r="M38" s="522" t="s">
        <v>135</v>
      </c>
      <c r="N38" s="523" t="str">
        <f>IF(M38="","m","")</f>
        <v/>
      </c>
      <c r="O38" s="524"/>
      <c r="P38" s="525"/>
      <c r="Q38" s="526" t="s">
        <v>124</v>
      </c>
      <c r="R38" s="220">
        <f t="array" ref="R38">(IF(COUNT(Z38,AA38,AB38,AC38,AD38,AE38,AF38,AG38,AH38,AI38,AJ38,AK38,AL38,AM38,AN38)&lt;11,SUM(Z38,AA38,AB38,AC38,AD38,AE38,AF38,AG38,AH38,AI38,AJ38,AK38,AL38,AM38,AN38),SUM(LARGE((Z38,AA38,AB38,AC38,AD38,AE38,AF38,AG38,AH38,AI38,AJ38,AK38,AL38,AM38,AN38),{1;2;3;4;5;6;7;8;9;10}))))</f>
        <v>67</v>
      </c>
      <c r="S38" s="221" t="str">
        <f>INDEX(ETAPP!B$1:B$32,MATCH(COUNTIF(Z38:AN38,PVO!A$1),ETAPP!A$1:A$32,0))&amp;INDEX(ETAPP!B$1:B$32,MATCH(COUNTIF(Z38:AN38,PVO!A$2),ETAPP!A$1:A$32,0))&amp;INDEX(ETAPP!B$1:B$32,MATCH(COUNTIF(Z38:AN38,PVO!A$3),ETAPP!A$1:A$32,0))&amp;INDEX(ETAPP!B$1:B$32,MATCH(COUNTIF(Z38:AN38,PVO!A$4),ETAPP!A$1:A$32,0))&amp;INDEX(ETAPP!B$1:B$32,MATCH(COUNTIF(Z38:AN38,PVO!A$5),ETAPP!A$1:A$32,0))&amp;INDEX(ETAPP!B$1:B$32,MATCH(COUNTIF(Z38:AN38,PVO!A$6),ETAPP!A$1:A$32,0))&amp;INDEX(ETAPP!B$1:B$32,MATCH(COUNTIF(Z38:AN38,PVO!A$7),ETAPP!A$1:A$32,0))&amp;INDEX(ETAPP!B$1:B$32,MATCH(COUNTIF(Z38:AN38,PVO!A$8),ETAPP!A$1:A$32,0))&amp;INDEX(ETAPP!B$1:B$32,MATCH(COUNTIF(Z38:AN38,PVO!A$9),ETAPP!A$1:A$32,0))&amp;INDEX(ETAPP!B$1:B$32,MATCH(COUNTIF(Z38:AN38,PVO!A$10),ETAPP!A$1:A$32,0))&amp;INDEX(ETAPP!B$1:B$32,MATCH(COUNTIF(Z38:AN38,PVO!A$11),ETAPP!A$1:A$32,0))&amp;INDEX(ETAPP!B$1:B$32,MATCH(COUNTIF(Z38:AN38,PVO!A$12),ETAPP!A$1:A$32,0))&amp;INDEX(ETAPP!B$1:B$32,MATCH(COUNTIF(Z38:AN38,PVO!A$13),ETAPP!A$1:A$32,0))&amp;INDEX(ETAPP!B$1:B$32,MATCH(COUNTIF(Z38:AN38,PVO!A$14),ETAPP!A$1:A$32,0))&amp;INDEX(ETAPP!B$1:B$32,MATCH(COUNTIF(Z38:AN38,PVO!A$15),ETAPP!A$1:A$32,0))&amp;INDEX(ETAPP!B$1:B$32,MATCH(COUNTIF(Z38:AN38,PVO!A$16),ETAPP!A$1:A$32,0))&amp;INDEX(ETAPP!B$1:B$32,MATCH(COUNTIF(Z38:AN38,PVO!A$17),ETAPP!A$1:A$32,0))&amp;INDEX(ETAPP!B$1:B$32,MATCH(COUNTIF(Z38:AN38,PVO!A$18),ETAPP!A$1:A$32,0))&amp;INDEX(ETAPP!B$1:B$32,MATCH(COUNTIF(Z38:AN38,PVO!A$19),ETAPP!A$1:A$32,0))&amp;INDEX(ETAPP!B$1:B$32,MATCH(COUNTIF(Z38:AN38,PVO!A$20),ETAPP!A$1:A$32,0))&amp;INDEX(ETAPP!B$1:B$32,MATCH(COUNTIF(Z38:AN38,PVO!A$21),ETAPP!A$1:A$32,0))</f>
        <v>A00000AA0A0A000000000</v>
      </c>
      <c r="T38" s="221" t="str">
        <f t="shared" si="11"/>
        <v>067,0-A00000AA0A0A000000000</v>
      </c>
      <c r="U38" s="221">
        <f t="shared" si="12"/>
        <v>32</v>
      </c>
      <c r="V38" s="221">
        <f t="shared" si="13"/>
        <v>16</v>
      </c>
      <c r="W38" s="221" t="str">
        <f t="shared" si="14"/>
        <v>067,0-A00000AA0A0A000000000-016</v>
      </c>
      <c r="X38" s="221">
        <f t="shared" si="15"/>
        <v>32</v>
      </c>
      <c r="Y38" s="222">
        <f t="shared" si="16"/>
        <v>36</v>
      </c>
      <c r="Z38" s="223">
        <f>IFERROR(INDEX('V1'!C$300:C$400,MATCH("*"&amp;L38&amp;"*",'V1'!B$300:B$400,0)),"  ")</f>
        <v>9</v>
      </c>
      <c r="AA38" s="223" t="str">
        <f>IFERROR(INDEX('V2'!C$300:C$400,MATCH("*"&amp;L38&amp;"*",'V2'!B$300:B$400,0)),"  ")</f>
        <v xml:space="preserve">  </v>
      </c>
      <c r="AB38" s="223" t="str">
        <f>IFERROR(INDEX('V3'!C$300:C$400,MATCH("*"&amp;L38&amp;"*",'V3'!B$300:B$400,0)),"  ")</f>
        <v xml:space="preserve">  </v>
      </c>
      <c r="AC38" s="223" t="str">
        <f>IFERROR(INDEX('V4'!C$300:C$400,MATCH("*"&amp;L38&amp;"*",'V4'!B$300:B$400,0)),"  ")</f>
        <v xml:space="preserve">  </v>
      </c>
      <c r="AD38" s="223" t="str">
        <f>IFERROR(INDEX('V5'!C$300:C$400,MATCH("*"&amp;L38&amp;"*",'V5'!B$300:B$400,0)),"  ")</f>
        <v xml:space="preserve">  </v>
      </c>
      <c r="AE38" s="223">
        <f>IFERROR(INDEX('V6'!C$300:C$400,MATCH("*"&amp;L38&amp;"*",'V6'!B$300:B$400,0)),"  ")</f>
        <v>13</v>
      </c>
      <c r="AF38" s="223">
        <f>IFERROR(INDEX('V7'!C$300:C$400,MATCH("*"&amp;L38&amp;"*",'V7'!B$300:B$400,0)),"  ")</f>
        <v>20</v>
      </c>
      <c r="AG38" s="223" t="str">
        <f>IFERROR(INDEX('V8'!C$300:C$400,MATCH("*"&amp;L38&amp;"*",'V8'!B$300:B$400,0)),"  ")</f>
        <v xml:space="preserve">  </v>
      </c>
      <c r="AH38" s="223" t="str">
        <f>IFERROR(INDEX('V9'!C$300:C$400,MATCH("*"&amp;L38&amp;"*",'V9'!B$300:B$400,0)),"  ")</f>
        <v xml:space="preserve">  </v>
      </c>
      <c r="AI38" s="223">
        <f>IFERROR(INDEX('V10'!C$300:C$400,MATCH("*"&amp;L38&amp;"*",'V10'!B$300:B$400,0)),"  ")</f>
        <v>14</v>
      </c>
      <c r="AJ38" s="223" t="str">
        <f>IFERROR(INDEX('V11'!C$300:C$400,MATCH("*"&amp;L38&amp;"*",'V11'!B$300:B$400,0)),"  ")</f>
        <v xml:space="preserve">  </v>
      </c>
      <c r="AK38" s="223" t="str">
        <f>IFERROR(INDEX('V12'!C$300:C$400,MATCH("*"&amp;L38&amp;"*",'V12'!B$300:B$400,0)),"  ")</f>
        <v xml:space="preserve">  </v>
      </c>
      <c r="AL38" s="223">
        <f>IFERROR(INDEX('V13'!C$300:C$400,MATCH("*"&amp;L38&amp;"*",'V13'!B$300:B$400,0)),"  ")</f>
        <v>11</v>
      </c>
      <c r="AM38" s="223"/>
      <c r="AN38" s="223"/>
      <c r="AO38" s="224">
        <f t="shared" si="17"/>
        <v>32</v>
      </c>
      <c r="AP38" s="627">
        <f t="shared" si="18"/>
        <v>67</v>
      </c>
      <c r="AQ38" s="225" t="str">
        <f t="shared" si="19"/>
        <v>edasi 32</v>
      </c>
      <c r="AR38" s="226" t="str">
        <f>IFERROR(INDEX(#REF!,MATCH("*"&amp;L38&amp;"*",#REF!,0)),"  ")</f>
        <v xml:space="preserve">  </v>
      </c>
      <c r="AS38" s="227">
        <f t="shared" si="20"/>
        <v>5</v>
      </c>
      <c r="AT38" s="228">
        <f t="shared" si="21"/>
        <v>1</v>
      </c>
      <c r="AU38" s="228">
        <f t="shared" si="22"/>
        <v>1</v>
      </c>
      <c r="AV38" s="156"/>
      <c r="AW38" s="229">
        <f t="shared" si="23"/>
        <v>4.0000000000000002E-4</v>
      </c>
      <c r="AX38" s="230">
        <f t="shared" si="24"/>
        <v>9.0000999999999998</v>
      </c>
      <c r="AY38" s="230">
        <f t="shared" si="25"/>
        <v>2.0000000000000001E-4</v>
      </c>
      <c r="AZ38" s="230">
        <f t="shared" si="26"/>
        <v>2.9999999999999997E-4</v>
      </c>
      <c r="BA38" s="230">
        <f t="shared" si="27"/>
        <v>4.0000000000000002E-4</v>
      </c>
      <c r="BB38" s="230">
        <f t="shared" si="28"/>
        <v>5.0000000000000001E-4</v>
      </c>
      <c r="BC38" s="230">
        <f t="shared" si="29"/>
        <v>13.0006</v>
      </c>
      <c r="BD38" s="230">
        <f t="shared" si="30"/>
        <v>20.000699999999998</v>
      </c>
      <c r="BE38" s="230">
        <f t="shared" si="31"/>
        <v>8.0000000000000004E-4</v>
      </c>
      <c r="BF38" s="230">
        <f t="shared" si="32"/>
        <v>8.9999999999999998E-4</v>
      </c>
      <c r="BG38" s="230">
        <f t="shared" si="33"/>
        <v>14.000999999999999</v>
      </c>
      <c r="BH38" s="230">
        <f t="shared" si="34"/>
        <v>1.1000000000000001E-3</v>
      </c>
      <c r="BI38" s="230">
        <f t="shared" si="35"/>
        <v>1.1999999999999999E-3</v>
      </c>
      <c r="BJ38" s="230">
        <f t="shared" si="36"/>
        <v>11.001300000000001</v>
      </c>
      <c r="BK38" s="156"/>
    </row>
    <row r="39" spans="1:63" x14ac:dyDescent="0.2">
      <c r="A39" s="208">
        <f t="shared" ref="A39:A70" si="38">IF(R39&gt;0,IF(Q39="v",RANK(B39,B$7:B$73,1)-COUNTBLANK(Q$7:Q$73),""),"")</f>
        <v>23</v>
      </c>
      <c r="B39" s="209">
        <f t="shared" ref="B39:B70" si="39">IF((Q39="v"),U39,U39-1000)</f>
        <v>33</v>
      </c>
      <c r="C39" s="736">
        <f t="shared" ref="C39:C70" si="40">IF(R39&gt;0,IF(P39="t",RANK(D39,D$7:D$73,1)-COUNTBLANK(P$7:P$73),""),"")</f>
        <v>14</v>
      </c>
      <c r="D39" s="565">
        <f t="shared" ref="D39:D70" si="41">IF((P39="t"),U39,U39-1000)</f>
        <v>33</v>
      </c>
      <c r="E39" s="210">
        <f t="shared" ref="E39:E70" si="42">IF(R39&gt;0,IF(N39="m",RANK(F39,F$7:F$73,1)-COUNTBLANK(N$7:N$73),""),"")</f>
        <v>29</v>
      </c>
      <c r="F39" s="209">
        <f t="shared" ref="F39:F70" si="43">IF((N39="m"),U39,U39-1000)</f>
        <v>33</v>
      </c>
      <c r="G39" s="211" t="str">
        <f t="shared" ref="G39:G70" si="44">IF(R39&gt;0,IF(M39="n",RANK(H39,H$7:H$73,1)-COUNTBLANK(M$7:M$73),""),"")</f>
        <v/>
      </c>
      <c r="H39" s="209">
        <f t="shared" ref="H39:H70" si="45">IF((M39="n"),U39,U39-1000)</f>
        <v>-967</v>
      </c>
      <c r="I39" s="212" t="str">
        <f t="shared" ref="I39:I70" si="46">IF(R39&gt;0,IF(O39="j",RANK(J39,J$7:J$73,1)-COUNTBLANK(O$7:O$73),""),"")</f>
        <v/>
      </c>
      <c r="J39" s="213">
        <f t="shared" ref="J39:J70" si="47">IF((O39="j"),U39,U39-1000)</f>
        <v>-967</v>
      </c>
      <c r="K39" s="178">
        <f t="shared" ref="K39:K65" si="48">IF(R39&gt;0,RANK(U39,U$7:U$73,1),"")</f>
        <v>33</v>
      </c>
      <c r="L39" s="700" t="s">
        <v>133</v>
      </c>
      <c r="M39" s="522"/>
      <c r="N39" s="523" t="str">
        <f>IF(M39="","m","")</f>
        <v>m</v>
      </c>
      <c r="O39" s="524"/>
      <c r="P39" s="525" t="s">
        <v>478</v>
      </c>
      <c r="Q39" s="526" t="s">
        <v>124</v>
      </c>
      <c r="R39" s="220">
        <f t="array" ref="R39">(IF(COUNT(Z39,AA39,AB39,AC39,AD39,AE39,AF39,AG39,AH39,AI39,AJ39,AK39,AL39,AM39,AN39)&lt;11,SUM(Z39,AA39,AB39,AC39,AD39,AE39,AF39,AG39,AH39,AI39,AJ39,AK39,AL39,AM39,AN39),SUM(LARGE((Z39,AA39,AB39,AC39,AD39,AE39,AF39,AG39,AH39,AI39,AJ39,AK39,AL39,AM39,AN39),{1;2;3;4;5;6;7;8;9;10}))))</f>
        <v>65</v>
      </c>
      <c r="S39" s="221" t="str">
        <f>INDEX(ETAPP!B$1:B$32,MATCH(COUNTIF(Z39:AN39,PVO!A$1),ETAPP!A$1:A$32,0))&amp;INDEX(ETAPP!B$1:B$32,MATCH(COUNTIF(Z39:AN39,PVO!A$2),ETAPP!A$1:A$32,0))&amp;INDEX(ETAPP!B$1:B$32,MATCH(COUNTIF(Z39:AN39,PVO!A$3),ETAPP!A$1:A$32,0))&amp;INDEX(ETAPP!B$1:B$32,MATCH(COUNTIF(Z39:AN39,PVO!A$4),ETAPP!A$1:A$32,0))&amp;INDEX(ETAPP!B$1:B$32,MATCH(COUNTIF(Z39:AN39,PVO!A$5),ETAPP!A$1:A$32,0))&amp;INDEX(ETAPP!B$1:B$32,MATCH(COUNTIF(Z39:AN39,PVO!A$6),ETAPP!A$1:A$32,0))&amp;INDEX(ETAPP!B$1:B$32,MATCH(COUNTIF(Z39:AN39,PVO!A$7),ETAPP!A$1:A$32,0))&amp;INDEX(ETAPP!B$1:B$32,MATCH(COUNTIF(Z39:AN39,PVO!A$8),ETAPP!A$1:A$32,0))&amp;INDEX(ETAPP!B$1:B$32,MATCH(COUNTIF(Z39:AN39,PVO!A$9),ETAPP!A$1:A$32,0))&amp;INDEX(ETAPP!B$1:B$32,MATCH(COUNTIF(Z39:AN39,PVO!A$10),ETAPP!A$1:A$32,0))&amp;INDEX(ETAPP!B$1:B$32,MATCH(COUNTIF(Z39:AN39,PVO!A$11),ETAPP!A$1:A$32,0))&amp;INDEX(ETAPP!B$1:B$32,MATCH(COUNTIF(Z39:AN39,PVO!A$12),ETAPP!A$1:A$32,0))&amp;INDEX(ETAPP!B$1:B$32,MATCH(COUNTIF(Z39:AN39,PVO!A$13),ETAPP!A$1:A$32,0))&amp;INDEX(ETAPP!B$1:B$32,MATCH(COUNTIF(Z39:AN39,PVO!A$14),ETAPP!A$1:A$32,0))&amp;INDEX(ETAPP!B$1:B$32,MATCH(COUNTIF(Z39:AN39,PVO!A$15),ETAPP!A$1:A$32,0))&amp;INDEX(ETAPP!B$1:B$32,MATCH(COUNTIF(Z39:AN39,PVO!A$16),ETAPP!A$1:A$32,0))&amp;INDEX(ETAPP!B$1:B$32,MATCH(COUNTIF(Z39:AN39,PVO!A$17),ETAPP!A$1:A$32,0))&amp;INDEX(ETAPP!B$1:B$32,MATCH(COUNTIF(Z39:AN39,PVO!A$18),ETAPP!A$1:A$32,0))&amp;INDEX(ETAPP!B$1:B$32,MATCH(COUNTIF(Z39:AN39,PVO!A$19),ETAPP!A$1:A$32,0))&amp;INDEX(ETAPP!B$1:B$32,MATCH(COUNTIF(Z39:AN39,PVO!A$20),ETAPP!A$1:A$32,0))&amp;INDEX(ETAPP!B$1:B$32,MATCH(COUNTIF(Z39:AN39,PVO!A$21),ETAPP!A$1:A$32,0))</f>
        <v>00000000A00ABABAA0000</v>
      </c>
      <c r="T39" s="221" t="str">
        <f t="shared" ref="T39:T70" si="49">TEXT(R39,"000,0")&amp;"-"&amp;S39</f>
        <v>065,0-00000000A00ABABAA0000</v>
      </c>
      <c r="U39" s="221">
        <f t="shared" ref="U39:U70" si="50">COUNTIF(T$7:T$73,"&gt;="&amp;T39)</f>
        <v>33</v>
      </c>
      <c r="V39" s="221">
        <f t="shared" ref="V39:V73" si="51">COUNTIF(L$7:L$73,"&gt;="&amp;L39)</f>
        <v>51</v>
      </c>
      <c r="W39" s="221" t="str">
        <f t="shared" ref="W39:W70" si="52">TEXT(R39,"000,0")&amp;"-"&amp;S39&amp;"-"&amp;TEXT(V39,"000")</f>
        <v>065,0-00000000A00ABABAA0000-051</v>
      </c>
      <c r="X39" s="221">
        <f t="shared" ref="X39:X70" si="53">COUNTIF(W$7:W$73,"&gt;="&amp;W39)</f>
        <v>33</v>
      </c>
      <c r="Y39" s="222">
        <f t="shared" ref="Y39:Y70" si="54">RANK(X39,X$7:X$73,0)</f>
        <v>35</v>
      </c>
      <c r="Z39" s="223">
        <f>IFERROR(INDEX('V1'!C$300:C$400,MATCH("*"&amp;L39&amp;"*",'V1'!B$300:B$400,0)),"  ")</f>
        <v>6</v>
      </c>
      <c r="AA39" s="223">
        <f>IFERROR(INDEX('V2'!C$300:C$400,MATCH("*"&amp;L39&amp;"*",'V2'!B$300:B$400,0)),"  ")</f>
        <v>4</v>
      </c>
      <c r="AB39" s="223">
        <f>IFERROR(INDEX('V3'!C$300:C$400,MATCH("*"&amp;L39&amp;"*",'V3'!B$300:B$400,0)),"  ")</f>
        <v>8</v>
      </c>
      <c r="AC39" s="223">
        <f>IFERROR(INDEX('V4'!C$300:C$400,MATCH("*"&amp;L39&amp;"*",'V4'!B$300:B$400,0)),"  ")</f>
        <v>7</v>
      </c>
      <c r="AD39" s="223">
        <f>IFERROR(INDEX('V5'!C$300:C$400,MATCH("*"&amp;L39&amp;"*",'V5'!B$300:B$400,0)),"  ")</f>
        <v>6</v>
      </c>
      <c r="AE39" s="223">
        <f>IFERROR(INDEX('V6'!C$300:C$400,MATCH("*"&amp;L39&amp;"*",'V6'!B$300:B$400,0)),"  ")</f>
        <v>5</v>
      </c>
      <c r="AF39" s="223" t="str">
        <f>IFERROR(INDEX('V7'!C$300:C$400,MATCH("*"&amp;L39&amp;"*",'V7'!B$300:B$400,0)),"  ")</f>
        <v xml:space="preserve">  </v>
      </c>
      <c r="AG39" s="223">
        <f>IFERROR(INDEX('V8'!C$300:C$400,MATCH("*"&amp;L39&amp;"*",'V8'!B$300:B$400,0)),"  ")</f>
        <v>9</v>
      </c>
      <c r="AH39" s="223">
        <f>IFERROR(INDEX('V9'!C$300:C$400,MATCH("*"&amp;L39&amp;"*",'V9'!B$300:B$400,0)),"  ")</f>
        <v>8</v>
      </c>
      <c r="AI39" s="223" t="str">
        <f>IFERROR(INDEX('V10'!C$300:C$400,MATCH("*"&amp;L39&amp;"*",'V10'!B$300:B$400,0)),"  ")</f>
        <v xml:space="preserve">  </v>
      </c>
      <c r="AJ39" s="223" t="str">
        <f>IFERROR(INDEX('V11'!C$300:C$400,MATCH("*"&amp;L39&amp;"*",'V11'!B$300:B$400,0)),"  ")</f>
        <v xml:space="preserve">  </v>
      </c>
      <c r="AK39" s="223" t="str">
        <f>IFERROR(INDEX('V12'!C$300:C$400,MATCH("*"&amp;L39&amp;"*",'V12'!B$300:B$400,0)),"  ")</f>
        <v xml:space="preserve">  </v>
      </c>
      <c r="AL39" s="223">
        <f>IFERROR(INDEX('V13'!C$300:C$400,MATCH("*"&amp;L39&amp;"*",'V13'!B$300:B$400,0)),"  ")</f>
        <v>12</v>
      </c>
      <c r="AM39" s="223"/>
      <c r="AN39" s="223"/>
      <c r="AO39" s="224">
        <f t="shared" ref="AO39:AO70" si="55">IF(AS39&gt;(AW$2-1),K39,"")</f>
        <v>33</v>
      </c>
      <c r="AP39" s="627">
        <f t="shared" ref="AP39:AP70" si="56">SUM(Z39:AN39)</f>
        <v>65</v>
      </c>
      <c r="AQ39" s="225" t="str">
        <f t="shared" ref="AQ39:AQ73" si="57">IFERROR("edasi "&amp;RANK(AO39,AO$7:AO$73,1),K39)</f>
        <v>edasi 33</v>
      </c>
      <c r="AR39" s="226" t="str">
        <f>IFERROR(INDEX(#REF!,MATCH("*"&amp;L39&amp;"*",#REF!,0)),"  ")</f>
        <v xml:space="preserve">  </v>
      </c>
      <c r="AS39" s="227">
        <f t="shared" ref="AS39:AS70" si="58">COUNTIF(Z39:AN39,"&gt;=0")</f>
        <v>9</v>
      </c>
      <c r="AT39" s="228">
        <f t="shared" ref="AT39:AT73" si="59">IFERROR(IF(Z39+1&gt;LARGE(Z$7:Z$73,1)-2,1),0)+IFERROR(IF(AA39+1&gt;LARGE(AA$7:AA$73,1)-2,1),0)+IFERROR(IF(AB39+1&gt;LARGE(AB$7:AB$73,1)-2,1),0)+IFERROR(IF(AC39+1&gt;LARGE(AC$7:AC$73,1)-2,1),0)+IFERROR(IF(AD39+1&gt;LARGE(AD$7:AD$73,1)-2,1),0)+IFERROR(IF(AE39+1&gt;LARGE(AE$7:AE$73,1)-2,1),0)+IFERROR(IF(AF39+1&gt;LARGE(AF$7:AF$73,1)-2,1),0)+IFERROR(IF(AG39+1&gt;LARGE(AG$7:AG$73,1)-2,1),0)+IFERROR(IF(AH39+1&gt;LARGE(AH$7:AH$73,1)-2,1),0)+IFERROR(IF(AI39+1&gt;LARGE(AI$7:AI$73,1)-2,1),0)+IFERROR(IF(AJ39+1&gt;LARGE(AJ$7:AJ$73,1)-2,1),0)+IFERROR(IF(AK39+1&gt;LARGE(AK$7:AK$73,1)-2,1),0)+IFERROR(IF(AL39+1&gt;LARGE(AL$7:AL$73,1)-2,1),0)+IFERROR(IF(AM39+1&gt;LARGE(AM$7:AM$73,1)-2,1),0)+IFERROR(IF(AN39+1&gt;LARGE(AN$7:AN$73,1)-2,1),0)</f>
        <v>0</v>
      </c>
      <c r="AU39" s="228">
        <f t="shared" ref="AU39:AU73" si="60">IF(Z39=0,0,IF(Z39=IFERROR(LARGE(Z$7:Z$73,1),0),1,0))+IF(AA39=0,0,IF(AA39=IFERROR(LARGE(AA$7:AA$73,1),0),1,0))+IF(AB39=0,0,IF(AB39=IFERROR(LARGE(AB$7:AB$73,1),0),1,0))+IF(AC39=0,0,IF(AC39=IFERROR(LARGE(AC$7:AC$73,1),0),1,0))+IF(AD39=0,0,IF(AD39=IFERROR(LARGE(AD$7:AD$73,1),0),1,0))+IF(AE39=0,0,IF(AE39=IFERROR(LARGE(AE$7:AE$73,1),0),1,0))+IF(AF39=0,0,IF(AF39=IFERROR(LARGE(AF$7:AF$73,1),0),1,0))+IF(AG39=0,0,IF(AG39=IFERROR(LARGE(AG$7:AG$73,1),0),1,0))+IF(AH39=0,0,IF(AH39=IFERROR(LARGE(AH$7:AH$73,1),0),1,0))+IF(AI39=0,0,IF(AI39=IFERROR(LARGE(AI$7:AI$73,1),0),1,0))+IF(AJ39=0,0,IF(AJ39=IFERROR(LARGE(AJ$7:AJ$73,1),0),1,0))+IF(AK39=0,0,IF(AK39=IFERROR(LARGE(AK$7:AK$73,1),0),1,0))+IF(AL39=0,0,IF(AL39=IFERROR(LARGE(AL$7:AL$73,1),0),1,0))+IF(AM39=0,0,IF(AM39=IFERROR(LARGE(AM$7:AM$73,1),0),1,0))+IF(AN39=0,0,IF(AN39=IFERROR(LARGE(AN$7:AN$73,1),0),1,0))</f>
        <v>0</v>
      </c>
      <c r="AV39" s="233"/>
      <c r="AW39" s="229">
        <f t="shared" ref="AW39:AW70" si="61">SMALL(AX39:BJ39,AW$3)</f>
        <v>1.1000000000000001E-3</v>
      </c>
      <c r="AX39" s="230">
        <f t="shared" ref="AX39:AX70" si="62">IF(Z39="  ",0+MID(Z$6,FIND("V",Z$6)+1,256)/10000,Z39+MID(Z$6,FIND("V",Z$6)+1,256)/10000)</f>
        <v>6.0000999999999998</v>
      </c>
      <c r="AY39" s="230">
        <f t="shared" ref="AY39:AY70" si="63">IF(AA39="  ",0+MID(AA$6,FIND("V",AA$6)+1,256)/10000,AA39+MID(AA$6,FIND("V",AA$6)+1,256)/10000)</f>
        <v>4.0002000000000004</v>
      </c>
      <c r="AZ39" s="230">
        <f t="shared" ref="AZ39:AZ70" si="64">IF(AB39="  ",0+MID(AB$6,FIND("V",AB$6)+1,256)/10000,AB39+MID(AB$6,FIND("V",AB$6)+1,256)/10000)</f>
        <v>8.0002999999999993</v>
      </c>
      <c r="BA39" s="230">
        <f t="shared" ref="BA39:BA70" si="65">IF(AC39="  ",0+MID(AC$6,FIND("V",AC$6)+1,256)/10000,AC39+MID(AC$6,FIND("V",AC$6)+1,256)/10000)</f>
        <v>7.0004</v>
      </c>
      <c r="BB39" s="230">
        <f t="shared" ref="BB39:BB70" si="66">IF(AD39="  ",0+MID(AD$6,FIND("V",AD$6)+1,256)/10000,AD39+MID(AD$6,FIND("V",AD$6)+1,256)/10000)</f>
        <v>6.0004999999999997</v>
      </c>
      <c r="BC39" s="230">
        <f t="shared" ref="BC39:BC70" si="67">IF(AE39="  ",0+MID(AE$6,FIND("V",AE$6)+1,256)/10000,AE39+MID(AE$6,FIND("V",AE$6)+1,256)/10000)</f>
        <v>5.0006000000000004</v>
      </c>
      <c r="BD39" s="230">
        <f t="shared" ref="BD39:BD70" si="68">IF(AF39="  ",0+MID(AF$6,FIND("V",AF$6)+1,256)/10000,AF39+MID(AF$6,FIND("V",AF$6)+1,256)/10000)</f>
        <v>6.9999999999999999E-4</v>
      </c>
      <c r="BE39" s="230">
        <f t="shared" ref="BE39:BE70" si="69">IF(AG39="  ",0+MID(AG$6,FIND("V",AG$6)+1,256)/10000,AG39+MID(AG$6,FIND("V",AG$6)+1,256)/10000)</f>
        <v>9.0007999999999999</v>
      </c>
      <c r="BF39" s="230">
        <f t="shared" ref="BF39:BF70" si="70">IF(AH39="  ",0+MID(AH$6,FIND("V",AH$6)+1,256)/10000,AH39+MID(AH$6,FIND("V",AH$6)+1,256)/10000)</f>
        <v>8.0008999999999997</v>
      </c>
      <c r="BG39" s="230">
        <f t="shared" ref="BG39:BG70" si="71">IF(AI39="  ",0+MID(AI$6,FIND("V",AI$6)+1,256)/10000,AI39+MID(AI$6,FIND("V",AI$6)+1,256)/10000)</f>
        <v>1E-3</v>
      </c>
      <c r="BH39" s="230">
        <f t="shared" ref="BH39:BH70" si="72">IF(AJ39="  ",0+MID(AJ$6,FIND("V",AJ$6)+1,256)/10000,AJ39+MID(AJ$6,FIND("V",AJ$6)+1,256)/10000)</f>
        <v>1.1000000000000001E-3</v>
      </c>
      <c r="BI39" s="230">
        <f t="shared" ref="BI39:BI70" si="73">IF(AK39="  ",0+MID(AK$6,FIND("V",AK$6)+1,256)/10000,AK39+MID(AK$6,FIND("V",AK$6)+1,256)/10000)</f>
        <v>1.1999999999999999E-3</v>
      </c>
      <c r="BJ39" s="230">
        <f t="shared" ref="BJ39:BJ70" si="74">IF(AL39="  ",0+MID(AL$6,FIND("V",AL$6)+1,256)/10000,AL39+MID(AL$6,FIND("V",AL$6)+1,256)/10000)</f>
        <v>12.001300000000001</v>
      </c>
      <c r="BK39" s="156"/>
    </row>
    <row r="40" spans="1:63" x14ac:dyDescent="0.2">
      <c r="A40" s="208">
        <f t="shared" si="38"/>
        <v>24</v>
      </c>
      <c r="B40" s="209">
        <f t="shared" si="39"/>
        <v>34</v>
      </c>
      <c r="C40" s="736">
        <f t="shared" si="40"/>
        <v>15</v>
      </c>
      <c r="D40" s="565">
        <f t="shared" si="41"/>
        <v>34</v>
      </c>
      <c r="E40" s="210">
        <f t="shared" si="42"/>
        <v>30</v>
      </c>
      <c r="F40" s="209">
        <f t="shared" si="43"/>
        <v>34</v>
      </c>
      <c r="G40" s="211" t="str">
        <f t="shared" si="44"/>
        <v/>
      </c>
      <c r="H40" s="209">
        <f t="shared" si="45"/>
        <v>-966</v>
      </c>
      <c r="I40" s="212" t="str">
        <f t="shared" si="46"/>
        <v/>
      </c>
      <c r="J40" s="213">
        <f t="shared" si="47"/>
        <v>-966</v>
      </c>
      <c r="K40" s="178">
        <f t="shared" si="48"/>
        <v>34</v>
      </c>
      <c r="L40" s="700" t="s">
        <v>155</v>
      </c>
      <c r="M40" s="522"/>
      <c r="N40" s="523" t="str">
        <f>IF(M40="","m","")</f>
        <v>m</v>
      </c>
      <c r="O40" s="524"/>
      <c r="P40" s="525" t="s">
        <v>478</v>
      </c>
      <c r="Q40" s="526" t="s">
        <v>124</v>
      </c>
      <c r="R40" s="220">
        <f t="array" ref="R40">(IF(COUNT(Z40,AA40,AB40,AC40,AD40,AE40,AF40,AG40,AH40,AI40,AJ40,AK40,AL40,AM40,AN40)&lt;11,SUM(Z40,AA40,AB40,AC40,AD40,AE40,AF40,AG40,AH40,AI40,AJ40,AK40,AL40,AM40,AN40),SUM(LARGE((Z40,AA40,AB40,AC40,AD40,AE40,AF40,AG40,AH40,AI40,AJ40,AK40,AL40,AM40,AN40),{1;2;3;4;5;6;7;8;9;10}))))</f>
        <v>64</v>
      </c>
      <c r="S40" s="221" t="str">
        <f>INDEX(ETAPP!B$1:B$32,MATCH(COUNTIF(Z40:AN40,PVO!A$1),ETAPP!A$1:A$32,0))&amp;INDEX(ETAPP!B$1:B$32,MATCH(COUNTIF(Z40:AN40,PVO!A$2),ETAPP!A$1:A$32,0))&amp;INDEX(ETAPP!B$1:B$32,MATCH(COUNTIF(Z40:AN40,PVO!A$3),ETAPP!A$1:A$32,0))&amp;INDEX(ETAPP!B$1:B$32,MATCH(COUNTIF(Z40:AN40,PVO!A$4),ETAPP!A$1:A$32,0))&amp;INDEX(ETAPP!B$1:B$32,MATCH(COUNTIF(Z40:AN40,PVO!A$5),ETAPP!A$1:A$32,0))&amp;INDEX(ETAPP!B$1:B$32,MATCH(COUNTIF(Z40:AN40,PVO!A$6),ETAPP!A$1:A$32,0))&amp;INDEX(ETAPP!B$1:B$32,MATCH(COUNTIF(Z40:AN40,PVO!A$7),ETAPP!A$1:A$32,0))&amp;INDEX(ETAPP!B$1:B$32,MATCH(COUNTIF(Z40:AN40,PVO!A$8),ETAPP!A$1:A$32,0))&amp;INDEX(ETAPP!B$1:B$32,MATCH(COUNTIF(Z40:AN40,PVO!A$9),ETAPP!A$1:A$32,0))&amp;INDEX(ETAPP!B$1:B$32,MATCH(COUNTIF(Z40:AN40,PVO!A$10),ETAPP!A$1:A$32,0))&amp;INDEX(ETAPP!B$1:B$32,MATCH(COUNTIF(Z40:AN40,PVO!A$11),ETAPP!A$1:A$32,0))&amp;INDEX(ETAPP!B$1:B$32,MATCH(COUNTIF(Z40:AN40,PVO!A$12),ETAPP!A$1:A$32,0))&amp;INDEX(ETAPP!B$1:B$32,MATCH(COUNTIF(Z40:AN40,PVO!A$13),ETAPP!A$1:A$32,0))&amp;INDEX(ETAPP!B$1:B$32,MATCH(COUNTIF(Z40:AN40,PVO!A$14),ETAPP!A$1:A$32,0))&amp;INDEX(ETAPP!B$1:B$32,MATCH(COUNTIF(Z40:AN40,PVO!A$15),ETAPP!A$1:A$32,0))&amp;INDEX(ETAPP!B$1:B$32,MATCH(COUNTIF(Z40:AN40,PVO!A$16),ETAPP!A$1:A$32,0))&amp;INDEX(ETAPP!B$1:B$32,MATCH(COUNTIF(Z40:AN40,PVO!A$17),ETAPP!A$1:A$32,0))&amp;INDEX(ETAPP!B$1:B$32,MATCH(COUNTIF(Z40:AN40,PVO!A$18),ETAPP!A$1:A$32,0))&amp;INDEX(ETAPP!B$1:B$32,MATCH(COUNTIF(Z40:AN40,PVO!A$19),ETAPP!A$1:A$32,0))&amp;INDEX(ETAPP!B$1:B$32,MATCH(COUNTIF(Z40:AN40,PVO!A$20),ETAPP!A$1:A$32,0))&amp;INDEX(ETAPP!B$1:B$32,MATCH(COUNTIF(Z40:AN40,PVO!A$21),ETAPP!A$1:A$32,0))</f>
        <v>0A0A0A0A0000000000000</v>
      </c>
      <c r="T40" s="221" t="str">
        <f t="shared" si="49"/>
        <v>064,0-0A0A0A0A0000000000000</v>
      </c>
      <c r="U40" s="221">
        <f t="shared" si="50"/>
        <v>34</v>
      </c>
      <c r="V40" s="221">
        <f t="shared" si="51"/>
        <v>14</v>
      </c>
      <c r="W40" s="221" t="str">
        <f t="shared" si="52"/>
        <v>064,0-0A0A0A0A0000000000000-014</v>
      </c>
      <c r="X40" s="221">
        <f t="shared" si="53"/>
        <v>34</v>
      </c>
      <c r="Y40" s="222">
        <f t="shared" si="54"/>
        <v>34</v>
      </c>
      <c r="Z40" s="223" t="str">
        <f>IFERROR(INDEX('V1'!C$300:C$400,MATCH("*"&amp;L40&amp;"*",'V1'!B$300:B$400,0)),"  ")</f>
        <v xml:space="preserve">  </v>
      </c>
      <c r="AA40" s="223">
        <f>IFERROR(INDEX('V2'!C$300:C$400,MATCH("*"&amp;L40&amp;"*",'V2'!B$300:B$400,0)),"  ")</f>
        <v>17</v>
      </c>
      <c r="AB40" s="223" t="str">
        <f>IFERROR(INDEX('V3'!C$300:C$400,MATCH("*"&amp;L40&amp;"*",'V3'!B$300:B$400,0)),"  ")</f>
        <v xml:space="preserve">  </v>
      </c>
      <c r="AC40" s="223" t="str">
        <f>IFERROR(INDEX('V4'!C$300:C$400,MATCH("*"&amp;L40&amp;"*",'V4'!B$300:B$400,0)),"  ")</f>
        <v xml:space="preserve">  </v>
      </c>
      <c r="AD40" s="223" t="str">
        <f>IFERROR(INDEX('V5'!C$300:C$400,MATCH("*"&amp;L40&amp;"*",'V5'!B$300:B$400,0)),"  ")</f>
        <v xml:space="preserve">  </v>
      </c>
      <c r="AE40" s="223" t="str">
        <f>IFERROR(INDEX('V6'!C$300:C$400,MATCH("*"&amp;L40&amp;"*",'V6'!B$300:B$400,0)),"  ")</f>
        <v xml:space="preserve">  </v>
      </c>
      <c r="AF40" s="223" t="str">
        <f>IFERROR(INDEX('V7'!C$300:C$400,MATCH("*"&amp;L40&amp;"*",'V7'!B$300:B$400,0)),"  ")</f>
        <v xml:space="preserve">  </v>
      </c>
      <c r="AG40" s="223" t="str">
        <f>IFERROR(INDEX('V8'!C$300:C$400,MATCH("*"&amp;L40&amp;"*",'V8'!B$300:B$400,0)),"  ")</f>
        <v xml:space="preserve">  </v>
      </c>
      <c r="AH40" s="223" t="str">
        <f>IFERROR(INDEX('V9'!C$300:C$400,MATCH("*"&amp;L40&amp;"*",'V9'!B$300:B$400,0)),"  ")</f>
        <v xml:space="preserve">  </v>
      </c>
      <c r="AI40" s="223" t="str">
        <f>IFERROR(INDEX('V10'!C$300:C$400,MATCH("*"&amp;L40&amp;"*",'V10'!B$300:B$400,0)),"  ")</f>
        <v xml:space="preserve">  </v>
      </c>
      <c r="AJ40" s="223">
        <f>IFERROR(INDEX('V11'!C$300:C$400,MATCH("*"&amp;L40&amp;"*",'V11'!B$300:B$400,0)),"  ")</f>
        <v>19</v>
      </c>
      <c r="AK40" s="223">
        <f>IFERROR(INDEX('V12'!C$300:C$400,MATCH("*"&amp;L40&amp;"*",'V12'!B$300:B$400,0)),"  ")</f>
        <v>13</v>
      </c>
      <c r="AL40" s="223">
        <f>IFERROR(INDEX('V13'!C$300:C$400,MATCH("*"&amp;L40&amp;"*",'V13'!B$300:B$400,0)),"  ")</f>
        <v>15</v>
      </c>
      <c r="AM40" s="223"/>
      <c r="AN40" s="223"/>
      <c r="AO40" s="224">
        <f t="shared" si="55"/>
        <v>34</v>
      </c>
      <c r="AP40" s="627">
        <f t="shared" si="56"/>
        <v>64</v>
      </c>
      <c r="AQ40" s="225" t="str">
        <f t="shared" si="57"/>
        <v>edasi 34</v>
      </c>
      <c r="AR40" s="226" t="str">
        <f>IFERROR(INDEX(#REF!,MATCH("*"&amp;L40&amp;"*",#REF!,0)),"  ")</f>
        <v xml:space="preserve">  </v>
      </c>
      <c r="AS40" s="227">
        <f t="shared" si="58"/>
        <v>4</v>
      </c>
      <c r="AT40" s="228">
        <f t="shared" si="59"/>
        <v>1</v>
      </c>
      <c r="AU40" s="228">
        <f t="shared" si="60"/>
        <v>0</v>
      </c>
      <c r="AV40" s="156"/>
      <c r="AW40" s="229">
        <f t="shared" si="61"/>
        <v>4.0000000000000002E-4</v>
      </c>
      <c r="AX40" s="230">
        <f t="shared" si="62"/>
        <v>1E-4</v>
      </c>
      <c r="AY40" s="230">
        <f t="shared" si="63"/>
        <v>17.0002</v>
      </c>
      <c r="AZ40" s="230">
        <f t="shared" si="64"/>
        <v>2.9999999999999997E-4</v>
      </c>
      <c r="BA40" s="230">
        <f t="shared" si="65"/>
        <v>4.0000000000000002E-4</v>
      </c>
      <c r="BB40" s="230">
        <f t="shared" si="66"/>
        <v>5.0000000000000001E-4</v>
      </c>
      <c r="BC40" s="230">
        <f t="shared" si="67"/>
        <v>5.9999999999999995E-4</v>
      </c>
      <c r="BD40" s="230">
        <f t="shared" si="68"/>
        <v>6.9999999999999999E-4</v>
      </c>
      <c r="BE40" s="230">
        <f t="shared" si="69"/>
        <v>8.0000000000000004E-4</v>
      </c>
      <c r="BF40" s="230">
        <f t="shared" si="70"/>
        <v>8.9999999999999998E-4</v>
      </c>
      <c r="BG40" s="230">
        <f t="shared" si="71"/>
        <v>1E-3</v>
      </c>
      <c r="BH40" s="230">
        <f t="shared" si="72"/>
        <v>19.001100000000001</v>
      </c>
      <c r="BI40" s="230">
        <f t="shared" si="73"/>
        <v>13.001200000000001</v>
      </c>
      <c r="BJ40" s="230">
        <f t="shared" si="74"/>
        <v>15.001300000000001</v>
      </c>
      <c r="BK40" s="156"/>
    </row>
    <row r="41" spans="1:63" x14ac:dyDescent="0.2">
      <c r="A41" s="208" t="str">
        <f t="shared" si="38"/>
        <v/>
      </c>
      <c r="B41" s="209">
        <f t="shared" si="39"/>
        <v>-965</v>
      </c>
      <c r="C41" s="736" t="str">
        <f t="shared" si="40"/>
        <v/>
      </c>
      <c r="D41" s="565">
        <f t="shared" si="41"/>
        <v>-965</v>
      </c>
      <c r="E41" s="210">
        <f t="shared" si="42"/>
        <v>31</v>
      </c>
      <c r="F41" s="209">
        <f t="shared" si="43"/>
        <v>35</v>
      </c>
      <c r="G41" s="211" t="str">
        <f t="shared" si="44"/>
        <v/>
      </c>
      <c r="H41" s="209">
        <f t="shared" si="45"/>
        <v>-965</v>
      </c>
      <c r="I41" s="212" t="str">
        <f t="shared" si="46"/>
        <v/>
      </c>
      <c r="J41" s="213">
        <f t="shared" si="47"/>
        <v>-965</v>
      </c>
      <c r="K41" s="178">
        <f t="shared" si="48"/>
        <v>35</v>
      </c>
      <c r="L41" s="588" t="s">
        <v>150</v>
      </c>
      <c r="M41" s="522"/>
      <c r="N41" s="523" t="s">
        <v>128</v>
      </c>
      <c r="O41" s="524"/>
      <c r="P41" s="525"/>
      <c r="Q41" s="526"/>
      <c r="R41" s="220">
        <f t="array" ref="R41">(IF(COUNT(Z41,AA41,AB41,AC41,AD41,AE41,AF41,AG41,AH41,AI41,AJ41,AK41,AL41,AM41,AN41)&lt;11,SUM(Z41,AA41,AB41,AC41,AD41,AE41,AF41,AG41,AH41,AI41,AJ41,AK41,AL41,AM41,AN41),SUM(LARGE((Z41,AA41,AB41,AC41,AD41,AE41,AF41,AG41,AH41,AI41,AJ41,AK41,AL41,AM41,AN41),{1;2;3;4;5;6;7;8;9;10}))))</f>
        <v>60</v>
      </c>
      <c r="S41" s="221" t="str">
        <f>INDEX(ETAPP!B$1:B$32,MATCH(COUNTIF(Z41:AN41,PVO!A$1),ETAPP!A$1:A$32,0))&amp;INDEX(ETAPP!B$1:B$32,MATCH(COUNTIF(Z41:AN41,PVO!A$2),ETAPP!A$1:A$32,0))&amp;INDEX(ETAPP!B$1:B$32,MATCH(COUNTIF(Z41:AN41,PVO!A$3),ETAPP!A$1:A$32,0))&amp;INDEX(ETAPP!B$1:B$32,MATCH(COUNTIF(Z41:AN41,PVO!A$4),ETAPP!A$1:A$32,0))&amp;INDEX(ETAPP!B$1:B$32,MATCH(COUNTIF(Z41:AN41,PVO!A$5),ETAPP!A$1:A$32,0))&amp;INDEX(ETAPP!B$1:B$32,MATCH(COUNTIF(Z41:AN41,PVO!A$6),ETAPP!A$1:A$32,0))&amp;INDEX(ETAPP!B$1:B$32,MATCH(COUNTIF(Z41:AN41,PVO!A$7),ETAPP!A$1:A$32,0))&amp;INDEX(ETAPP!B$1:B$32,MATCH(COUNTIF(Z41:AN41,PVO!A$8),ETAPP!A$1:A$32,0))&amp;INDEX(ETAPP!B$1:B$32,MATCH(COUNTIF(Z41:AN41,PVO!A$9),ETAPP!A$1:A$32,0))&amp;INDEX(ETAPP!B$1:B$32,MATCH(COUNTIF(Z41:AN41,PVO!A$10),ETAPP!A$1:A$32,0))&amp;INDEX(ETAPP!B$1:B$32,MATCH(COUNTIF(Z41:AN41,PVO!A$11),ETAPP!A$1:A$32,0))&amp;INDEX(ETAPP!B$1:B$32,MATCH(COUNTIF(Z41:AN41,PVO!A$12),ETAPP!A$1:A$32,0))&amp;INDEX(ETAPP!B$1:B$32,MATCH(COUNTIF(Z41:AN41,PVO!A$13),ETAPP!A$1:A$32,0))&amp;INDEX(ETAPP!B$1:B$32,MATCH(COUNTIF(Z41:AN41,PVO!A$14),ETAPP!A$1:A$32,0))&amp;INDEX(ETAPP!B$1:B$32,MATCH(COUNTIF(Z41:AN41,PVO!A$15),ETAPP!A$1:A$32,0))&amp;INDEX(ETAPP!B$1:B$32,MATCH(COUNTIF(Z41:AN41,PVO!A$16),ETAPP!A$1:A$32,0))&amp;INDEX(ETAPP!B$1:B$32,MATCH(COUNTIF(Z41:AN41,PVO!A$17),ETAPP!A$1:A$32,0))&amp;INDEX(ETAPP!B$1:B$32,MATCH(COUNTIF(Z41:AN41,PVO!A$18),ETAPP!A$1:A$32,0))&amp;INDEX(ETAPP!B$1:B$32,MATCH(COUNTIF(Z41:AN41,PVO!A$19),ETAPP!A$1:A$32,0))&amp;INDEX(ETAPP!B$1:B$32,MATCH(COUNTIF(Z41:AN41,PVO!A$20),ETAPP!A$1:A$32,0))&amp;INDEX(ETAPP!B$1:B$32,MATCH(COUNTIF(Z41:AN41,PVO!A$21),ETAPP!A$1:A$32,0))</f>
        <v>C00000000000000000000</v>
      </c>
      <c r="T41" s="221" t="str">
        <f t="shared" si="49"/>
        <v>060,0-C00000000000000000000</v>
      </c>
      <c r="U41" s="221">
        <f t="shared" si="50"/>
        <v>35</v>
      </c>
      <c r="V41" s="221">
        <f t="shared" si="51"/>
        <v>12</v>
      </c>
      <c r="W41" s="221" t="str">
        <f t="shared" si="52"/>
        <v>060,0-C00000000000000000000-012</v>
      </c>
      <c r="X41" s="221">
        <f t="shared" si="53"/>
        <v>35</v>
      </c>
      <c r="Y41" s="222">
        <f t="shared" si="54"/>
        <v>33</v>
      </c>
      <c r="Z41" s="223" t="str">
        <f>IFERROR(INDEX('V1'!C$300:C$400,MATCH("*"&amp;L41&amp;"*",'V1'!B$300:B$400,0)),"  ")</f>
        <v xml:space="preserve">  </v>
      </c>
      <c r="AA41" s="223" t="str">
        <f>IFERROR(INDEX('V2'!C$300:C$400,MATCH("*"&amp;L41&amp;"*",'V2'!B$300:B$400,0)),"  ")</f>
        <v xml:space="preserve">  </v>
      </c>
      <c r="AB41" s="223" t="str">
        <f>IFERROR(INDEX('V3'!C$300:C$400,MATCH("*"&amp;L41&amp;"*",'V3'!B$300:B$400,0)),"  ")</f>
        <v xml:space="preserve">  </v>
      </c>
      <c r="AC41" s="223">
        <f>IFERROR(INDEX('V4'!C$300:C$400,MATCH("*"&amp;L41&amp;"*",'V4'!B$300:B$400,0)),"  ")</f>
        <v>20</v>
      </c>
      <c r="AD41" s="223" t="str">
        <f>IFERROR(INDEX('V5'!C$300:C$400,MATCH("*"&amp;L41&amp;"*",'V5'!B$300:B$400,0)),"  ")</f>
        <v xml:space="preserve">  </v>
      </c>
      <c r="AE41" s="223" t="str">
        <f>IFERROR(INDEX('V6'!C$300:C$400,MATCH("*"&amp;L41&amp;"*",'V6'!B$300:B$400,0)),"  ")</f>
        <v xml:space="preserve">  </v>
      </c>
      <c r="AF41" s="223" t="str">
        <f>IFERROR(INDEX('V7'!C$300:C$400,MATCH("*"&amp;L41&amp;"*",'V7'!B$300:B$400,0)),"  ")</f>
        <v xml:space="preserve">  </v>
      </c>
      <c r="AG41" s="223">
        <f>IFERROR(INDEX('V8'!C$300:C$400,MATCH("*"&amp;L41&amp;"*",'V8'!B$300:B$400,0)),"  ")</f>
        <v>20</v>
      </c>
      <c r="AH41" s="223" t="str">
        <f>IFERROR(INDEX('V9'!C$300:C$400,MATCH("*"&amp;L41&amp;"*",'V9'!B$300:B$400,0)),"  ")</f>
        <v xml:space="preserve">  </v>
      </c>
      <c r="AI41" s="223" t="str">
        <f>IFERROR(INDEX('V10'!C$300:C$400,MATCH("*"&amp;L41&amp;"*",'V10'!B$300:B$400,0)),"  ")</f>
        <v xml:space="preserve">  </v>
      </c>
      <c r="AJ41" s="223" t="str">
        <f>IFERROR(INDEX('V11'!C$300:C$400,MATCH("*"&amp;L41&amp;"*",'V11'!B$300:B$400,0)),"  ")</f>
        <v xml:space="preserve">  </v>
      </c>
      <c r="AK41" s="223">
        <f>IFERROR(INDEX('V12'!C$300:C$400,MATCH("*"&amp;L41&amp;"*",'V12'!B$300:B$400,0)),"  ")</f>
        <v>20</v>
      </c>
      <c r="AL41" s="223" t="str">
        <f>IFERROR(INDEX('V13'!C$300:C$400,MATCH("*"&amp;L41&amp;"*",'V13'!B$300:B$400,0)),"  ")</f>
        <v xml:space="preserve">  </v>
      </c>
      <c r="AM41" s="223"/>
      <c r="AN41" s="223"/>
      <c r="AO41" s="224">
        <f t="shared" si="55"/>
        <v>35</v>
      </c>
      <c r="AP41" s="627">
        <f t="shared" si="56"/>
        <v>60</v>
      </c>
      <c r="AQ41" s="225" t="str">
        <f t="shared" si="57"/>
        <v>edasi 35</v>
      </c>
      <c r="AR41" s="226" t="str">
        <f>IFERROR(INDEX(#REF!,MATCH("*"&amp;L41&amp;"*",#REF!,0)),"  ")</f>
        <v xml:space="preserve">  </v>
      </c>
      <c r="AS41" s="227">
        <f t="shared" si="58"/>
        <v>3</v>
      </c>
      <c r="AT41" s="228">
        <f t="shared" si="59"/>
        <v>3</v>
      </c>
      <c r="AU41" s="228">
        <f t="shared" si="60"/>
        <v>3</v>
      </c>
      <c r="AV41" s="156"/>
      <c r="AW41" s="229">
        <f t="shared" si="61"/>
        <v>2.9999999999999997E-4</v>
      </c>
      <c r="AX41" s="230">
        <f t="shared" si="62"/>
        <v>1E-4</v>
      </c>
      <c r="AY41" s="230">
        <f t="shared" si="63"/>
        <v>2.0000000000000001E-4</v>
      </c>
      <c r="AZ41" s="230">
        <f t="shared" si="64"/>
        <v>2.9999999999999997E-4</v>
      </c>
      <c r="BA41" s="230">
        <f t="shared" si="65"/>
        <v>20.000399999999999</v>
      </c>
      <c r="BB41" s="230">
        <f t="shared" si="66"/>
        <v>5.0000000000000001E-4</v>
      </c>
      <c r="BC41" s="230">
        <f t="shared" si="67"/>
        <v>5.9999999999999995E-4</v>
      </c>
      <c r="BD41" s="230">
        <f t="shared" si="68"/>
        <v>6.9999999999999999E-4</v>
      </c>
      <c r="BE41" s="230">
        <f t="shared" si="69"/>
        <v>20.000800000000002</v>
      </c>
      <c r="BF41" s="230">
        <f t="shared" si="70"/>
        <v>8.9999999999999998E-4</v>
      </c>
      <c r="BG41" s="230">
        <f t="shared" si="71"/>
        <v>1E-3</v>
      </c>
      <c r="BH41" s="230">
        <f t="shared" si="72"/>
        <v>1.1000000000000001E-3</v>
      </c>
      <c r="BI41" s="230">
        <f t="shared" si="73"/>
        <v>20.001200000000001</v>
      </c>
      <c r="BJ41" s="230">
        <f t="shared" si="74"/>
        <v>1.2999999999999999E-3</v>
      </c>
      <c r="BK41" s="156"/>
    </row>
    <row r="42" spans="1:63" x14ac:dyDescent="0.2">
      <c r="A42" s="208" t="str">
        <f t="shared" si="38"/>
        <v/>
      </c>
      <c r="B42" s="209">
        <f t="shared" si="39"/>
        <v>-964</v>
      </c>
      <c r="C42" s="736" t="str">
        <f t="shared" si="40"/>
        <v/>
      </c>
      <c r="D42" s="565">
        <f t="shared" si="41"/>
        <v>-964</v>
      </c>
      <c r="E42" s="210" t="str">
        <f t="shared" si="42"/>
        <v/>
      </c>
      <c r="F42" s="209">
        <f t="shared" si="43"/>
        <v>-964</v>
      </c>
      <c r="G42" s="211">
        <f t="shared" si="44"/>
        <v>5</v>
      </c>
      <c r="H42" s="209">
        <f t="shared" si="45"/>
        <v>36</v>
      </c>
      <c r="I42" s="212" t="str">
        <f t="shared" si="46"/>
        <v/>
      </c>
      <c r="J42" s="213">
        <f t="shared" si="47"/>
        <v>-964</v>
      </c>
      <c r="K42" s="178">
        <f t="shared" si="48"/>
        <v>36</v>
      </c>
      <c r="L42" s="588" t="s">
        <v>134</v>
      </c>
      <c r="M42" s="522" t="s">
        <v>135</v>
      </c>
      <c r="N42" s="523" t="str">
        <f>IF(M42="","m","")</f>
        <v/>
      </c>
      <c r="O42" s="524"/>
      <c r="P42" s="525"/>
      <c r="Q42" s="526"/>
      <c r="R42" s="220">
        <f t="array" ref="R42">(IF(COUNT(Z42,AA42,AB42,AC42,AD42,AE42,AF42,AG42,AH42,AI42,AJ42,AK42,AL42,AM42,AN42)&lt;11,SUM(Z42,AA42,AB42,AC42,AD42,AE42,AF42,AG42,AH42,AI42,AJ42,AK42,AL42,AM42,AN42),SUM(LARGE((Z42,AA42,AB42,AC42,AD42,AE42,AF42,AG42,AH42,AI42,AJ42,AK42,AL42,AM42,AN42),{1;2;3;4;5;6;7;8;9;10}))))</f>
        <v>57</v>
      </c>
      <c r="S42" s="221" t="str">
        <f>INDEX(ETAPP!B$1:B$32,MATCH(COUNTIF(Z42:AN42,PVO!A$1),ETAPP!A$1:A$32,0))&amp;INDEX(ETAPP!B$1:B$32,MATCH(COUNTIF(Z42:AN42,PVO!A$2),ETAPP!A$1:A$32,0))&amp;INDEX(ETAPP!B$1:B$32,MATCH(COUNTIF(Z42:AN42,PVO!A$3),ETAPP!A$1:A$32,0))&amp;INDEX(ETAPP!B$1:B$32,MATCH(COUNTIF(Z42:AN42,PVO!A$4),ETAPP!A$1:A$32,0))&amp;INDEX(ETAPP!B$1:B$32,MATCH(COUNTIF(Z42:AN42,PVO!A$5),ETAPP!A$1:A$32,0))&amp;INDEX(ETAPP!B$1:B$32,MATCH(COUNTIF(Z42:AN42,PVO!A$6),ETAPP!A$1:A$32,0))&amp;INDEX(ETAPP!B$1:B$32,MATCH(COUNTIF(Z42:AN42,PVO!A$7),ETAPP!A$1:A$32,0))&amp;INDEX(ETAPP!B$1:B$32,MATCH(COUNTIF(Z42:AN42,PVO!A$8),ETAPP!A$1:A$32,0))&amp;INDEX(ETAPP!B$1:B$32,MATCH(COUNTIF(Z42:AN42,PVO!A$9),ETAPP!A$1:A$32,0))&amp;INDEX(ETAPP!B$1:B$32,MATCH(COUNTIF(Z42:AN42,PVO!A$10),ETAPP!A$1:A$32,0))&amp;INDEX(ETAPP!B$1:B$32,MATCH(COUNTIF(Z42:AN42,PVO!A$11),ETAPP!A$1:A$32,0))&amp;INDEX(ETAPP!B$1:B$32,MATCH(COUNTIF(Z42:AN42,PVO!A$12),ETAPP!A$1:A$32,0))&amp;INDEX(ETAPP!B$1:B$32,MATCH(COUNTIF(Z42:AN42,PVO!A$13),ETAPP!A$1:A$32,0))&amp;INDEX(ETAPP!B$1:B$32,MATCH(COUNTIF(Z42:AN42,PVO!A$14),ETAPP!A$1:A$32,0))&amp;INDEX(ETAPP!B$1:B$32,MATCH(COUNTIF(Z42:AN42,PVO!A$15),ETAPP!A$1:A$32,0))&amp;INDEX(ETAPP!B$1:B$32,MATCH(COUNTIF(Z42:AN42,PVO!A$16),ETAPP!A$1:A$32,0))&amp;INDEX(ETAPP!B$1:B$32,MATCH(COUNTIF(Z42:AN42,PVO!A$17),ETAPP!A$1:A$32,0))&amp;INDEX(ETAPP!B$1:B$32,MATCH(COUNTIF(Z42:AN42,PVO!A$18),ETAPP!A$1:A$32,0))&amp;INDEX(ETAPP!B$1:B$32,MATCH(COUNTIF(Z42:AN42,PVO!A$19),ETAPP!A$1:A$32,0))&amp;INDEX(ETAPP!B$1:B$32,MATCH(COUNTIF(Z42:AN42,PVO!A$20),ETAPP!A$1:A$32,0))&amp;INDEX(ETAPP!B$1:B$32,MATCH(COUNTIF(Z42:AN42,PVO!A$21),ETAPP!A$1:A$32,0))</f>
        <v>0000A00000AA0AAAA0000</v>
      </c>
      <c r="T42" s="221" t="str">
        <f t="shared" si="49"/>
        <v>057,0-0000A00000AA0AAAA0000</v>
      </c>
      <c r="U42" s="221">
        <f t="shared" si="50"/>
        <v>36</v>
      </c>
      <c r="V42" s="221">
        <f t="shared" si="51"/>
        <v>40</v>
      </c>
      <c r="W42" s="221" t="str">
        <f t="shared" si="52"/>
        <v>057,0-0000A00000AA0AAAA0000-040</v>
      </c>
      <c r="X42" s="221">
        <f t="shared" si="53"/>
        <v>36</v>
      </c>
      <c r="Y42" s="222">
        <f t="shared" si="54"/>
        <v>32</v>
      </c>
      <c r="Z42" s="223">
        <f>IFERROR(INDEX('V1'!C$300:C$400,MATCH("*"&amp;L42&amp;"*",'V1'!B$300:B$400,0)),"  ")</f>
        <v>16</v>
      </c>
      <c r="AA42" s="223">
        <f>IFERROR(INDEX('V2'!C$300:C$400,MATCH("*"&amp;L42&amp;"*",'V2'!B$300:B$400,0)),"  ")</f>
        <v>4</v>
      </c>
      <c r="AB42" s="223" t="str">
        <f>IFERROR(INDEX('V3'!C$300:C$400,MATCH("*"&amp;L42&amp;"*",'V3'!B$300:B$400,0)),"  ")</f>
        <v xml:space="preserve">  </v>
      </c>
      <c r="AC42" s="223">
        <f>IFERROR(INDEX('V4'!C$300:C$400,MATCH("*"&amp;L42&amp;"*",'V4'!B$300:B$400,0)),"  ")</f>
        <v>7</v>
      </c>
      <c r="AD42" s="223">
        <f>IFERROR(INDEX('V5'!C$300:C$400,MATCH("*"&amp;L42&amp;"*",'V5'!B$300:B$400,0)),"  ")</f>
        <v>6</v>
      </c>
      <c r="AE42" s="223">
        <f>IFERROR(INDEX('V6'!C$300:C$400,MATCH("*"&amp;L42&amp;"*",'V6'!B$300:B$400,0)),"  ")</f>
        <v>5</v>
      </c>
      <c r="AF42" s="223">
        <f>IFERROR(INDEX('V7'!C$300:C$400,MATCH("*"&amp;L42&amp;"*",'V7'!B$300:B$400,0)),"  ")</f>
        <v>10</v>
      </c>
      <c r="AG42" s="223">
        <f>IFERROR(INDEX('V8'!C$300:C$400,MATCH("*"&amp;L42&amp;"*",'V8'!B$300:B$400,0)),"  ")</f>
        <v>9</v>
      </c>
      <c r="AH42" s="223" t="str">
        <f>IFERROR(INDEX('V9'!C$300:C$400,MATCH("*"&amp;L42&amp;"*",'V9'!B$300:B$400,0)),"  ")</f>
        <v xml:space="preserve">  </v>
      </c>
      <c r="AI42" s="223" t="str">
        <f>IFERROR(INDEX('V10'!C$300:C$400,MATCH("*"&amp;L42&amp;"*",'V10'!B$300:B$400,0)),"  ")</f>
        <v xml:space="preserve">  </v>
      </c>
      <c r="AJ42" s="223" t="str">
        <f>IFERROR(INDEX('V11'!C$300:C$400,MATCH("*"&amp;L42&amp;"*",'V11'!B$300:B$400,0)),"  ")</f>
        <v xml:space="preserve">  </v>
      </c>
      <c r="AK42" s="223" t="str">
        <f>IFERROR(INDEX('V12'!C$300:C$400,MATCH("*"&amp;L42&amp;"*",'V12'!B$300:B$400,0)),"  ")</f>
        <v xml:space="preserve">  </v>
      </c>
      <c r="AL42" s="223" t="str">
        <f>IFERROR(INDEX('V13'!C$300:C$400,MATCH("*"&amp;L42&amp;"*",'V13'!B$300:B$400,0)),"  ")</f>
        <v xml:space="preserve">  </v>
      </c>
      <c r="AM42" s="223"/>
      <c r="AN42" s="223"/>
      <c r="AO42" s="224">
        <f t="shared" si="55"/>
        <v>36</v>
      </c>
      <c r="AP42" s="627">
        <f t="shared" si="56"/>
        <v>57</v>
      </c>
      <c r="AQ42" s="225" t="str">
        <f t="shared" si="57"/>
        <v>edasi 36</v>
      </c>
      <c r="AR42" s="226" t="str">
        <f>IFERROR(INDEX(#REF!,MATCH("*"&amp;L42&amp;"*",#REF!,0)),"  ")</f>
        <v xml:space="preserve">  </v>
      </c>
      <c r="AS42" s="227">
        <f t="shared" si="58"/>
        <v>7</v>
      </c>
      <c r="AT42" s="228">
        <f t="shared" si="59"/>
        <v>0</v>
      </c>
      <c r="AU42" s="228">
        <f t="shared" si="60"/>
        <v>0</v>
      </c>
      <c r="AV42" s="233"/>
      <c r="AW42" s="229">
        <f t="shared" si="61"/>
        <v>1E-3</v>
      </c>
      <c r="AX42" s="230">
        <f t="shared" si="62"/>
        <v>16.0001</v>
      </c>
      <c r="AY42" s="230">
        <f t="shared" si="63"/>
        <v>4.0002000000000004</v>
      </c>
      <c r="AZ42" s="230">
        <f t="shared" si="64"/>
        <v>2.9999999999999997E-4</v>
      </c>
      <c r="BA42" s="230">
        <f t="shared" si="65"/>
        <v>7.0004</v>
      </c>
      <c r="BB42" s="230">
        <f t="shared" si="66"/>
        <v>6.0004999999999997</v>
      </c>
      <c r="BC42" s="230">
        <f t="shared" si="67"/>
        <v>5.0006000000000004</v>
      </c>
      <c r="BD42" s="230">
        <f t="shared" si="68"/>
        <v>10.0007</v>
      </c>
      <c r="BE42" s="230">
        <f t="shared" si="69"/>
        <v>9.0007999999999999</v>
      </c>
      <c r="BF42" s="230">
        <f t="shared" si="70"/>
        <v>8.9999999999999998E-4</v>
      </c>
      <c r="BG42" s="230">
        <f t="shared" si="71"/>
        <v>1E-3</v>
      </c>
      <c r="BH42" s="230">
        <f t="shared" si="72"/>
        <v>1.1000000000000001E-3</v>
      </c>
      <c r="BI42" s="230">
        <f t="shared" si="73"/>
        <v>1.1999999999999999E-3</v>
      </c>
      <c r="BJ42" s="230">
        <f t="shared" si="74"/>
        <v>1.2999999999999999E-3</v>
      </c>
      <c r="BK42" s="156"/>
    </row>
    <row r="43" spans="1:63" x14ac:dyDescent="0.2">
      <c r="A43" s="208" t="str">
        <f t="shared" si="38"/>
        <v/>
      </c>
      <c r="B43" s="209">
        <f t="shared" si="39"/>
        <v>-963</v>
      </c>
      <c r="C43" s="736" t="str">
        <f t="shared" si="40"/>
        <v/>
      </c>
      <c r="D43" s="565">
        <f t="shared" si="41"/>
        <v>-963</v>
      </c>
      <c r="E43" s="210">
        <f t="shared" si="42"/>
        <v>32</v>
      </c>
      <c r="F43" s="209">
        <f t="shared" si="43"/>
        <v>37</v>
      </c>
      <c r="G43" s="211" t="str">
        <f t="shared" si="44"/>
        <v/>
      </c>
      <c r="H43" s="209">
        <f t="shared" si="45"/>
        <v>-963</v>
      </c>
      <c r="I43" s="212" t="str">
        <f t="shared" si="46"/>
        <v/>
      </c>
      <c r="J43" s="213">
        <f t="shared" si="47"/>
        <v>-963</v>
      </c>
      <c r="K43" s="178">
        <f t="shared" si="48"/>
        <v>37</v>
      </c>
      <c r="L43" s="242" t="s">
        <v>143</v>
      </c>
      <c r="M43" s="215"/>
      <c r="N43" s="216" t="str">
        <f>IF(M43="","m","")</f>
        <v>m</v>
      </c>
      <c r="O43" s="217"/>
      <c r="P43" s="218"/>
      <c r="Q43" s="219"/>
      <c r="R43" s="220">
        <f t="array" ref="R43">(IF(COUNT(Z43,AA43,AB43,AC43,AD43,AE43,AF43,AG43,AH43,AI43,AJ43,AK43,AL43,AM43,AN43)&lt;11,SUM(Z43,AA43,AB43,AC43,AD43,AE43,AF43,AG43,AH43,AI43,AJ43,AK43,AL43,AM43,AN43),SUM(LARGE((Z43,AA43,AB43,AC43,AD43,AE43,AF43,AG43,AH43,AI43,AJ43,AK43,AL43,AM43,AN43),{1;2;3;4;5;6;7;8;9;10}))))</f>
        <v>57</v>
      </c>
      <c r="S43" s="221" t="str">
        <f>INDEX(ETAPP!B$1:B$32,MATCH(COUNTIF(Z43:AN43,PVO!A$1),ETAPP!A$1:A$32,0))&amp;INDEX(ETAPP!B$1:B$32,MATCH(COUNTIF(Z43:AN43,PVO!A$2),ETAPP!A$1:A$32,0))&amp;INDEX(ETAPP!B$1:B$32,MATCH(COUNTIF(Z43:AN43,PVO!A$3),ETAPP!A$1:A$32,0))&amp;INDEX(ETAPP!B$1:B$32,MATCH(COUNTIF(Z43:AN43,PVO!A$4),ETAPP!A$1:A$32,0))&amp;INDEX(ETAPP!B$1:B$32,MATCH(COUNTIF(Z43:AN43,PVO!A$5),ETAPP!A$1:A$32,0))&amp;INDEX(ETAPP!B$1:B$32,MATCH(COUNTIF(Z43:AN43,PVO!A$6),ETAPP!A$1:A$32,0))&amp;INDEX(ETAPP!B$1:B$32,MATCH(COUNTIF(Z43:AN43,PVO!A$7),ETAPP!A$1:A$32,0))&amp;INDEX(ETAPP!B$1:B$32,MATCH(COUNTIF(Z43:AN43,PVO!A$8),ETAPP!A$1:A$32,0))&amp;INDEX(ETAPP!B$1:B$32,MATCH(COUNTIF(Z43:AN43,PVO!A$9),ETAPP!A$1:A$32,0))&amp;INDEX(ETAPP!B$1:B$32,MATCH(COUNTIF(Z43:AN43,PVO!A$10),ETAPP!A$1:A$32,0))&amp;INDEX(ETAPP!B$1:B$32,MATCH(COUNTIF(Z43:AN43,PVO!A$11),ETAPP!A$1:A$32,0))&amp;INDEX(ETAPP!B$1:B$32,MATCH(COUNTIF(Z43:AN43,PVO!A$12),ETAPP!A$1:A$32,0))&amp;INDEX(ETAPP!B$1:B$32,MATCH(COUNTIF(Z43:AN43,PVO!A$13),ETAPP!A$1:A$32,0))&amp;INDEX(ETAPP!B$1:B$32,MATCH(COUNTIF(Z43:AN43,PVO!A$14),ETAPP!A$1:A$32,0))&amp;INDEX(ETAPP!B$1:B$32,MATCH(COUNTIF(Z43:AN43,PVO!A$15),ETAPP!A$1:A$32,0))&amp;INDEX(ETAPP!B$1:B$32,MATCH(COUNTIF(Z43:AN43,PVO!A$16),ETAPP!A$1:A$32,0))&amp;INDEX(ETAPP!B$1:B$32,MATCH(COUNTIF(Z43:AN43,PVO!A$17),ETAPP!A$1:A$32,0))&amp;INDEX(ETAPP!B$1:B$32,MATCH(COUNTIF(Z43:AN43,PVO!A$18),ETAPP!A$1:A$32,0))&amp;INDEX(ETAPP!B$1:B$32,MATCH(COUNTIF(Z43:AN43,PVO!A$19),ETAPP!A$1:A$32,0))&amp;INDEX(ETAPP!B$1:B$32,MATCH(COUNTIF(Z43:AN43,PVO!A$20),ETAPP!A$1:A$32,0))&amp;INDEX(ETAPP!B$1:B$32,MATCH(COUNTIF(Z43:AN43,PVO!A$21),ETAPP!A$1:A$32,0))</f>
        <v>000000AAA00B000000000</v>
      </c>
      <c r="T43" s="221" t="str">
        <f t="shared" si="49"/>
        <v>057,0-000000AAA00B000000000</v>
      </c>
      <c r="U43" s="221">
        <f t="shared" si="50"/>
        <v>37</v>
      </c>
      <c r="V43" s="221">
        <f t="shared" si="51"/>
        <v>11</v>
      </c>
      <c r="W43" s="221" t="str">
        <f t="shared" si="52"/>
        <v>057,0-000000AAA00B000000000-011</v>
      </c>
      <c r="X43" s="221">
        <f t="shared" si="53"/>
        <v>37</v>
      </c>
      <c r="Y43" s="222">
        <f t="shared" si="54"/>
        <v>31</v>
      </c>
      <c r="Z43" s="223" t="str">
        <f>IFERROR(INDEX('V1'!C$300:C$400,MATCH("*"&amp;L43&amp;"*",'V1'!B$300:B$400,0)),"  ")</f>
        <v xml:space="preserve">  </v>
      </c>
      <c r="AA43" s="223">
        <f>IFERROR(INDEX('V2'!C$300:C$400,MATCH("*"&amp;L43&amp;"*",'V2'!B$300:B$400,0)),"  ")</f>
        <v>12</v>
      </c>
      <c r="AB43" s="223" t="str">
        <f>IFERROR(INDEX('V3'!C$300:C$400,MATCH("*"&amp;L43&amp;"*",'V3'!B$300:B$400,0)),"  ")</f>
        <v xml:space="preserve">  </v>
      </c>
      <c r="AC43" s="223" t="str">
        <f>IFERROR(INDEX('V4'!C$300:C$400,MATCH("*"&amp;L43&amp;"*",'V4'!B$300:B$400,0)),"  ")</f>
        <v xml:space="preserve">  </v>
      </c>
      <c r="AD43" s="223" t="str">
        <f>IFERROR(INDEX('V5'!C$300:C$400,MATCH("*"&amp;L43&amp;"*",'V5'!B$300:B$400,0)),"  ")</f>
        <v xml:space="preserve">  </v>
      </c>
      <c r="AE43" s="223">
        <f>IFERROR(INDEX('V6'!C$300:C$400,MATCH("*"&amp;L43&amp;"*",'V6'!B$300:B$400,0)),"  ")</f>
        <v>14</v>
      </c>
      <c r="AF43" s="223">
        <f>IFERROR(INDEX('V7'!C$300:C$400,MATCH("*"&amp;L43&amp;"*",'V7'!B$300:B$400,0)),"  ")</f>
        <v>9</v>
      </c>
      <c r="AG43" s="223">
        <f>IFERROR(INDEX('V8'!C$300:C$400,MATCH("*"&amp;L43&amp;"*",'V8'!B$300:B$400,0)),"  ")</f>
        <v>13</v>
      </c>
      <c r="AH43" s="223">
        <f>IFERROR(INDEX('V9'!C$300:C$400,MATCH("*"&amp;L43&amp;"*",'V9'!B$300:B$400,0)),"  ")</f>
        <v>9</v>
      </c>
      <c r="AI43" s="223" t="str">
        <f>IFERROR(INDEX('V10'!C$300:C$400,MATCH("*"&amp;L43&amp;"*",'V10'!B$300:B$400,0)),"  ")</f>
        <v xml:space="preserve">  </v>
      </c>
      <c r="AJ43" s="223" t="str">
        <f>IFERROR(INDEX('V11'!C$300:C$400,MATCH("*"&amp;L43&amp;"*",'V11'!B$300:B$400,0)),"  ")</f>
        <v xml:space="preserve">  </v>
      </c>
      <c r="AK43" s="223" t="str">
        <f>IFERROR(INDEX('V12'!C$300:C$400,MATCH("*"&amp;L43&amp;"*",'V12'!B$300:B$400,0)),"  ")</f>
        <v xml:space="preserve">  </v>
      </c>
      <c r="AL43" s="223" t="str">
        <f>IFERROR(INDEX('V13'!C$300:C$400,MATCH("*"&amp;L43&amp;"*",'V13'!B$300:B$400,0)),"  ")</f>
        <v xml:space="preserve">  </v>
      </c>
      <c r="AM43" s="223"/>
      <c r="AN43" s="223"/>
      <c r="AO43" s="224">
        <f t="shared" si="55"/>
        <v>37</v>
      </c>
      <c r="AP43" s="627">
        <f t="shared" si="56"/>
        <v>57</v>
      </c>
      <c r="AQ43" s="225" t="str">
        <f t="shared" si="57"/>
        <v>edasi 37</v>
      </c>
      <c r="AR43" s="226" t="str">
        <f>IFERROR(INDEX(#REF!,MATCH("*"&amp;L43&amp;"*",#REF!,0)),"  ")</f>
        <v xml:space="preserve">  </v>
      </c>
      <c r="AS43" s="227">
        <f t="shared" si="58"/>
        <v>5</v>
      </c>
      <c r="AT43" s="228">
        <f t="shared" si="59"/>
        <v>0</v>
      </c>
      <c r="AU43" s="228">
        <f t="shared" si="60"/>
        <v>0</v>
      </c>
      <c r="AV43" s="156"/>
      <c r="AW43" s="229">
        <f t="shared" si="61"/>
        <v>4.0000000000000002E-4</v>
      </c>
      <c r="AX43" s="230">
        <f t="shared" si="62"/>
        <v>1E-4</v>
      </c>
      <c r="AY43" s="230">
        <f t="shared" si="63"/>
        <v>12.0002</v>
      </c>
      <c r="AZ43" s="230">
        <f t="shared" si="64"/>
        <v>2.9999999999999997E-4</v>
      </c>
      <c r="BA43" s="230">
        <f t="shared" si="65"/>
        <v>4.0000000000000002E-4</v>
      </c>
      <c r="BB43" s="230">
        <f t="shared" si="66"/>
        <v>5.0000000000000001E-4</v>
      </c>
      <c r="BC43" s="230">
        <f t="shared" si="67"/>
        <v>14.0006</v>
      </c>
      <c r="BD43" s="230">
        <f t="shared" si="68"/>
        <v>9.0007000000000001</v>
      </c>
      <c r="BE43" s="230">
        <f t="shared" si="69"/>
        <v>13.0008</v>
      </c>
      <c r="BF43" s="230">
        <f t="shared" si="70"/>
        <v>9.0008999999999997</v>
      </c>
      <c r="BG43" s="230">
        <f t="shared" si="71"/>
        <v>1E-3</v>
      </c>
      <c r="BH43" s="230">
        <f t="shared" si="72"/>
        <v>1.1000000000000001E-3</v>
      </c>
      <c r="BI43" s="230">
        <f t="shared" si="73"/>
        <v>1.1999999999999999E-3</v>
      </c>
      <c r="BJ43" s="230">
        <f t="shared" si="74"/>
        <v>1.2999999999999999E-3</v>
      </c>
      <c r="BK43" s="156"/>
    </row>
    <row r="44" spans="1:63" x14ac:dyDescent="0.2">
      <c r="A44" s="208" t="str">
        <f t="shared" si="38"/>
        <v/>
      </c>
      <c r="B44" s="209">
        <f t="shared" si="39"/>
        <v>-962</v>
      </c>
      <c r="C44" s="736" t="str">
        <f t="shared" si="40"/>
        <v/>
      </c>
      <c r="D44" s="565">
        <f t="shared" si="41"/>
        <v>-962</v>
      </c>
      <c r="E44" s="210">
        <f t="shared" si="42"/>
        <v>33</v>
      </c>
      <c r="F44" s="209">
        <f t="shared" si="43"/>
        <v>38</v>
      </c>
      <c r="G44" s="211" t="str">
        <f t="shared" si="44"/>
        <v/>
      </c>
      <c r="H44" s="209">
        <f t="shared" si="45"/>
        <v>-962</v>
      </c>
      <c r="I44" s="212" t="str">
        <f t="shared" si="46"/>
        <v/>
      </c>
      <c r="J44" s="213">
        <f t="shared" si="47"/>
        <v>-962</v>
      </c>
      <c r="K44" s="178">
        <f t="shared" si="48"/>
        <v>38</v>
      </c>
      <c r="L44" s="214" t="s">
        <v>49</v>
      </c>
      <c r="M44" s="215"/>
      <c r="N44" s="216" t="s">
        <v>128</v>
      </c>
      <c r="O44" s="217"/>
      <c r="P44" s="218"/>
      <c r="Q44" s="219"/>
      <c r="R44" s="220">
        <f t="array" ref="R44">(IF(COUNT(Z44,AA44,AB44,AC44,AD44,AE44,AF44,AG44,AH44,AI44,AJ44,AK44,AL44,AM44,AN44)&lt;11,SUM(Z44,AA44,AB44,AC44,AD44,AE44,AF44,AG44,AH44,AI44,AJ44,AK44,AL44,AM44,AN44),SUM(LARGE((Z44,AA44,AB44,AC44,AD44,AE44,AF44,AG44,AH44,AI44,AJ44,AK44,AL44,AM44,AN44),{1;2;3;4;5;6;7;8;9;10}))))</f>
        <v>56</v>
      </c>
      <c r="S44" s="221" t="str">
        <f>INDEX(ETAPP!B$1:B$32,MATCH(COUNTIF(Z44:AN44,PVO!A$1),ETAPP!A$1:A$32,0))&amp;INDEX(ETAPP!B$1:B$32,MATCH(COUNTIF(Z44:AN44,PVO!A$2),ETAPP!A$1:A$32,0))&amp;INDEX(ETAPP!B$1:B$32,MATCH(COUNTIF(Z44:AN44,PVO!A$3),ETAPP!A$1:A$32,0))&amp;INDEX(ETAPP!B$1:B$32,MATCH(COUNTIF(Z44:AN44,PVO!A$4),ETAPP!A$1:A$32,0))&amp;INDEX(ETAPP!B$1:B$32,MATCH(COUNTIF(Z44:AN44,PVO!A$5),ETAPP!A$1:A$32,0))&amp;INDEX(ETAPP!B$1:B$32,MATCH(COUNTIF(Z44:AN44,PVO!A$6),ETAPP!A$1:A$32,0))&amp;INDEX(ETAPP!B$1:B$32,MATCH(COUNTIF(Z44:AN44,PVO!A$7),ETAPP!A$1:A$32,0))&amp;INDEX(ETAPP!B$1:B$32,MATCH(COUNTIF(Z44:AN44,PVO!A$8),ETAPP!A$1:A$32,0))&amp;INDEX(ETAPP!B$1:B$32,MATCH(COUNTIF(Z44:AN44,PVO!A$9),ETAPP!A$1:A$32,0))&amp;INDEX(ETAPP!B$1:B$32,MATCH(COUNTIF(Z44:AN44,PVO!A$10),ETAPP!A$1:A$32,0))&amp;INDEX(ETAPP!B$1:B$32,MATCH(COUNTIF(Z44:AN44,PVO!A$11),ETAPP!A$1:A$32,0))&amp;INDEX(ETAPP!B$1:B$32,MATCH(COUNTIF(Z44:AN44,PVO!A$12),ETAPP!A$1:A$32,0))&amp;INDEX(ETAPP!B$1:B$32,MATCH(COUNTIF(Z44:AN44,PVO!A$13),ETAPP!A$1:A$32,0))&amp;INDEX(ETAPP!B$1:B$32,MATCH(COUNTIF(Z44:AN44,PVO!A$14),ETAPP!A$1:A$32,0))&amp;INDEX(ETAPP!B$1:B$32,MATCH(COUNTIF(Z44:AN44,PVO!A$15),ETAPP!A$1:A$32,0))&amp;INDEX(ETAPP!B$1:B$32,MATCH(COUNTIF(Z44:AN44,PVO!A$16),ETAPP!A$1:A$32,0))&amp;INDEX(ETAPP!B$1:B$32,MATCH(COUNTIF(Z44:AN44,PVO!A$17),ETAPP!A$1:A$32,0))&amp;INDEX(ETAPP!B$1:B$32,MATCH(COUNTIF(Z44:AN44,PVO!A$18),ETAPP!A$1:A$32,0))&amp;INDEX(ETAPP!B$1:B$32,MATCH(COUNTIF(Z44:AN44,PVO!A$19),ETAPP!A$1:A$32,0))&amp;INDEX(ETAPP!B$1:B$32,MATCH(COUNTIF(Z44:AN44,PVO!A$20),ETAPP!A$1:A$32,0))&amp;INDEX(ETAPP!B$1:B$32,MATCH(COUNTIF(Z44:AN44,PVO!A$21),ETAPP!A$1:A$32,0))</f>
        <v>AA0A00000000000000000</v>
      </c>
      <c r="T44" s="221" t="str">
        <f t="shared" si="49"/>
        <v>056,0-AA0A00000000000000000</v>
      </c>
      <c r="U44" s="221">
        <f t="shared" si="50"/>
        <v>38</v>
      </c>
      <c r="V44" s="221">
        <f t="shared" si="51"/>
        <v>49</v>
      </c>
      <c r="W44" s="221" t="str">
        <f t="shared" si="52"/>
        <v>056,0-AA0A00000000000000000-049</v>
      </c>
      <c r="X44" s="221">
        <f t="shared" si="53"/>
        <v>38</v>
      </c>
      <c r="Y44" s="222">
        <f t="shared" si="54"/>
        <v>30</v>
      </c>
      <c r="Z44" s="223" t="str">
        <f>IFERROR(INDEX('V1'!C$300:C$400,MATCH("*"&amp;L44&amp;"*",'V1'!B$300:B$400,0)),"  ")</f>
        <v xml:space="preserve">  </v>
      </c>
      <c r="AA44" s="223" t="str">
        <f>IFERROR(INDEX('V2'!C$300:C$400,MATCH("*"&amp;L44&amp;"*",'V2'!B$300:B$400,0)),"  ")</f>
        <v xml:space="preserve">  </v>
      </c>
      <c r="AB44" s="223" t="str">
        <f>IFERROR(INDEX('V3'!C$300:C$400,MATCH("*"&amp;L44&amp;"*",'V3'!B$300:B$400,0)),"  ")</f>
        <v xml:space="preserve">  </v>
      </c>
      <c r="AC44" s="223">
        <f>IFERROR(INDEX('V4'!C$300:C$400,MATCH("*"&amp;L44&amp;"*",'V4'!B$300:B$400,0)),"  ")</f>
        <v>17</v>
      </c>
      <c r="AD44" s="223" t="str">
        <f>IFERROR(INDEX('V5'!C$300:C$400,MATCH("*"&amp;L44&amp;"*",'V5'!B$300:B$400,0)),"  ")</f>
        <v xml:space="preserve">  </v>
      </c>
      <c r="AE44" s="223" t="str">
        <f>IFERROR(INDEX('V6'!C$300:C$400,MATCH("*"&amp;L44&amp;"*",'V6'!B$300:B$400,0)),"  ")</f>
        <v xml:space="preserve">  </v>
      </c>
      <c r="AF44" s="223">
        <f>IFERROR(INDEX('V7'!C$300:C$400,MATCH("*"&amp;L44&amp;"*",'V7'!B$300:B$400,0)),"  ")</f>
        <v>19</v>
      </c>
      <c r="AG44" s="223">
        <f>IFERROR(INDEX('V8'!C$300:C$400,MATCH("*"&amp;L44&amp;"*",'V8'!B$300:B$400,0)),"  ")</f>
        <v>20</v>
      </c>
      <c r="AH44" s="223" t="str">
        <f>IFERROR(INDEX('V9'!C$300:C$400,MATCH("*"&amp;L44&amp;"*",'V9'!B$300:B$400,0)),"  ")</f>
        <v xml:space="preserve">  </v>
      </c>
      <c r="AI44" s="223" t="str">
        <f>IFERROR(INDEX('V10'!C$300:C$400,MATCH("*"&amp;L44&amp;"*",'V10'!B$300:B$400,0)),"  ")</f>
        <v xml:space="preserve">  </v>
      </c>
      <c r="AJ44" s="223" t="str">
        <f>IFERROR(INDEX('V11'!C$300:C$400,MATCH("*"&amp;L44&amp;"*",'V11'!B$300:B$400,0)),"  ")</f>
        <v xml:space="preserve">  </v>
      </c>
      <c r="AK44" s="223" t="str">
        <f>IFERROR(INDEX('V12'!C$300:C$400,MATCH("*"&amp;L44&amp;"*",'V12'!B$300:B$400,0)),"  ")</f>
        <v xml:space="preserve">  </v>
      </c>
      <c r="AL44" s="223" t="str">
        <f>IFERROR(INDEX('V13'!C$300:C$400,MATCH("*"&amp;L44&amp;"*",'V13'!B$300:B$400,0)),"  ")</f>
        <v xml:space="preserve">  </v>
      </c>
      <c r="AM44" s="223"/>
      <c r="AN44" s="223"/>
      <c r="AO44" s="224">
        <f t="shared" si="55"/>
        <v>38</v>
      </c>
      <c r="AP44" s="627">
        <f t="shared" si="56"/>
        <v>56</v>
      </c>
      <c r="AQ44" s="225" t="str">
        <f t="shared" si="57"/>
        <v>edasi 38</v>
      </c>
      <c r="AR44" s="226" t="str">
        <f>IFERROR(INDEX(#REF!,MATCH("*"&amp;L44&amp;"*",#REF!,0)),"  ")</f>
        <v xml:space="preserve">  </v>
      </c>
      <c r="AS44" s="227">
        <f t="shared" si="58"/>
        <v>3</v>
      </c>
      <c r="AT44" s="228">
        <f t="shared" si="59"/>
        <v>2</v>
      </c>
      <c r="AU44" s="228">
        <f t="shared" si="60"/>
        <v>1</v>
      </c>
      <c r="AV44" s="156"/>
      <c r="AW44" s="229">
        <f t="shared" si="61"/>
        <v>2.9999999999999997E-4</v>
      </c>
      <c r="AX44" s="230">
        <f t="shared" si="62"/>
        <v>1E-4</v>
      </c>
      <c r="AY44" s="230">
        <f t="shared" si="63"/>
        <v>2.0000000000000001E-4</v>
      </c>
      <c r="AZ44" s="230">
        <f t="shared" si="64"/>
        <v>2.9999999999999997E-4</v>
      </c>
      <c r="BA44" s="230">
        <f t="shared" si="65"/>
        <v>17.000399999999999</v>
      </c>
      <c r="BB44" s="230">
        <f t="shared" si="66"/>
        <v>5.0000000000000001E-4</v>
      </c>
      <c r="BC44" s="230">
        <f t="shared" si="67"/>
        <v>5.9999999999999995E-4</v>
      </c>
      <c r="BD44" s="230">
        <f t="shared" si="68"/>
        <v>19.000699999999998</v>
      </c>
      <c r="BE44" s="230">
        <f t="shared" si="69"/>
        <v>20.000800000000002</v>
      </c>
      <c r="BF44" s="230">
        <f t="shared" si="70"/>
        <v>8.9999999999999998E-4</v>
      </c>
      <c r="BG44" s="230">
        <f t="shared" si="71"/>
        <v>1E-3</v>
      </c>
      <c r="BH44" s="230">
        <f t="shared" si="72"/>
        <v>1.1000000000000001E-3</v>
      </c>
      <c r="BI44" s="230">
        <f t="shared" si="73"/>
        <v>1.1999999999999999E-3</v>
      </c>
      <c r="BJ44" s="230">
        <f t="shared" si="74"/>
        <v>1.2999999999999999E-3</v>
      </c>
      <c r="BK44" s="156"/>
    </row>
    <row r="45" spans="1:63" x14ac:dyDescent="0.2">
      <c r="A45" s="208" t="str">
        <f t="shared" si="38"/>
        <v/>
      </c>
      <c r="B45" s="209">
        <f t="shared" si="39"/>
        <v>-961</v>
      </c>
      <c r="C45" s="736" t="str">
        <f t="shared" si="40"/>
        <v/>
      </c>
      <c r="D45" s="565">
        <f t="shared" si="41"/>
        <v>-961</v>
      </c>
      <c r="E45" s="210" t="str">
        <f t="shared" si="42"/>
        <v/>
      </c>
      <c r="F45" s="209">
        <f t="shared" si="43"/>
        <v>-961</v>
      </c>
      <c r="G45" s="211">
        <f t="shared" si="44"/>
        <v>6</v>
      </c>
      <c r="H45" s="209">
        <f t="shared" si="45"/>
        <v>39</v>
      </c>
      <c r="I45" s="212" t="str">
        <f t="shared" si="46"/>
        <v/>
      </c>
      <c r="J45" s="213">
        <f t="shared" si="47"/>
        <v>-961</v>
      </c>
      <c r="K45" s="178">
        <f t="shared" si="48"/>
        <v>39</v>
      </c>
      <c r="L45" s="214" t="s">
        <v>166</v>
      </c>
      <c r="M45" s="215" t="s">
        <v>135</v>
      </c>
      <c r="N45" s="216" t="str">
        <f>IF(M45="","m","")</f>
        <v/>
      </c>
      <c r="O45" s="217"/>
      <c r="P45" s="218"/>
      <c r="Q45" s="219"/>
      <c r="R45" s="220">
        <f t="array" ref="R45">(IF(COUNT(Z45,AA45,AB45,AC45,AD45,AE45,AF45,AG45,AH45,AI45,AJ45,AK45,AL45,AM45,AN45)&lt;11,SUM(Z45,AA45,AB45,AC45,AD45,AE45,AF45,AG45,AH45,AI45,AJ45,AK45,AL45,AM45,AN45),SUM(LARGE((Z45,AA45,AB45,AC45,AD45,AE45,AF45,AG45,AH45,AI45,AJ45,AK45,AL45,AM45,AN45),{1;2;3;4;5;6;7;8;9;10}))))</f>
        <v>53</v>
      </c>
      <c r="S45" s="221" t="str">
        <f>INDEX(ETAPP!B$1:B$32,MATCH(COUNTIF(Z45:AN45,PVO!A$1),ETAPP!A$1:A$32,0))&amp;INDEX(ETAPP!B$1:B$32,MATCH(COUNTIF(Z45:AN45,PVO!A$2),ETAPP!A$1:A$32,0))&amp;INDEX(ETAPP!B$1:B$32,MATCH(COUNTIF(Z45:AN45,PVO!A$3),ETAPP!A$1:A$32,0))&amp;INDEX(ETAPP!B$1:B$32,MATCH(COUNTIF(Z45:AN45,PVO!A$4),ETAPP!A$1:A$32,0))&amp;INDEX(ETAPP!B$1:B$32,MATCH(COUNTIF(Z45:AN45,PVO!A$5),ETAPP!A$1:A$32,0))&amp;INDEX(ETAPP!B$1:B$32,MATCH(COUNTIF(Z45:AN45,PVO!A$6),ETAPP!A$1:A$32,0))&amp;INDEX(ETAPP!B$1:B$32,MATCH(COUNTIF(Z45:AN45,PVO!A$7),ETAPP!A$1:A$32,0))&amp;INDEX(ETAPP!B$1:B$32,MATCH(COUNTIF(Z45:AN45,PVO!A$8),ETAPP!A$1:A$32,0))&amp;INDEX(ETAPP!B$1:B$32,MATCH(COUNTIF(Z45:AN45,PVO!A$9),ETAPP!A$1:A$32,0))&amp;INDEX(ETAPP!B$1:B$32,MATCH(COUNTIF(Z45:AN45,PVO!A$10),ETAPP!A$1:A$32,0))&amp;INDEX(ETAPP!B$1:B$32,MATCH(COUNTIF(Z45:AN45,PVO!A$11),ETAPP!A$1:A$32,0))&amp;INDEX(ETAPP!B$1:B$32,MATCH(COUNTIF(Z45:AN45,PVO!A$12),ETAPP!A$1:A$32,0))&amp;INDEX(ETAPP!B$1:B$32,MATCH(COUNTIF(Z45:AN45,PVO!A$13),ETAPP!A$1:A$32,0))&amp;INDEX(ETAPP!B$1:B$32,MATCH(COUNTIF(Z45:AN45,PVO!A$14),ETAPP!A$1:A$32,0))&amp;INDEX(ETAPP!B$1:B$32,MATCH(COUNTIF(Z45:AN45,PVO!A$15),ETAPP!A$1:A$32,0))&amp;INDEX(ETAPP!B$1:B$32,MATCH(COUNTIF(Z45:AN45,PVO!A$16),ETAPP!A$1:A$32,0))&amp;INDEX(ETAPP!B$1:B$32,MATCH(COUNTIF(Z45:AN45,PVO!A$17),ETAPP!A$1:A$32,0))&amp;INDEX(ETAPP!B$1:B$32,MATCH(COUNTIF(Z45:AN45,PVO!A$18),ETAPP!A$1:A$32,0))&amp;INDEX(ETAPP!B$1:B$32,MATCH(COUNTIF(Z45:AN45,PVO!A$19),ETAPP!A$1:A$32,0))&amp;INDEX(ETAPP!B$1:B$32,MATCH(COUNTIF(Z45:AN45,PVO!A$20),ETAPP!A$1:A$32,0))&amp;INDEX(ETAPP!B$1:B$32,MATCH(COUNTIF(Z45:AN45,PVO!A$21),ETAPP!A$1:A$32,0))</f>
        <v>A00AA0000000000000000</v>
      </c>
      <c r="T45" s="221" t="str">
        <f t="shared" si="49"/>
        <v>053,0-A00AA0000000000000000</v>
      </c>
      <c r="U45" s="221">
        <f t="shared" si="50"/>
        <v>39</v>
      </c>
      <c r="V45" s="221">
        <f t="shared" si="51"/>
        <v>31</v>
      </c>
      <c r="W45" s="221" t="str">
        <f t="shared" si="52"/>
        <v>053,0-A00AA0000000000000000-031</v>
      </c>
      <c r="X45" s="221">
        <f t="shared" si="53"/>
        <v>39</v>
      </c>
      <c r="Y45" s="222">
        <f t="shared" si="54"/>
        <v>29</v>
      </c>
      <c r="Z45" s="223" t="str">
        <f>IFERROR(INDEX('V1'!C$300:C$400,MATCH("*"&amp;L45&amp;"*",'V1'!B$300:B$400,0)),"  ")</f>
        <v xml:space="preserve">  </v>
      </c>
      <c r="AA45" s="223" t="str">
        <f>IFERROR(INDEX('V2'!C$300:C$400,MATCH("*"&amp;L45&amp;"*",'V2'!B$300:B$400,0)),"  ")</f>
        <v xml:space="preserve">  </v>
      </c>
      <c r="AB45" s="223" t="str">
        <f>IFERROR(INDEX('V3'!C$300:C$400,MATCH("*"&amp;L45&amp;"*",'V3'!B$300:B$400,0)),"  ")</f>
        <v xml:space="preserve">  </v>
      </c>
      <c r="AC45" s="223" t="str">
        <f>IFERROR(INDEX('V4'!C$300:C$400,MATCH("*"&amp;L45&amp;"*",'V4'!B$300:B$400,0)),"  ")</f>
        <v xml:space="preserve">  </v>
      </c>
      <c r="AD45" s="223" t="str">
        <f>IFERROR(INDEX('V5'!C$300:C$400,MATCH("*"&amp;L45&amp;"*",'V5'!B$300:B$400,0)),"  ")</f>
        <v xml:space="preserve">  </v>
      </c>
      <c r="AE45" s="223">
        <f>IFERROR(INDEX('V6'!C$300:C$400,MATCH("*"&amp;L45&amp;"*",'V6'!B$300:B$400,0)),"  ")</f>
        <v>17</v>
      </c>
      <c r="AF45" s="223" t="str">
        <f>IFERROR(INDEX('V7'!C$300:C$400,MATCH("*"&amp;L45&amp;"*",'V7'!B$300:B$400,0)),"  ")</f>
        <v xml:space="preserve">  </v>
      </c>
      <c r="AG45" s="223" t="str">
        <f>IFERROR(INDEX('V8'!C$300:C$400,MATCH("*"&amp;L45&amp;"*",'V8'!B$300:B$400,0)),"  ")</f>
        <v xml:space="preserve">  </v>
      </c>
      <c r="AH45" s="223" t="str">
        <f>IFERROR(INDEX('V9'!C$300:C$400,MATCH("*"&amp;L45&amp;"*",'V9'!B$300:B$400,0)),"  ")</f>
        <v xml:space="preserve">  </v>
      </c>
      <c r="AI45" s="223" t="str">
        <f>IFERROR(INDEX('V10'!C$300:C$400,MATCH("*"&amp;L45&amp;"*",'V10'!B$300:B$400,0)),"  ")</f>
        <v xml:space="preserve">  </v>
      </c>
      <c r="AJ45" s="223">
        <f>IFERROR(INDEX('V11'!C$300:C$400,MATCH("*"&amp;L45&amp;"*",'V11'!B$300:B$400,0)),"  ")</f>
        <v>20</v>
      </c>
      <c r="AK45" s="223">
        <f>IFERROR(INDEX('V12'!C$300:C$400,MATCH("*"&amp;L45&amp;"*",'V12'!B$300:B$400,0)),"  ")</f>
        <v>16</v>
      </c>
      <c r="AL45" s="223" t="str">
        <f>IFERROR(INDEX('V13'!C$300:C$400,MATCH("*"&amp;L45&amp;"*",'V13'!B$300:B$400,0)),"  ")</f>
        <v xml:space="preserve">  </v>
      </c>
      <c r="AM45" s="223"/>
      <c r="AN45" s="223"/>
      <c r="AO45" s="224">
        <f t="shared" si="55"/>
        <v>39</v>
      </c>
      <c r="AP45" s="627">
        <f t="shared" si="56"/>
        <v>53</v>
      </c>
      <c r="AQ45" s="225" t="str">
        <f t="shared" si="57"/>
        <v>edasi 39</v>
      </c>
      <c r="AR45" s="226" t="str">
        <f>IFERROR(INDEX(#REF!,MATCH("*"&amp;L45&amp;"*",#REF!,0)),"  ")</f>
        <v xml:space="preserve">  </v>
      </c>
      <c r="AS45" s="227">
        <f t="shared" si="58"/>
        <v>3</v>
      </c>
      <c r="AT45" s="228">
        <f t="shared" si="59"/>
        <v>1</v>
      </c>
      <c r="AU45" s="228">
        <f t="shared" si="60"/>
        <v>1</v>
      </c>
      <c r="AV45" s="156"/>
      <c r="AW45" s="229">
        <f t="shared" si="61"/>
        <v>2.9999999999999997E-4</v>
      </c>
      <c r="AX45" s="230">
        <f t="shared" si="62"/>
        <v>1E-4</v>
      </c>
      <c r="AY45" s="230">
        <f t="shared" si="63"/>
        <v>2.0000000000000001E-4</v>
      </c>
      <c r="AZ45" s="230">
        <f t="shared" si="64"/>
        <v>2.9999999999999997E-4</v>
      </c>
      <c r="BA45" s="230">
        <f t="shared" si="65"/>
        <v>4.0000000000000002E-4</v>
      </c>
      <c r="BB45" s="230">
        <f t="shared" si="66"/>
        <v>5.0000000000000001E-4</v>
      </c>
      <c r="BC45" s="230">
        <f t="shared" si="67"/>
        <v>17.000599999999999</v>
      </c>
      <c r="BD45" s="230">
        <f t="shared" si="68"/>
        <v>6.9999999999999999E-4</v>
      </c>
      <c r="BE45" s="230">
        <f t="shared" si="69"/>
        <v>8.0000000000000004E-4</v>
      </c>
      <c r="BF45" s="230">
        <f t="shared" si="70"/>
        <v>8.9999999999999998E-4</v>
      </c>
      <c r="BG45" s="230">
        <f t="shared" si="71"/>
        <v>1E-3</v>
      </c>
      <c r="BH45" s="230">
        <f t="shared" si="72"/>
        <v>20.001100000000001</v>
      </c>
      <c r="BI45" s="230">
        <f t="shared" si="73"/>
        <v>16.001200000000001</v>
      </c>
      <c r="BJ45" s="230">
        <f t="shared" si="74"/>
        <v>1.2999999999999999E-3</v>
      </c>
      <c r="BK45" s="156"/>
    </row>
    <row r="46" spans="1:63" x14ac:dyDescent="0.2">
      <c r="A46" s="208" t="str">
        <f t="shared" si="38"/>
        <v/>
      </c>
      <c r="B46" s="209">
        <f t="shared" si="39"/>
        <v>-960</v>
      </c>
      <c r="C46" s="736" t="str">
        <f t="shared" si="40"/>
        <v/>
      </c>
      <c r="D46" s="565">
        <f t="shared" si="41"/>
        <v>-960</v>
      </c>
      <c r="E46" s="210" t="str">
        <f t="shared" si="42"/>
        <v/>
      </c>
      <c r="F46" s="209">
        <f t="shared" si="43"/>
        <v>-960</v>
      </c>
      <c r="G46" s="211">
        <f t="shared" si="44"/>
        <v>7</v>
      </c>
      <c r="H46" s="209">
        <f t="shared" si="45"/>
        <v>40</v>
      </c>
      <c r="I46" s="212">
        <f t="shared" si="46"/>
        <v>3</v>
      </c>
      <c r="J46" s="213">
        <f t="shared" si="47"/>
        <v>40</v>
      </c>
      <c r="K46" s="178">
        <f t="shared" si="48"/>
        <v>40</v>
      </c>
      <c r="L46" s="232" t="s">
        <v>368</v>
      </c>
      <c r="M46" s="215" t="s">
        <v>135</v>
      </c>
      <c r="N46" s="216"/>
      <c r="O46" s="250" t="s">
        <v>142</v>
      </c>
      <c r="P46" s="218"/>
      <c r="Q46" s="219"/>
      <c r="R46" s="220">
        <f t="array" ref="R46">(IF(COUNT(Z46,AA46,AB46,AC46,AD46,AE46,AF46,AG46,AH46,AI46,AJ46,AK46,AL46,AM46,AN46)&lt;11,SUM(Z46,AA46,AB46,AC46,AD46,AE46,AF46,AG46,AH46,AI46,AJ46,AK46,AL46,AM46,AN46),SUM(LARGE((Z46,AA46,AB46,AC46,AD46,AE46,AF46,AG46,AH46,AI46,AJ46,AK46,AL46,AM46,AN46),{1;2;3;4;5;6;7;8;9;10}))))</f>
        <v>53</v>
      </c>
      <c r="S46" s="221" t="str">
        <f>INDEX(ETAPP!B$1:B$32,MATCH(COUNTIF(Z46:AN46,PVO!A$1),ETAPP!A$1:A$32,0))&amp;INDEX(ETAPP!B$1:B$32,MATCH(COUNTIF(Z46:AN46,PVO!A$2),ETAPP!A$1:A$32,0))&amp;INDEX(ETAPP!B$1:B$32,MATCH(COUNTIF(Z46:AN46,PVO!A$3),ETAPP!A$1:A$32,0))&amp;INDEX(ETAPP!B$1:B$32,MATCH(COUNTIF(Z46:AN46,PVO!A$4),ETAPP!A$1:A$32,0))&amp;INDEX(ETAPP!B$1:B$32,MATCH(COUNTIF(Z46:AN46,PVO!A$5),ETAPP!A$1:A$32,0))&amp;INDEX(ETAPP!B$1:B$32,MATCH(COUNTIF(Z46:AN46,PVO!A$6),ETAPP!A$1:A$32,0))&amp;INDEX(ETAPP!B$1:B$32,MATCH(COUNTIF(Z46:AN46,PVO!A$7),ETAPP!A$1:A$32,0))&amp;INDEX(ETAPP!B$1:B$32,MATCH(COUNTIF(Z46:AN46,PVO!A$8),ETAPP!A$1:A$32,0))&amp;INDEX(ETAPP!B$1:B$32,MATCH(COUNTIF(Z46:AN46,PVO!A$9),ETAPP!A$1:A$32,0))&amp;INDEX(ETAPP!B$1:B$32,MATCH(COUNTIF(Z46:AN46,PVO!A$10),ETAPP!A$1:A$32,0))&amp;INDEX(ETAPP!B$1:B$32,MATCH(COUNTIF(Z46:AN46,PVO!A$11),ETAPP!A$1:A$32,0))&amp;INDEX(ETAPP!B$1:B$32,MATCH(COUNTIF(Z46:AN46,PVO!A$12),ETAPP!A$1:A$32,0))&amp;INDEX(ETAPP!B$1:B$32,MATCH(COUNTIF(Z46:AN46,PVO!A$13),ETAPP!A$1:A$32,0))&amp;INDEX(ETAPP!B$1:B$32,MATCH(COUNTIF(Z46:AN46,PVO!A$14),ETAPP!A$1:A$32,0))&amp;INDEX(ETAPP!B$1:B$32,MATCH(COUNTIF(Z46:AN46,PVO!A$15),ETAPP!A$1:A$32,0))&amp;INDEX(ETAPP!B$1:B$32,MATCH(COUNTIF(Z46:AN46,PVO!A$16),ETAPP!A$1:A$32,0))&amp;INDEX(ETAPP!B$1:B$32,MATCH(COUNTIF(Z46:AN46,PVO!A$17),ETAPP!A$1:A$32,0))&amp;INDEX(ETAPP!B$1:B$32,MATCH(COUNTIF(Z46:AN46,PVO!A$18),ETAPP!A$1:A$32,0))&amp;INDEX(ETAPP!B$1:B$32,MATCH(COUNTIF(Z46:AN46,PVO!A$19),ETAPP!A$1:A$32,0))&amp;INDEX(ETAPP!B$1:B$32,MATCH(COUNTIF(Z46:AN46,PVO!A$20),ETAPP!A$1:A$32,0))&amp;INDEX(ETAPP!B$1:B$32,MATCH(COUNTIF(Z46:AN46,PVO!A$21),ETAPP!A$1:A$32,0))</f>
        <v>A000000B00000A0000000</v>
      </c>
      <c r="T46" s="221" t="str">
        <f t="shared" si="49"/>
        <v>053,0-A000000B00000A0000000</v>
      </c>
      <c r="U46" s="221">
        <f t="shared" si="50"/>
        <v>40</v>
      </c>
      <c r="V46" s="221">
        <f t="shared" si="51"/>
        <v>59</v>
      </c>
      <c r="W46" s="221" t="str">
        <f t="shared" si="52"/>
        <v>053,0-A000000B00000A0000000-059</v>
      </c>
      <c r="X46" s="221">
        <f t="shared" si="53"/>
        <v>40</v>
      </c>
      <c r="Y46" s="222">
        <f t="shared" si="54"/>
        <v>28</v>
      </c>
      <c r="Z46" s="223" t="str">
        <f>IFERROR(INDEX('V1'!C$300:C$400,MATCH("*"&amp;L46&amp;"*",'V1'!B$300:B$400,0)),"  ")</f>
        <v xml:space="preserve">  </v>
      </c>
      <c r="AA46" s="223" t="str">
        <f>IFERROR(INDEX('V2'!C$300:C$400,MATCH("*"&amp;L46&amp;"*",'V2'!B$300:B$400,0)),"  ")</f>
        <v xml:space="preserve">  </v>
      </c>
      <c r="AB46" s="223">
        <f>IFERROR(INDEX('V3'!C$300:C$400,MATCH("*"&amp;L46&amp;"*",'V3'!B$300:B$400,0)),"  ")</f>
        <v>13</v>
      </c>
      <c r="AC46" s="223" t="str">
        <f>IFERROR(INDEX('V4'!C$300:C$400,MATCH("*"&amp;L46&amp;"*",'V4'!B$300:B$400,0)),"  ")</f>
        <v xml:space="preserve">  </v>
      </c>
      <c r="AD46" s="223">
        <f>IFERROR(INDEX('V5'!C$300:C$400,MATCH("*"&amp;L46&amp;"*",'V5'!B$300:B$400,0)),"  ")</f>
        <v>7</v>
      </c>
      <c r="AE46" s="223" t="str">
        <f>IFERROR(INDEX('V6'!C$300:C$400,MATCH("*"&amp;L46&amp;"*",'V6'!B$300:B$400,0)),"  ")</f>
        <v xml:space="preserve">  </v>
      </c>
      <c r="AF46" s="223" t="str">
        <f>IFERROR(INDEX('V7'!C$300:C$400,MATCH("*"&amp;L46&amp;"*",'V7'!B$300:B$400,0)),"  ")</f>
        <v xml:space="preserve">  </v>
      </c>
      <c r="AG46" s="223" t="str">
        <f>IFERROR(INDEX('V8'!C$300:C$400,MATCH("*"&amp;L46&amp;"*",'V8'!B$300:B$400,0)),"  ")</f>
        <v xml:space="preserve">  </v>
      </c>
      <c r="AH46" s="223">
        <f>IFERROR(INDEX('V9'!C$300:C$400,MATCH("*"&amp;L46&amp;"*",'V9'!B$300:B$400,0)),"  ")</f>
        <v>13</v>
      </c>
      <c r="AI46" s="223">
        <f>IFERROR(INDEX('V10'!C$300:C$400,MATCH("*"&amp;L46&amp;"*",'V10'!B$300:B$400,0)),"  ")</f>
        <v>20</v>
      </c>
      <c r="AJ46" s="223" t="str">
        <f>IFERROR(INDEX('V11'!C$300:C$400,MATCH("*"&amp;L46&amp;"*",'V11'!B$300:B$400,0)),"  ")</f>
        <v xml:space="preserve">  </v>
      </c>
      <c r="AK46" s="223" t="str">
        <f>IFERROR(INDEX('V12'!C$300:C$400,MATCH("*"&amp;L46&amp;"*",'V12'!B$300:B$400,0)),"  ")</f>
        <v xml:space="preserve">  </v>
      </c>
      <c r="AL46" s="223" t="str">
        <f>IFERROR(INDEX('V13'!C$300:C$400,MATCH("*"&amp;L46&amp;"*",'V13'!B$300:B$400,0)),"  ")</f>
        <v xml:space="preserve">  </v>
      </c>
      <c r="AM46" s="223"/>
      <c r="AN46" s="223"/>
      <c r="AO46" s="224">
        <f t="shared" si="55"/>
        <v>40</v>
      </c>
      <c r="AP46" s="627">
        <f t="shared" si="56"/>
        <v>53</v>
      </c>
      <c r="AQ46" s="225" t="str">
        <f t="shared" si="57"/>
        <v>edasi 40</v>
      </c>
      <c r="AR46" s="226" t="str">
        <f>IFERROR(INDEX(#REF!,MATCH("*"&amp;L46&amp;"*",#REF!,0)),"  ")</f>
        <v xml:space="preserve">  </v>
      </c>
      <c r="AS46" s="227">
        <f t="shared" si="58"/>
        <v>4</v>
      </c>
      <c r="AT46" s="228">
        <f t="shared" si="59"/>
        <v>1</v>
      </c>
      <c r="AU46" s="228">
        <f t="shared" si="60"/>
        <v>1</v>
      </c>
      <c r="AV46" s="156"/>
      <c r="AW46" s="229">
        <f t="shared" si="61"/>
        <v>4.0000000000000002E-4</v>
      </c>
      <c r="AX46" s="230">
        <f t="shared" si="62"/>
        <v>1E-4</v>
      </c>
      <c r="AY46" s="230">
        <f t="shared" si="63"/>
        <v>2.0000000000000001E-4</v>
      </c>
      <c r="AZ46" s="230">
        <f t="shared" si="64"/>
        <v>13.000299999999999</v>
      </c>
      <c r="BA46" s="230">
        <f t="shared" si="65"/>
        <v>4.0000000000000002E-4</v>
      </c>
      <c r="BB46" s="230">
        <f t="shared" si="66"/>
        <v>7.0004999999999997</v>
      </c>
      <c r="BC46" s="230">
        <f t="shared" si="67"/>
        <v>5.9999999999999995E-4</v>
      </c>
      <c r="BD46" s="230">
        <f t="shared" si="68"/>
        <v>6.9999999999999999E-4</v>
      </c>
      <c r="BE46" s="230">
        <f t="shared" si="69"/>
        <v>8.0000000000000004E-4</v>
      </c>
      <c r="BF46" s="230">
        <f t="shared" si="70"/>
        <v>13.0009</v>
      </c>
      <c r="BG46" s="230">
        <f t="shared" si="71"/>
        <v>20.001000000000001</v>
      </c>
      <c r="BH46" s="230">
        <f t="shared" si="72"/>
        <v>1.1000000000000001E-3</v>
      </c>
      <c r="BI46" s="230">
        <f t="shared" si="73"/>
        <v>1.1999999999999999E-3</v>
      </c>
      <c r="BJ46" s="230">
        <f t="shared" si="74"/>
        <v>1.2999999999999999E-3</v>
      </c>
      <c r="BK46" s="156"/>
    </row>
    <row r="47" spans="1:63" x14ac:dyDescent="0.2">
      <c r="A47" s="208" t="str">
        <f t="shared" si="38"/>
        <v/>
      </c>
      <c r="B47" s="209">
        <f t="shared" si="39"/>
        <v>-959</v>
      </c>
      <c r="C47" s="736" t="str">
        <f t="shared" si="40"/>
        <v/>
      </c>
      <c r="D47" s="565">
        <f t="shared" si="41"/>
        <v>-959</v>
      </c>
      <c r="E47" s="210" t="str">
        <f t="shared" si="42"/>
        <v/>
      </c>
      <c r="F47" s="209">
        <f t="shared" si="43"/>
        <v>-959</v>
      </c>
      <c r="G47" s="211">
        <f t="shared" si="44"/>
        <v>8</v>
      </c>
      <c r="H47" s="209">
        <f t="shared" si="45"/>
        <v>41</v>
      </c>
      <c r="I47" s="212" t="str">
        <f t="shared" si="46"/>
        <v/>
      </c>
      <c r="J47" s="213">
        <f t="shared" si="47"/>
        <v>-959</v>
      </c>
      <c r="K47" s="178">
        <f t="shared" si="48"/>
        <v>41</v>
      </c>
      <c r="L47" s="214" t="s">
        <v>88</v>
      </c>
      <c r="M47" s="215" t="s">
        <v>135</v>
      </c>
      <c r="N47" s="216"/>
      <c r="O47" s="217"/>
      <c r="P47" s="218"/>
      <c r="Q47" s="219"/>
      <c r="R47" s="220">
        <f t="array" ref="R47">(IF(COUNT(Z47,AA47,AB47,AC47,AD47,AE47,AF47,AG47,AH47,AI47,AJ47,AK47,AL47,AM47,AN47)&lt;11,SUM(Z47,AA47,AB47,AC47,AD47,AE47,AF47,AG47,AH47,AI47,AJ47,AK47,AL47,AM47,AN47),SUM(LARGE((Z47,AA47,AB47,AC47,AD47,AE47,AF47,AG47,AH47,AI47,AJ47,AK47,AL47,AM47,AN47),{1;2;3;4;5;6;7;8;9;10}))))</f>
        <v>36</v>
      </c>
      <c r="S47" s="221" t="str">
        <f>INDEX(ETAPP!B$1:B$32,MATCH(COUNTIF(Z47:AN47,PVO!A$1),ETAPP!A$1:A$32,0))&amp;INDEX(ETAPP!B$1:B$32,MATCH(COUNTIF(Z47:AN47,PVO!A$2),ETAPP!A$1:A$32,0))&amp;INDEX(ETAPP!B$1:B$32,MATCH(COUNTIF(Z47:AN47,PVO!A$3),ETAPP!A$1:A$32,0))&amp;INDEX(ETAPP!B$1:B$32,MATCH(COUNTIF(Z47:AN47,PVO!A$4),ETAPP!A$1:A$32,0))&amp;INDEX(ETAPP!B$1:B$32,MATCH(COUNTIF(Z47:AN47,PVO!A$5),ETAPP!A$1:A$32,0))&amp;INDEX(ETAPP!B$1:B$32,MATCH(COUNTIF(Z47:AN47,PVO!A$6),ETAPP!A$1:A$32,0))&amp;INDEX(ETAPP!B$1:B$32,MATCH(COUNTIF(Z47:AN47,PVO!A$7),ETAPP!A$1:A$32,0))&amp;INDEX(ETAPP!B$1:B$32,MATCH(COUNTIF(Z47:AN47,PVO!A$8),ETAPP!A$1:A$32,0))&amp;INDEX(ETAPP!B$1:B$32,MATCH(COUNTIF(Z47:AN47,PVO!A$9),ETAPP!A$1:A$32,0))&amp;INDEX(ETAPP!B$1:B$32,MATCH(COUNTIF(Z47:AN47,PVO!A$10),ETAPP!A$1:A$32,0))&amp;INDEX(ETAPP!B$1:B$32,MATCH(COUNTIF(Z47:AN47,PVO!A$11),ETAPP!A$1:A$32,0))&amp;INDEX(ETAPP!B$1:B$32,MATCH(COUNTIF(Z47:AN47,PVO!A$12),ETAPP!A$1:A$32,0))&amp;INDEX(ETAPP!B$1:B$32,MATCH(COUNTIF(Z47:AN47,PVO!A$13),ETAPP!A$1:A$32,0))&amp;INDEX(ETAPP!B$1:B$32,MATCH(COUNTIF(Z47:AN47,PVO!A$14),ETAPP!A$1:A$32,0))&amp;INDEX(ETAPP!B$1:B$32,MATCH(COUNTIF(Z47:AN47,PVO!A$15),ETAPP!A$1:A$32,0))&amp;INDEX(ETAPP!B$1:B$32,MATCH(COUNTIF(Z47:AN47,PVO!A$16),ETAPP!A$1:A$32,0))&amp;INDEX(ETAPP!B$1:B$32,MATCH(COUNTIF(Z47:AN47,PVO!A$17),ETAPP!A$1:A$32,0))&amp;INDEX(ETAPP!B$1:B$32,MATCH(COUNTIF(Z47:AN47,PVO!A$18),ETAPP!A$1:A$32,0))&amp;INDEX(ETAPP!B$1:B$32,MATCH(COUNTIF(Z47:AN47,PVO!A$19),ETAPP!A$1:A$32,0))&amp;INDEX(ETAPP!B$1:B$32,MATCH(COUNTIF(Z47:AN47,PVO!A$20),ETAPP!A$1:A$32,0))&amp;INDEX(ETAPP!B$1:B$32,MATCH(COUNTIF(Z47:AN47,PVO!A$21),ETAPP!A$1:A$32,0))</f>
        <v>0A0A00000000000000000</v>
      </c>
      <c r="T47" s="221" t="str">
        <f t="shared" si="49"/>
        <v>036,0-0A0A00000000000000000</v>
      </c>
      <c r="U47" s="221">
        <f t="shared" si="50"/>
        <v>41</v>
      </c>
      <c r="V47" s="221">
        <f t="shared" si="51"/>
        <v>17</v>
      </c>
      <c r="W47" s="221" t="str">
        <f t="shared" si="52"/>
        <v>036,0-0A0A00000000000000000-017</v>
      </c>
      <c r="X47" s="221">
        <f t="shared" si="53"/>
        <v>41</v>
      </c>
      <c r="Y47" s="222">
        <f t="shared" si="54"/>
        <v>27</v>
      </c>
      <c r="Z47" s="223" t="str">
        <f>IFERROR(INDEX('V1'!C$300:C$400,MATCH("*"&amp;L47&amp;"*",'V1'!B$300:B$400,0)),"  ")</f>
        <v xml:space="preserve">  </v>
      </c>
      <c r="AA47" s="223" t="str">
        <f>IFERROR(INDEX('V2'!C$300:C$400,MATCH("*"&amp;L47&amp;"*",'V2'!B$300:B$400,0)),"  ")</f>
        <v xml:space="preserve">  </v>
      </c>
      <c r="AB47" s="223" t="str">
        <f>IFERROR(INDEX('V3'!C$300:C$400,MATCH("*"&amp;L47&amp;"*",'V3'!B$300:B$400,0)),"  ")</f>
        <v xml:space="preserve">  </v>
      </c>
      <c r="AC47" s="223">
        <f>IFERROR(INDEX('V4'!C$300:C$400,MATCH("*"&amp;L47&amp;"*",'V4'!B$300:B$400,0)),"  ")</f>
        <v>17</v>
      </c>
      <c r="AD47" s="223" t="str">
        <f>IFERROR(INDEX('V5'!C$300:C$400,MATCH("*"&amp;L47&amp;"*",'V5'!B$300:B$400,0)),"  ")</f>
        <v xml:space="preserve">  </v>
      </c>
      <c r="AE47" s="223" t="str">
        <f>IFERROR(INDEX('V6'!C$300:C$400,MATCH("*"&amp;L47&amp;"*",'V6'!B$300:B$400,0)),"  ")</f>
        <v xml:space="preserve">  </v>
      </c>
      <c r="AF47" s="223">
        <f>IFERROR(INDEX('V7'!C$300:C$400,MATCH("*"&amp;L47&amp;"*",'V7'!B$300:B$400,0)),"  ")</f>
        <v>19</v>
      </c>
      <c r="AG47" s="223" t="str">
        <f>IFERROR(INDEX('V8'!C$300:C$400,MATCH("*"&amp;L47&amp;"*",'V8'!B$300:B$400,0)),"  ")</f>
        <v xml:space="preserve">  </v>
      </c>
      <c r="AH47" s="223" t="str">
        <f>IFERROR(INDEX('V9'!C$300:C$400,MATCH("*"&amp;L47&amp;"*",'V9'!B$300:B$400,0)),"  ")</f>
        <v xml:space="preserve">  </v>
      </c>
      <c r="AI47" s="223" t="str">
        <f>IFERROR(INDEX('V10'!C$300:C$400,MATCH("*"&amp;L47&amp;"*",'V10'!B$300:B$400,0)),"  ")</f>
        <v xml:space="preserve">  </v>
      </c>
      <c r="AJ47" s="223" t="str">
        <f>IFERROR(INDEX('V11'!C$300:C$400,MATCH("*"&amp;L47&amp;"*",'V11'!B$300:B$400,0)),"  ")</f>
        <v xml:space="preserve">  </v>
      </c>
      <c r="AK47" s="223" t="str">
        <f>IFERROR(INDEX('V12'!C$300:C$400,MATCH("*"&amp;L47&amp;"*",'V12'!B$300:B$400,0)),"  ")</f>
        <v xml:space="preserve">  </v>
      </c>
      <c r="AL47" s="223" t="str">
        <f>IFERROR(INDEX('V13'!C$300:C$400,MATCH("*"&amp;L47&amp;"*",'V13'!B$300:B$400,0)),"  ")</f>
        <v xml:space="preserve">  </v>
      </c>
      <c r="AM47" s="223"/>
      <c r="AN47" s="223"/>
      <c r="AO47" s="224" t="str">
        <f t="shared" si="55"/>
        <v/>
      </c>
      <c r="AP47" s="627">
        <f t="shared" si="56"/>
        <v>36</v>
      </c>
      <c r="AQ47" s="225">
        <f t="shared" si="57"/>
        <v>41</v>
      </c>
      <c r="AR47" s="226" t="str">
        <f>IFERROR(INDEX(#REF!,MATCH("*"&amp;L47&amp;"*",#REF!,0)),"  ")</f>
        <v xml:space="preserve">  </v>
      </c>
      <c r="AS47" s="227">
        <f t="shared" si="58"/>
        <v>2</v>
      </c>
      <c r="AT47" s="228">
        <f t="shared" si="59"/>
        <v>1</v>
      </c>
      <c r="AU47" s="228">
        <f t="shared" si="60"/>
        <v>0</v>
      </c>
      <c r="AV47" s="233"/>
      <c r="AW47" s="229">
        <f t="shared" si="61"/>
        <v>2.9999999999999997E-4</v>
      </c>
      <c r="AX47" s="230">
        <f t="shared" si="62"/>
        <v>1E-4</v>
      </c>
      <c r="AY47" s="230">
        <f t="shared" si="63"/>
        <v>2.0000000000000001E-4</v>
      </c>
      <c r="AZ47" s="230">
        <f t="shared" si="64"/>
        <v>2.9999999999999997E-4</v>
      </c>
      <c r="BA47" s="230">
        <f t="shared" si="65"/>
        <v>17.000399999999999</v>
      </c>
      <c r="BB47" s="230">
        <f t="shared" si="66"/>
        <v>5.0000000000000001E-4</v>
      </c>
      <c r="BC47" s="230">
        <f t="shared" si="67"/>
        <v>5.9999999999999995E-4</v>
      </c>
      <c r="BD47" s="230">
        <f t="shared" si="68"/>
        <v>19.000699999999998</v>
      </c>
      <c r="BE47" s="230">
        <f t="shared" si="69"/>
        <v>8.0000000000000004E-4</v>
      </c>
      <c r="BF47" s="230">
        <f t="shared" si="70"/>
        <v>8.9999999999999998E-4</v>
      </c>
      <c r="BG47" s="230">
        <f t="shared" si="71"/>
        <v>1E-3</v>
      </c>
      <c r="BH47" s="230">
        <f t="shared" si="72"/>
        <v>1.1000000000000001E-3</v>
      </c>
      <c r="BI47" s="230">
        <f t="shared" si="73"/>
        <v>1.1999999999999999E-3</v>
      </c>
      <c r="BJ47" s="230">
        <f t="shared" si="74"/>
        <v>1.2999999999999999E-3</v>
      </c>
      <c r="BK47" s="156"/>
    </row>
    <row r="48" spans="1:63" x14ac:dyDescent="0.2">
      <c r="A48" s="208">
        <f t="shared" si="38"/>
        <v>25</v>
      </c>
      <c r="B48" s="209">
        <f t="shared" si="39"/>
        <v>42</v>
      </c>
      <c r="C48" s="736">
        <f t="shared" si="40"/>
        <v>16</v>
      </c>
      <c r="D48" s="565">
        <f t="shared" si="41"/>
        <v>42</v>
      </c>
      <c r="E48" s="210">
        <f t="shared" si="42"/>
        <v>34</v>
      </c>
      <c r="F48" s="209">
        <f t="shared" si="43"/>
        <v>42</v>
      </c>
      <c r="G48" s="211" t="str">
        <f t="shared" si="44"/>
        <v/>
      </c>
      <c r="H48" s="209">
        <f t="shared" si="45"/>
        <v>-958</v>
      </c>
      <c r="I48" s="212" t="str">
        <f t="shared" si="46"/>
        <v/>
      </c>
      <c r="J48" s="213">
        <f t="shared" si="47"/>
        <v>-958</v>
      </c>
      <c r="K48" s="178">
        <f t="shared" si="48"/>
        <v>42</v>
      </c>
      <c r="L48" s="242" t="s">
        <v>144</v>
      </c>
      <c r="M48" s="215"/>
      <c r="N48" s="216" t="str">
        <f>IF(M48="","m","")</f>
        <v>m</v>
      </c>
      <c r="O48" s="217"/>
      <c r="P48" s="218" t="s">
        <v>478</v>
      </c>
      <c r="Q48" s="219" t="s">
        <v>124</v>
      </c>
      <c r="R48" s="220">
        <f t="array" ref="R48">(IF(COUNT(Z48,AA48,AB48,AC48,AD48,AE48,AF48,AG48,AH48,AI48,AJ48,AK48,AL48,AM48,AN48)&lt;11,SUM(Z48,AA48,AB48,AC48,AD48,AE48,AF48,AG48,AH48,AI48,AJ48,AK48,AL48,AM48,AN48),SUM(LARGE((Z48,AA48,AB48,AC48,AD48,AE48,AF48,AG48,AH48,AI48,AJ48,AK48,AL48,AM48,AN48),{1;2;3;4;5;6;7;8;9;10}))))</f>
        <v>30</v>
      </c>
      <c r="S48" s="221" t="str">
        <f>INDEX(ETAPP!B$1:B$32,MATCH(COUNTIF(Z48:AN48,PVO!A$1),ETAPP!A$1:A$32,0))&amp;INDEX(ETAPP!B$1:B$32,MATCH(COUNTIF(Z48:AN48,PVO!A$2),ETAPP!A$1:A$32,0))&amp;INDEX(ETAPP!B$1:B$32,MATCH(COUNTIF(Z48:AN48,PVO!A$3),ETAPP!A$1:A$32,0))&amp;INDEX(ETAPP!B$1:B$32,MATCH(COUNTIF(Z48:AN48,PVO!A$4),ETAPP!A$1:A$32,0))&amp;INDEX(ETAPP!B$1:B$32,MATCH(COUNTIF(Z48:AN48,PVO!A$5),ETAPP!A$1:A$32,0))&amp;INDEX(ETAPP!B$1:B$32,MATCH(COUNTIF(Z48:AN48,PVO!A$6),ETAPP!A$1:A$32,0))&amp;INDEX(ETAPP!B$1:B$32,MATCH(COUNTIF(Z48:AN48,PVO!A$7),ETAPP!A$1:A$32,0))&amp;INDEX(ETAPP!B$1:B$32,MATCH(COUNTIF(Z48:AN48,PVO!A$8),ETAPP!A$1:A$32,0))&amp;INDEX(ETAPP!B$1:B$32,MATCH(COUNTIF(Z48:AN48,PVO!A$9),ETAPP!A$1:A$32,0))&amp;INDEX(ETAPP!B$1:B$32,MATCH(COUNTIF(Z48:AN48,PVO!A$10),ETAPP!A$1:A$32,0))&amp;INDEX(ETAPP!B$1:B$32,MATCH(COUNTIF(Z48:AN48,PVO!A$11),ETAPP!A$1:A$32,0))&amp;INDEX(ETAPP!B$1:B$32,MATCH(COUNTIF(Z48:AN48,PVO!A$12),ETAPP!A$1:A$32,0))&amp;INDEX(ETAPP!B$1:B$32,MATCH(COUNTIF(Z48:AN48,PVO!A$13),ETAPP!A$1:A$32,0))&amp;INDEX(ETAPP!B$1:B$32,MATCH(COUNTIF(Z48:AN48,PVO!A$14),ETAPP!A$1:A$32,0))&amp;INDEX(ETAPP!B$1:B$32,MATCH(COUNTIF(Z48:AN48,PVO!A$15),ETAPP!A$1:A$32,0))&amp;INDEX(ETAPP!B$1:B$32,MATCH(COUNTIF(Z48:AN48,PVO!A$16),ETAPP!A$1:A$32,0))&amp;INDEX(ETAPP!B$1:B$32,MATCH(COUNTIF(Z48:AN48,PVO!A$17),ETAPP!A$1:A$32,0))&amp;INDEX(ETAPP!B$1:B$32,MATCH(COUNTIF(Z48:AN48,PVO!A$18),ETAPP!A$1:A$32,0))&amp;INDEX(ETAPP!B$1:B$32,MATCH(COUNTIF(Z48:AN48,PVO!A$19),ETAPP!A$1:A$32,0))&amp;INDEX(ETAPP!B$1:B$32,MATCH(COUNTIF(Z48:AN48,PVO!A$20),ETAPP!A$1:A$32,0))&amp;INDEX(ETAPP!B$1:B$32,MATCH(COUNTIF(Z48:AN48,PVO!A$21),ETAPP!A$1:A$32,0))</f>
        <v>000000A00000B00000000</v>
      </c>
      <c r="T48" s="221" t="str">
        <f t="shared" si="49"/>
        <v>030,0-000000A00000B00000000</v>
      </c>
      <c r="U48" s="221">
        <f t="shared" si="50"/>
        <v>42</v>
      </c>
      <c r="V48" s="221">
        <f t="shared" si="51"/>
        <v>9</v>
      </c>
      <c r="W48" s="221" t="str">
        <f t="shared" si="52"/>
        <v>030,0-000000A00000B00000000-009</v>
      </c>
      <c r="X48" s="221">
        <f t="shared" si="53"/>
        <v>42</v>
      </c>
      <c r="Y48" s="222">
        <f t="shared" si="54"/>
        <v>26</v>
      </c>
      <c r="Z48" s="223" t="str">
        <f>IFERROR(INDEX('V1'!C$300:C$400,MATCH("*"&amp;L48&amp;"*",'V1'!B$300:B$400,0)),"  ")</f>
        <v xml:space="preserve">  </v>
      </c>
      <c r="AA48" s="223" t="str">
        <f>IFERROR(INDEX('V2'!C$300:C$400,MATCH("*"&amp;L48&amp;"*",'V2'!B$300:B$400,0)),"  ")</f>
        <v xml:space="preserve">  </v>
      </c>
      <c r="AB48" s="223" t="str">
        <f>IFERROR(INDEX('V3'!C$300:C$400,MATCH("*"&amp;L48&amp;"*",'V3'!B$300:B$400,0)),"  ")</f>
        <v xml:space="preserve">  </v>
      </c>
      <c r="AC48" s="223">
        <f>IFERROR(INDEX('V4'!C$300:C$400,MATCH("*"&amp;L48&amp;"*",'V4'!B$300:B$400,0)),"  ")</f>
        <v>8</v>
      </c>
      <c r="AD48" s="223" t="str">
        <f>IFERROR(INDEX('V5'!C$300:C$400,MATCH("*"&amp;L48&amp;"*",'V5'!B$300:B$400,0)),"  ")</f>
        <v xml:space="preserve">  </v>
      </c>
      <c r="AE48" s="223">
        <f>IFERROR(INDEX('V6'!C$300:C$400,MATCH("*"&amp;L48&amp;"*",'V6'!B$300:B$400,0)),"  ")</f>
        <v>14</v>
      </c>
      <c r="AF48" s="223" t="str">
        <f>IFERROR(INDEX('V7'!C$300:C$400,MATCH("*"&amp;L48&amp;"*",'V7'!B$300:B$400,0)),"  ")</f>
        <v xml:space="preserve">  </v>
      </c>
      <c r="AG48" s="223" t="str">
        <f>IFERROR(INDEX('V8'!C$300:C$400,MATCH("*"&amp;L48&amp;"*",'V8'!B$300:B$400,0)),"  ")</f>
        <v xml:space="preserve">  </v>
      </c>
      <c r="AH48" s="223">
        <f>IFERROR(INDEX('V9'!C$300:C$400,MATCH("*"&amp;L48&amp;"*",'V9'!B$300:B$400,0)),"  ")</f>
        <v>8</v>
      </c>
      <c r="AI48" s="223" t="str">
        <f>IFERROR(INDEX('V10'!C$300:C$400,MATCH("*"&amp;L48&amp;"*",'V10'!B$300:B$400,0)),"  ")</f>
        <v xml:space="preserve">  </v>
      </c>
      <c r="AJ48" s="223" t="str">
        <f>IFERROR(INDEX('V11'!C$300:C$400,MATCH("*"&amp;L48&amp;"*",'V11'!B$300:B$400,0)),"  ")</f>
        <v xml:space="preserve">  </v>
      </c>
      <c r="AK48" s="223" t="str">
        <f>IFERROR(INDEX('V12'!C$300:C$400,MATCH("*"&amp;L48&amp;"*",'V12'!B$300:B$400,0)),"  ")</f>
        <v xml:space="preserve">  </v>
      </c>
      <c r="AL48" s="223" t="str">
        <f>IFERROR(INDEX('V13'!C$300:C$400,MATCH("*"&amp;L48&amp;"*",'V13'!B$300:B$400,0)),"  ")</f>
        <v xml:space="preserve">  </v>
      </c>
      <c r="AM48" s="223"/>
      <c r="AN48" s="223"/>
      <c r="AO48" s="224">
        <f t="shared" si="55"/>
        <v>42</v>
      </c>
      <c r="AP48" s="627">
        <f t="shared" si="56"/>
        <v>30</v>
      </c>
      <c r="AQ48" s="225" t="str">
        <f t="shared" si="57"/>
        <v>edasi 41</v>
      </c>
      <c r="AR48" s="226" t="str">
        <f>IFERROR(INDEX(#REF!,MATCH("*"&amp;L48&amp;"*",#REF!,0)),"  ")</f>
        <v xml:space="preserve">  </v>
      </c>
      <c r="AS48" s="227">
        <f t="shared" si="58"/>
        <v>3</v>
      </c>
      <c r="AT48" s="228">
        <f t="shared" si="59"/>
        <v>0</v>
      </c>
      <c r="AU48" s="228">
        <f t="shared" si="60"/>
        <v>0</v>
      </c>
      <c r="AV48" s="233"/>
      <c r="AW48" s="229">
        <f t="shared" si="61"/>
        <v>2.9999999999999997E-4</v>
      </c>
      <c r="AX48" s="230">
        <f t="shared" si="62"/>
        <v>1E-4</v>
      </c>
      <c r="AY48" s="230">
        <f t="shared" si="63"/>
        <v>2.0000000000000001E-4</v>
      </c>
      <c r="AZ48" s="230">
        <f t="shared" si="64"/>
        <v>2.9999999999999997E-4</v>
      </c>
      <c r="BA48" s="230">
        <f t="shared" si="65"/>
        <v>8.0004000000000008</v>
      </c>
      <c r="BB48" s="230">
        <f t="shared" si="66"/>
        <v>5.0000000000000001E-4</v>
      </c>
      <c r="BC48" s="230">
        <f t="shared" si="67"/>
        <v>14.0006</v>
      </c>
      <c r="BD48" s="230">
        <f t="shared" si="68"/>
        <v>6.9999999999999999E-4</v>
      </c>
      <c r="BE48" s="230">
        <f t="shared" si="69"/>
        <v>8.0000000000000004E-4</v>
      </c>
      <c r="BF48" s="230">
        <f t="shared" si="70"/>
        <v>8.0008999999999997</v>
      </c>
      <c r="BG48" s="230">
        <f t="shared" si="71"/>
        <v>1E-3</v>
      </c>
      <c r="BH48" s="230">
        <f t="shared" si="72"/>
        <v>1.1000000000000001E-3</v>
      </c>
      <c r="BI48" s="230">
        <f t="shared" si="73"/>
        <v>1.1999999999999999E-3</v>
      </c>
      <c r="BJ48" s="230">
        <f t="shared" si="74"/>
        <v>1.2999999999999999E-3</v>
      </c>
      <c r="BK48" s="156"/>
    </row>
    <row r="49" spans="1:63" x14ac:dyDescent="0.2">
      <c r="A49" s="208" t="str">
        <f t="shared" si="38"/>
        <v/>
      </c>
      <c r="B49" s="209">
        <f t="shared" si="39"/>
        <v>-957</v>
      </c>
      <c r="C49" s="736" t="str">
        <f t="shared" si="40"/>
        <v/>
      </c>
      <c r="D49" s="565">
        <f t="shared" si="41"/>
        <v>-957</v>
      </c>
      <c r="E49" s="210">
        <f t="shared" si="42"/>
        <v>35</v>
      </c>
      <c r="F49" s="209">
        <f t="shared" si="43"/>
        <v>43</v>
      </c>
      <c r="G49" s="211" t="str">
        <f t="shared" si="44"/>
        <v/>
      </c>
      <c r="H49" s="209">
        <f t="shared" si="45"/>
        <v>-957</v>
      </c>
      <c r="I49" s="212" t="str">
        <f t="shared" si="46"/>
        <v/>
      </c>
      <c r="J49" s="213">
        <f t="shared" si="47"/>
        <v>-957</v>
      </c>
      <c r="K49" s="178">
        <f t="shared" si="48"/>
        <v>43</v>
      </c>
      <c r="L49" s="232" t="s">
        <v>434</v>
      </c>
      <c r="M49" s="215"/>
      <c r="N49" s="216" t="s">
        <v>128</v>
      </c>
      <c r="O49" s="217"/>
      <c r="P49" s="218"/>
      <c r="Q49" s="219"/>
      <c r="R49" s="220">
        <f t="array" ref="R49">(IF(COUNT(Z49,AA49,AB49,AC49,AD49,AE49,AF49,AG49,AH49,AI49,AJ49,AK49,AL49,AM49,AN49)&lt;11,SUM(Z49,AA49,AB49,AC49,AD49,AE49,AF49,AG49,AH49,AI49,AJ49,AK49,AL49,AM49,AN49),SUM(LARGE((Z49,AA49,AB49,AC49,AD49,AE49,AF49,AG49,AH49,AI49,AJ49,AK49,AL49,AM49,AN49),{1;2;3;4;5;6;7;8;9;10}))))</f>
        <v>30</v>
      </c>
      <c r="S49" s="221" t="str">
        <f>INDEX(ETAPP!B$1:B$32,MATCH(COUNTIF(Z49:AN49,PVO!A$1),ETAPP!A$1:A$32,0))&amp;INDEX(ETAPP!B$1:B$32,MATCH(COUNTIF(Z49:AN49,PVO!A$2),ETAPP!A$1:A$32,0))&amp;INDEX(ETAPP!B$1:B$32,MATCH(COUNTIF(Z49:AN49,PVO!A$3),ETAPP!A$1:A$32,0))&amp;INDEX(ETAPP!B$1:B$32,MATCH(COUNTIF(Z49:AN49,PVO!A$4),ETAPP!A$1:A$32,0))&amp;INDEX(ETAPP!B$1:B$32,MATCH(COUNTIF(Z49:AN49,PVO!A$5),ETAPP!A$1:A$32,0))&amp;INDEX(ETAPP!B$1:B$32,MATCH(COUNTIF(Z49:AN49,PVO!A$6),ETAPP!A$1:A$32,0))&amp;INDEX(ETAPP!B$1:B$32,MATCH(COUNTIF(Z49:AN49,PVO!A$7),ETAPP!A$1:A$32,0))&amp;INDEX(ETAPP!B$1:B$32,MATCH(COUNTIF(Z49:AN49,PVO!A$8),ETAPP!A$1:A$32,0))&amp;INDEX(ETAPP!B$1:B$32,MATCH(COUNTIF(Z49:AN49,PVO!A$9),ETAPP!A$1:A$32,0))&amp;INDEX(ETAPP!B$1:B$32,MATCH(COUNTIF(Z49:AN49,PVO!A$10),ETAPP!A$1:A$32,0))&amp;INDEX(ETAPP!B$1:B$32,MATCH(COUNTIF(Z49:AN49,PVO!A$11),ETAPP!A$1:A$32,0))&amp;INDEX(ETAPP!B$1:B$32,MATCH(COUNTIF(Z49:AN49,PVO!A$12),ETAPP!A$1:A$32,0))&amp;INDEX(ETAPP!B$1:B$32,MATCH(COUNTIF(Z49:AN49,PVO!A$13),ETAPP!A$1:A$32,0))&amp;INDEX(ETAPP!B$1:B$32,MATCH(COUNTIF(Z49:AN49,PVO!A$14),ETAPP!A$1:A$32,0))&amp;INDEX(ETAPP!B$1:B$32,MATCH(COUNTIF(Z49:AN49,PVO!A$15),ETAPP!A$1:A$32,0))&amp;INDEX(ETAPP!B$1:B$32,MATCH(COUNTIF(Z49:AN49,PVO!A$16),ETAPP!A$1:A$32,0))&amp;INDEX(ETAPP!B$1:B$32,MATCH(COUNTIF(Z49:AN49,PVO!A$17),ETAPP!A$1:A$32,0))&amp;INDEX(ETAPP!B$1:B$32,MATCH(COUNTIF(Z49:AN49,PVO!A$18),ETAPP!A$1:A$32,0))&amp;INDEX(ETAPP!B$1:B$32,MATCH(COUNTIF(Z49:AN49,PVO!A$19),ETAPP!A$1:A$32,0))&amp;INDEX(ETAPP!B$1:B$32,MATCH(COUNTIF(Z49:AN49,PVO!A$20),ETAPP!A$1:A$32,0))&amp;INDEX(ETAPP!B$1:B$32,MATCH(COUNTIF(Z49:AN49,PVO!A$21),ETAPP!A$1:A$32,0))</f>
        <v>00000000A00B000000000</v>
      </c>
      <c r="T49" s="221" t="str">
        <f t="shared" si="49"/>
        <v>030,0-00000000A00B000000000</v>
      </c>
      <c r="U49" s="221">
        <f t="shared" si="50"/>
        <v>43</v>
      </c>
      <c r="V49" s="221">
        <f t="shared" si="51"/>
        <v>19</v>
      </c>
      <c r="W49" s="221" t="str">
        <f t="shared" si="52"/>
        <v>030,0-00000000A00B000000000-019</v>
      </c>
      <c r="X49" s="221">
        <f t="shared" si="53"/>
        <v>43</v>
      </c>
      <c r="Y49" s="222">
        <f t="shared" si="54"/>
        <v>25</v>
      </c>
      <c r="Z49" s="223" t="str">
        <f>IFERROR(INDEX('V1'!C$300:C$400,MATCH("*"&amp;L49&amp;"*",'V1'!B$300:B$400,0)),"  ")</f>
        <v xml:space="preserve">  </v>
      </c>
      <c r="AA49" s="223" t="str">
        <f>IFERROR(INDEX('V2'!C$300:C$400,MATCH("*"&amp;L49&amp;"*",'V2'!B$300:B$400,0)),"  ")</f>
        <v xml:space="preserve">  </v>
      </c>
      <c r="AB49" s="223" t="str">
        <f>IFERROR(INDEX('V3'!C$300:C$400,MATCH("*"&amp;L49&amp;"*",'V3'!B$300:B$400,0)),"  ")</f>
        <v xml:space="preserve">  </v>
      </c>
      <c r="AC49" s="223" t="str">
        <f>IFERROR(INDEX('V4'!C$300:C$400,MATCH("*"&amp;L49&amp;"*",'V4'!B$300:B$400,0)),"  ")</f>
        <v xml:space="preserve">  </v>
      </c>
      <c r="AD49" s="223" t="str">
        <f>IFERROR(INDEX('V5'!C$300:C$400,MATCH("*"&amp;L49&amp;"*",'V5'!B$300:B$400,0)),"  ")</f>
        <v xml:space="preserve">  </v>
      </c>
      <c r="AE49" s="223" t="str">
        <f>IFERROR(INDEX('V6'!C$300:C$400,MATCH("*"&amp;L49&amp;"*",'V6'!B$300:B$400,0)),"  ")</f>
        <v xml:space="preserve">  </v>
      </c>
      <c r="AF49" s="223">
        <f>IFERROR(INDEX('V7'!C$300:C$400,MATCH("*"&amp;L49&amp;"*",'V7'!B$300:B$400,0)),"  ")</f>
        <v>9</v>
      </c>
      <c r="AG49" s="223" t="str">
        <f>IFERROR(INDEX('V8'!C$300:C$400,MATCH("*"&amp;L49&amp;"*",'V8'!B$300:B$400,0)),"  ")</f>
        <v xml:space="preserve">  </v>
      </c>
      <c r="AH49" s="223" t="str">
        <f>IFERROR(INDEX('V9'!C$300:C$400,MATCH("*"&amp;L49&amp;"*",'V9'!B$300:B$400,0)),"  ")</f>
        <v xml:space="preserve">  </v>
      </c>
      <c r="AI49" s="223" t="str">
        <f>IFERROR(INDEX('V10'!C$300:C$400,MATCH("*"&amp;L49&amp;"*",'V10'!B$300:B$400,0)),"  ")</f>
        <v xml:space="preserve">  </v>
      </c>
      <c r="AJ49" s="223">
        <f>IFERROR(INDEX('V11'!C$300:C$400,MATCH("*"&amp;L49&amp;"*",'V11'!B$300:B$400,0)),"  ")</f>
        <v>12</v>
      </c>
      <c r="AK49" s="223">
        <f>IFERROR(INDEX('V12'!C$300:C$400,MATCH("*"&amp;L49&amp;"*",'V12'!B$300:B$400,0)),"  ")</f>
        <v>9</v>
      </c>
      <c r="AL49" s="223" t="str">
        <f>IFERROR(INDEX('V13'!C$300:C$400,MATCH("*"&amp;L49&amp;"*",'V13'!B$300:B$400,0)),"  ")</f>
        <v xml:space="preserve">  </v>
      </c>
      <c r="AM49" s="223"/>
      <c r="AN49" s="223"/>
      <c r="AO49" s="224">
        <f t="shared" si="55"/>
        <v>43</v>
      </c>
      <c r="AP49" s="627">
        <f t="shared" si="56"/>
        <v>30</v>
      </c>
      <c r="AQ49" s="225" t="str">
        <f t="shared" si="57"/>
        <v>edasi 42</v>
      </c>
      <c r="AR49" s="226" t="str">
        <f>IFERROR(INDEX(#REF!,MATCH("*"&amp;L49&amp;"*",#REF!,0)),"  ")</f>
        <v xml:space="preserve">  </v>
      </c>
      <c r="AS49" s="227">
        <f t="shared" si="58"/>
        <v>3</v>
      </c>
      <c r="AT49" s="228">
        <f t="shared" si="59"/>
        <v>0</v>
      </c>
      <c r="AU49" s="228">
        <f t="shared" si="60"/>
        <v>0</v>
      </c>
      <c r="AV49" s="156"/>
      <c r="AW49" s="229">
        <f t="shared" si="61"/>
        <v>2.9999999999999997E-4</v>
      </c>
      <c r="AX49" s="230">
        <f t="shared" si="62"/>
        <v>1E-4</v>
      </c>
      <c r="AY49" s="230">
        <f t="shared" si="63"/>
        <v>2.0000000000000001E-4</v>
      </c>
      <c r="AZ49" s="230">
        <f t="shared" si="64"/>
        <v>2.9999999999999997E-4</v>
      </c>
      <c r="BA49" s="230">
        <f t="shared" si="65"/>
        <v>4.0000000000000002E-4</v>
      </c>
      <c r="BB49" s="230">
        <f t="shared" si="66"/>
        <v>5.0000000000000001E-4</v>
      </c>
      <c r="BC49" s="230">
        <f t="shared" si="67"/>
        <v>5.9999999999999995E-4</v>
      </c>
      <c r="BD49" s="230">
        <f t="shared" si="68"/>
        <v>9.0007000000000001</v>
      </c>
      <c r="BE49" s="230">
        <f t="shared" si="69"/>
        <v>8.0000000000000004E-4</v>
      </c>
      <c r="BF49" s="230">
        <f t="shared" si="70"/>
        <v>8.9999999999999998E-4</v>
      </c>
      <c r="BG49" s="230">
        <f t="shared" si="71"/>
        <v>1E-3</v>
      </c>
      <c r="BH49" s="230">
        <f t="shared" si="72"/>
        <v>12.001099999999999</v>
      </c>
      <c r="BI49" s="230">
        <f t="shared" si="73"/>
        <v>9.0012000000000008</v>
      </c>
      <c r="BJ49" s="230">
        <f t="shared" si="74"/>
        <v>1.2999999999999999E-3</v>
      </c>
      <c r="BK49" s="156"/>
    </row>
    <row r="50" spans="1:63" x14ac:dyDescent="0.2">
      <c r="A50" s="208" t="str">
        <f t="shared" si="38"/>
        <v/>
      </c>
      <c r="B50" s="209">
        <f t="shared" si="39"/>
        <v>-956</v>
      </c>
      <c r="C50" s="736" t="str">
        <f t="shared" si="40"/>
        <v/>
      </c>
      <c r="D50" s="565">
        <f t="shared" si="41"/>
        <v>-956</v>
      </c>
      <c r="E50" s="210">
        <f t="shared" si="42"/>
        <v>36</v>
      </c>
      <c r="F50" s="209">
        <f t="shared" si="43"/>
        <v>44</v>
      </c>
      <c r="G50" s="211" t="str">
        <f t="shared" si="44"/>
        <v/>
      </c>
      <c r="H50" s="209">
        <f t="shared" si="45"/>
        <v>-956</v>
      </c>
      <c r="I50" s="212" t="str">
        <f t="shared" si="46"/>
        <v/>
      </c>
      <c r="J50" s="213">
        <f t="shared" si="47"/>
        <v>-956</v>
      </c>
      <c r="K50" s="178">
        <f t="shared" si="48"/>
        <v>44</v>
      </c>
      <c r="L50" s="232" t="s">
        <v>384</v>
      </c>
      <c r="M50" s="215"/>
      <c r="N50" s="216" t="s">
        <v>128</v>
      </c>
      <c r="O50" s="217"/>
      <c r="P50" s="218"/>
      <c r="Q50" s="219"/>
      <c r="R50" s="220">
        <f t="array" ref="R50">(IF(COUNT(Z50,AA50,AB50,AC50,AD50,AE50,AF50,AG50,AH50,AI50,AJ50,AK50,AL50,AM50,AN50)&lt;11,SUM(Z50,AA50,AB50,AC50,AD50,AE50,AF50,AG50,AH50,AI50,AJ50,AK50,AL50,AM50,AN50),SUM(LARGE((Z50,AA50,AB50,AC50,AD50,AE50,AF50,AG50,AH50,AI50,AJ50,AK50,AL50,AM50,AN50),{1;2;3;4;5;6;7;8;9;10}))))</f>
        <v>29</v>
      </c>
      <c r="S50" s="221" t="str">
        <f>INDEX(ETAPP!B$1:B$32,MATCH(COUNTIF(Z50:AN50,PVO!A$1),ETAPP!A$1:A$32,0))&amp;INDEX(ETAPP!B$1:B$32,MATCH(COUNTIF(Z50:AN50,PVO!A$2),ETAPP!A$1:A$32,0))&amp;INDEX(ETAPP!B$1:B$32,MATCH(COUNTIF(Z50:AN50,PVO!A$3),ETAPP!A$1:A$32,0))&amp;INDEX(ETAPP!B$1:B$32,MATCH(COUNTIF(Z50:AN50,PVO!A$4),ETAPP!A$1:A$32,0))&amp;INDEX(ETAPP!B$1:B$32,MATCH(COUNTIF(Z50:AN50,PVO!A$5),ETAPP!A$1:A$32,0))&amp;INDEX(ETAPP!B$1:B$32,MATCH(COUNTIF(Z50:AN50,PVO!A$6),ETAPP!A$1:A$32,0))&amp;INDEX(ETAPP!B$1:B$32,MATCH(COUNTIF(Z50:AN50,PVO!A$7),ETAPP!A$1:A$32,0))&amp;INDEX(ETAPP!B$1:B$32,MATCH(COUNTIF(Z50:AN50,PVO!A$8),ETAPP!A$1:A$32,0))&amp;INDEX(ETAPP!B$1:B$32,MATCH(COUNTIF(Z50:AN50,PVO!A$9),ETAPP!A$1:A$32,0))&amp;INDEX(ETAPP!B$1:B$32,MATCH(COUNTIF(Z50:AN50,PVO!A$10),ETAPP!A$1:A$32,0))&amp;INDEX(ETAPP!B$1:B$32,MATCH(COUNTIF(Z50:AN50,PVO!A$11),ETAPP!A$1:A$32,0))&amp;INDEX(ETAPP!B$1:B$32,MATCH(COUNTIF(Z50:AN50,PVO!A$12),ETAPP!A$1:A$32,0))&amp;INDEX(ETAPP!B$1:B$32,MATCH(COUNTIF(Z50:AN50,PVO!A$13),ETAPP!A$1:A$32,0))&amp;INDEX(ETAPP!B$1:B$32,MATCH(COUNTIF(Z50:AN50,PVO!A$14),ETAPP!A$1:A$32,0))&amp;INDEX(ETAPP!B$1:B$32,MATCH(COUNTIF(Z50:AN50,PVO!A$15),ETAPP!A$1:A$32,0))&amp;INDEX(ETAPP!B$1:B$32,MATCH(COUNTIF(Z50:AN50,PVO!A$16),ETAPP!A$1:A$32,0))&amp;INDEX(ETAPP!B$1:B$32,MATCH(COUNTIF(Z50:AN50,PVO!A$17),ETAPP!A$1:A$32,0))&amp;INDEX(ETAPP!B$1:B$32,MATCH(COUNTIF(Z50:AN50,PVO!A$18),ETAPP!A$1:A$32,0))&amp;INDEX(ETAPP!B$1:B$32,MATCH(COUNTIF(Z50:AN50,PVO!A$19),ETAPP!A$1:A$32,0))&amp;INDEX(ETAPP!B$1:B$32,MATCH(COUNTIF(Z50:AN50,PVO!A$20),ETAPP!A$1:A$32,0))&amp;INDEX(ETAPP!B$1:B$32,MATCH(COUNTIF(Z50:AN50,PVO!A$21),ETAPP!A$1:A$32,0))</f>
        <v>0000000A0000B00000000</v>
      </c>
      <c r="T50" s="221" t="str">
        <f t="shared" si="49"/>
        <v>029,0-0000000A0000B00000000</v>
      </c>
      <c r="U50" s="221">
        <f t="shared" si="50"/>
        <v>44</v>
      </c>
      <c r="V50" s="221">
        <f t="shared" si="51"/>
        <v>26</v>
      </c>
      <c r="W50" s="221" t="str">
        <f t="shared" si="52"/>
        <v>029,0-0000000A0000B00000000-026</v>
      </c>
      <c r="X50" s="221">
        <f t="shared" si="53"/>
        <v>44</v>
      </c>
      <c r="Y50" s="222">
        <f t="shared" si="54"/>
        <v>24</v>
      </c>
      <c r="Z50" s="223" t="str">
        <f>IFERROR(INDEX('V1'!C$300:C$400,MATCH("*"&amp;L50&amp;"*",'V1'!B$300:B$400,0)),"  ")</f>
        <v xml:space="preserve">  </v>
      </c>
      <c r="AA50" s="223" t="str">
        <f>IFERROR(INDEX('V2'!C$300:C$400,MATCH("*"&amp;L50&amp;"*",'V2'!B$300:B$400,0)),"  ")</f>
        <v xml:space="preserve">  </v>
      </c>
      <c r="AB50" s="223" t="str">
        <f>IFERROR(INDEX('V3'!C$300:C$400,MATCH("*"&amp;L50&amp;"*",'V3'!B$300:B$400,0)),"  ")</f>
        <v xml:space="preserve">  </v>
      </c>
      <c r="AC50" s="223">
        <f>IFERROR(INDEX('V4'!C$300:C$400,MATCH("*"&amp;L50&amp;"*",'V4'!B$300:B$400,0)),"  ")</f>
        <v>8</v>
      </c>
      <c r="AD50" s="223" t="str">
        <f>IFERROR(INDEX('V5'!C$300:C$400,MATCH("*"&amp;L50&amp;"*",'V5'!B$300:B$400,0)),"  ")</f>
        <v xml:space="preserve">  </v>
      </c>
      <c r="AE50" s="223" t="str">
        <f>IFERROR(INDEX('V6'!C$300:C$400,MATCH("*"&amp;L50&amp;"*",'V6'!B$300:B$400,0)),"  ")</f>
        <v xml:space="preserve">  </v>
      </c>
      <c r="AF50" s="223" t="str">
        <f>IFERROR(INDEX('V7'!C$300:C$400,MATCH("*"&amp;L50&amp;"*",'V7'!B$300:B$400,0)),"  ")</f>
        <v xml:space="preserve">  </v>
      </c>
      <c r="AG50" s="223" t="str">
        <f>IFERROR(INDEX('V8'!C$300:C$400,MATCH("*"&amp;L50&amp;"*",'V8'!B$300:B$400,0)),"  ")</f>
        <v xml:space="preserve">  </v>
      </c>
      <c r="AH50" s="223" t="str">
        <f>IFERROR(INDEX('V9'!C$300:C$400,MATCH("*"&amp;L50&amp;"*",'V9'!B$300:B$400,0)),"  ")</f>
        <v xml:space="preserve">  </v>
      </c>
      <c r="AI50" s="223" t="str">
        <f>IFERROR(INDEX('V10'!C$300:C$400,MATCH("*"&amp;L50&amp;"*",'V10'!B$300:B$400,0)),"  ")</f>
        <v xml:space="preserve">  </v>
      </c>
      <c r="AJ50" s="223">
        <f>IFERROR(INDEX('V11'!C$300:C$400,MATCH("*"&amp;L50&amp;"*",'V11'!B$300:B$400,0)),"  ")</f>
        <v>13</v>
      </c>
      <c r="AK50" s="223">
        <f>IFERROR(INDEX('V12'!C$300:C$400,MATCH("*"&amp;L50&amp;"*",'V12'!B$300:B$400,0)),"  ")</f>
        <v>8</v>
      </c>
      <c r="AL50" s="223" t="str">
        <f>IFERROR(INDEX('V13'!C$300:C$400,MATCH("*"&amp;L50&amp;"*",'V13'!B$300:B$400,0)),"  ")</f>
        <v xml:space="preserve">  </v>
      </c>
      <c r="AM50" s="223"/>
      <c r="AN50" s="223"/>
      <c r="AO50" s="224">
        <f t="shared" si="55"/>
        <v>44</v>
      </c>
      <c r="AP50" s="627">
        <f t="shared" si="56"/>
        <v>29</v>
      </c>
      <c r="AQ50" s="225" t="str">
        <f t="shared" si="57"/>
        <v>edasi 43</v>
      </c>
      <c r="AR50" s="226" t="str">
        <f>IFERROR(INDEX(#REF!,MATCH("*"&amp;L50&amp;"*",#REF!,0)),"  ")</f>
        <v xml:space="preserve">  </v>
      </c>
      <c r="AS50" s="227">
        <f t="shared" si="58"/>
        <v>3</v>
      </c>
      <c r="AT50" s="228">
        <f t="shared" si="59"/>
        <v>0</v>
      </c>
      <c r="AU50" s="228">
        <f t="shared" si="60"/>
        <v>0</v>
      </c>
      <c r="AV50" s="156"/>
      <c r="AW50" s="229">
        <f t="shared" si="61"/>
        <v>2.9999999999999997E-4</v>
      </c>
      <c r="AX50" s="230">
        <f t="shared" si="62"/>
        <v>1E-4</v>
      </c>
      <c r="AY50" s="230">
        <f t="shared" si="63"/>
        <v>2.0000000000000001E-4</v>
      </c>
      <c r="AZ50" s="230">
        <f t="shared" si="64"/>
        <v>2.9999999999999997E-4</v>
      </c>
      <c r="BA50" s="230">
        <f t="shared" si="65"/>
        <v>8.0004000000000008</v>
      </c>
      <c r="BB50" s="230">
        <f t="shared" si="66"/>
        <v>5.0000000000000001E-4</v>
      </c>
      <c r="BC50" s="230">
        <f t="shared" si="67"/>
        <v>5.9999999999999995E-4</v>
      </c>
      <c r="BD50" s="230">
        <f t="shared" si="68"/>
        <v>6.9999999999999999E-4</v>
      </c>
      <c r="BE50" s="230">
        <f t="shared" si="69"/>
        <v>8.0000000000000004E-4</v>
      </c>
      <c r="BF50" s="230">
        <f t="shared" si="70"/>
        <v>8.9999999999999998E-4</v>
      </c>
      <c r="BG50" s="230">
        <f t="shared" si="71"/>
        <v>1E-3</v>
      </c>
      <c r="BH50" s="230">
        <f t="shared" si="72"/>
        <v>13.001099999999999</v>
      </c>
      <c r="BI50" s="230">
        <f t="shared" si="73"/>
        <v>8.0012000000000008</v>
      </c>
      <c r="BJ50" s="230">
        <f t="shared" si="74"/>
        <v>1.2999999999999999E-3</v>
      </c>
      <c r="BK50" s="156"/>
    </row>
    <row r="51" spans="1:63" x14ac:dyDescent="0.2">
      <c r="A51" s="208">
        <f t="shared" si="38"/>
        <v>26</v>
      </c>
      <c r="B51" s="209">
        <f t="shared" si="39"/>
        <v>45</v>
      </c>
      <c r="C51" s="736" t="str">
        <f t="shared" si="40"/>
        <v/>
      </c>
      <c r="D51" s="565">
        <f t="shared" si="41"/>
        <v>-955</v>
      </c>
      <c r="E51" s="210">
        <f t="shared" si="42"/>
        <v>37</v>
      </c>
      <c r="F51" s="209">
        <f t="shared" si="43"/>
        <v>45</v>
      </c>
      <c r="G51" s="211" t="str">
        <f t="shared" si="44"/>
        <v/>
      </c>
      <c r="H51" s="209">
        <f t="shared" si="45"/>
        <v>-955</v>
      </c>
      <c r="I51" s="212" t="str">
        <f t="shared" si="46"/>
        <v/>
      </c>
      <c r="J51" s="213">
        <f t="shared" si="47"/>
        <v>-955</v>
      </c>
      <c r="K51" s="178">
        <f t="shared" si="48"/>
        <v>45</v>
      </c>
      <c r="L51" s="214" t="s">
        <v>160</v>
      </c>
      <c r="M51" s="215"/>
      <c r="N51" s="216" t="str">
        <f>IF(M51="","m","")</f>
        <v>m</v>
      </c>
      <c r="O51" s="217"/>
      <c r="P51" s="218"/>
      <c r="Q51" s="219" t="s">
        <v>124</v>
      </c>
      <c r="R51" s="220">
        <f t="array" ref="R51">(IF(COUNT(Z51,AA51,AB51,AC51,AD51,AE51,AF51,AG51,AH51,AI51,AJ51,AK51,AL51,AM51,AN51)&lt;11,SUM(Z51,AA51,AB51,AC51,AD51,AE51,AF51,AG51,AH51,AI51,AJ51,AK51,AL51,AM51,AN51),SUM(LARGE((Z51,AA51,AB51,AC51,AD51,AE51,AF51,AG51,AH51,AI51,AJ51,AK51,AL51,AM51,AN51),{1;2;3;4;5;6;7;8;9;10}))))</f>
        <v>25</v>
      </c>
      <c r="S51" s="221" t="str">
        <f>INDEX(ETAPP!B$1:B$32,MATCH(COUNTIF(Z51:AN51,PVO!A$1),ETAPP!A$1:A$32,0))&amp;INDEX(ETAPP!B$1:B$32,MATCH(COUNTIF(Z51:AN51,PVO!A$2),ETAPP!A$1:A$32,0))&amp;INDEX(ETAPP!B$1:B$32,MATCH(COUNTIF(Z51:AN51,PVO!A$3),ETAPP!A$1:A$32,0))&amp;INDEX(ETAPP!B$1:B$32,MATCH(COUNTIF(Z51:AN51,PVO!A$4),ETAPP!A$1:A$32,0))&amp;INDEX(ETAPP!B$1:B$32,MATCH(COUNTIF(Z51:AN51,PVO!A$5),ETAPP!A$1:A$32,0))&amp;INDEX(ETAPP!B$1:B$32,MATCH(COUNTIF(Z51:AN51,PVO!A$6),ETAPP!A$1:A$32,0))&amp;INDEX(ETAPP!B$1:B$32,MATCH(COUNTIF(Z51:AN51,PVO!A$7),ETAPP!A$1:A$32,0))&amp;INDEX(ETAPP!B$1:B$32,MATCH(COUNTIF(Z51:AN51,PVO!A$8),ETAPP!A$1:A$32,0))&amp;INDEX(ETAPP!B$1:B$32,MATCH(COUNTIF(Z51:AN51,PVO!A$9),ETAPP!A$1:A$32,0))&amp;INDEX(ETAPP!B$1:B$32,MATCH(COUNTIF(Z51:AN51,PVO!A$10),ETAPP!A$1:A$32,0))&amp;INDEX(ETAPP!B$1:B$32,MATCH(COUNTIF(Z51:AN51,PVO!A$11),ETAPP!A$1:A$32,0))&amp;INDEX(ETAPP!B$1:B$32,MATCH(COUNTIF(Z51:AN51,PVO!A$12),ETAPP!A$1:A$32,0))&amp;INDEX(ETAPP!B$1:B$32,MATCH(COUNTIF(Z51:AN51,PVO!A$13),ETAPP!A$1:A$32,0))&amp;INDEX(ETAPP!B$1:B$32,MATCH(COUNTIF(Z51:AN51,PVO!A$14),ETAPP!A$1:A$32,0))&amp;INDEX(ETAPP!B$1:B$32,MATCH(COUNTIF(Z51:AN51,PVO!A$15),ETAPP!A$1:A$32,0))&amp;INDEX(ETAPP!B$1:B$32,MATCH(COUNTIF(Z51:AN51,PVO!A$16),ETAPP!A$1:A$32,0))&amp;INDEX(ETAPP!B$1:B$32,MATCH(COUNTIF(Z51:AN51,PVO!A$17),ETAPP!A$1:A$32,0))&amp;INDEX(ETAPP!B$1:B$32,MATCH(COUNTIF(Z51:AN51,PVO!A$18),ETAPP!A$1:A$32,0))&amp;INDEX(ETAPP!B$1:B$32,MATCH(COUNTIF(Z51:AN51,PVO!A$19),ETAPP!A$1:A$32,0))&amp;INDEX(ETAPP!B$1:B$32,MATCH(COUNTIF(Z51:AN51,PVO!A$20),ETAPP!A$1:A$32,0))&amp;INDEX(ETAPP!B$1:B$32,MATCH(COUNTIF(Z51:AN51,PVO!A$21),ETAPP!A$1:A$32,0))</f>
        <v>00000000A0000AA000000</v>
      </c>
      <c r="T51" s="221" t="str">
        <f t="shared" si="49"/>
        <v>025,0-00000000A0000AA000000</v>
      </c>
      <c r="U51" s="221">
        <f t="shared" si="50"/>
        <v>45</v>
      </c>
      <c r="V51" s="221">
        <f t="shared" si="51"/>
        <v>7</v>
      </c>
      <c r="W51" s="221" t="str">
        <f t="shared" si="52"/>
        <v>025,0-00000000A0000AA000000-007</v>
      </c>
      <c r="X51" s="221">
        <f t="shared" si="53"/>
        <v>45</v>
      </c>
      <c r="Y51" s="222">
        <f t="shared" si="54"/>
        <v>23</v>
      </c>
      <c r="Z51" s="223" t="str">
        <f>IFERROR(INDEX('V1'!C$300:C$400,MATCH("*"&amp;L51&amp;"*",'V1'!B$300:B$400,0)),"  ")</f>
        <v xml:space="preserve">  </v>
      </c>
      <c r="AA51" s="223">
        <f>IFERROR(INDEX('V2'!C$300:C$400,MATCH("*"&amp;L51&amp;"*",'V2'!B$300:B$400,0)),"  ")</f>
        <v>7</v>
      </c>
      <c r="AB51" s="223" t="str">
        <f>IFERROR(INDEX('V3'!C$300:C$400,MATCH("*"&amp;L51&amp;"*",'V3'!B$300:B$400,0)),"  ")</f>
        <v xml:space="preserve">  </v>
      </c>
      <c r="AC51" s="223">
        <f>IFERROR(INDEX('V4'!C$300:C$400,MATCH("*"&amp;L51&amp;"*",'V4'!B$300:B$400,0)),"  ")</f>
        <v>6</v>
      </c>
      <c r="AD51" s="223">
        <f>IFERROR(INDEX('V5'!C$300:C$400,MATCH("*"&amp;L51&amp;"*",'V5'!B$300:B$400,0)),"  ")</f>
        <v>12</v>
      </c>
      <c r="AE51" s="223" t="str">
        <f>IFERROR(INDEX('V6'!C$300:C$400,MATCH("*"&amp;L51&amp;"*",'V6'!B$300:B$400,0)),"  ")</f>
        <v xml:space="preserve">  </v>
      </c>
      <c r="AF51" s="223" t="str">
        <f>IFERROR(INDEX('V7'!C$300:C$400,MATCH("*"&amp;L51&amp;"*",'V7'!B$300:B$400,0)),"  ")</f>
        <v xml:space="preserve">  </v>
      </c>
      <c r="AG51" s="223" t="str">
        <f>IFERROR(INDEX('V8'!C$300:C$400,MATCH("*"&amp;L51&amp;"*",'V8'!B$300:B$400,0)),"  ")</f>
        <v xml:space="preserve">  </v>
      </c>
      <c r="AH51" s="223" t="str">
        <f>IFERROR(INDEX('V9'!C$300:C$400,MATCH("*"&amp;L51&amp;"*",'V9'!B$300:B$400,0)),"  ")</f>
        <v xml:space="preserve">  </v>
      </c>
      <c r="AI51" s="223" t="str">
        <f>IFERROR(INDEX('V10'!C$300:C$400,MATCH("*"&amp;L51&amp;"*",'V10'!B$300:B$400,0)),"  ")</f>
        <v xml:space="preserve">  </v>
      </c>
      <c r="AJ51" s="223" t="str">
        <f>IFERROR(INDEX('V11'!C$300:C$400,MATCH("*"&amp;L51&amp;"*",'V11'!B$300:B$400,0)),"  ")</f>
        <v xml:space="preserve">  </v>
      </c>
      <c r="AK51" s="223" t="str">
        <f>IFERROR(INDEX('V12'!C$300:C$400,MATCH("*"&amp;L51&amp;"*",'V12'!B$300:B$400,0)),"  ")</f>
        <v xml:space="preserve">  </v>
      </c>
      <c r="AL51" s="223" t="str">
        <f>IFERROR(INDEX('V13'!C$300:C$400,MATCH("*"&amp;L51&amp;"*",'V13'!B$300:B$400,0)),"  ")</f>
        <v xml:space="preserve">  </v>
      </c>
      <c r="AM51" s="223"/>
      <c r="AN51" s="223"/>
      <c r="AO51" s="224">
        <f t="shared" si="55"/>
        <v>45</v>
      </c>
      <c r="AP51" s="627">
        <f t="shared" si="56"/>
        <v>25</v>
      </c>
      <c r="AQ51" s="225" t="str">
        <f t="shared" si="57"/>
        <v>edasi 44</v>
      </c>
      <c r="AR51" s="226" t="str">
        <f>IFERROR(INDEX(#REF!,MATCH("*"&amp;L51&amp;"*",#REF!,0)),"  ")</f>
        <v xml:space="preserve">  </v>
      </c>
      <c r="AS51" s="227">
        <f t="shared" si="58"/>
        <v>3</v>
      </c>
      <c r="AT51" s="228">
        <f t="shared" si="59"/>
        <v>0</v>
      </c>
      <c r="AU51" s="228">
        <f t="shared" si="60"/>
        <v>0</v>
      </c>
      <c r="AV51" s="156"/>
      <c r="AW51" s="229">
        <f t="shared" si="61"/>
        <v>5.9999999999999995E-4</v>
      </c>
      <c r="AX51" s="230">
        <f t="shared" si="62"/>
        <v>1E-4</v>
      </c>
      <c r="AY51" s="230">
        <f t="shared" si="63"/>
        <v>7.0002000000000004</v>
      </c>
      <c r="AZ51" s="230">
        <f t="shared" si="64"/>
        <v>2.9999999999999997E-4</v>
      </c>
      <c r="BA51" s="230">
        <f t="shared" si="65"/>
        <v>6.0004</v>
      </c>
      <c r="BB51" s="230">
        <f t="shared" si="66"/>
        <v>12.000500000000001</v>
      </c>
      <c r="BC51" s="230">
        <f t="shared" si="67"/>
        <v>5.9999999999999995E-4</v>
      </c>
      <c r="BD51" s="230">
        <f t="shared" si="68"/>
        <v>6.9999999999999999E-4</v>
      </c>
      <c r="BE51" s="230">
        <f t="shared" si="69"/>
        <v>8.0000000000000004E-4</v>
      </c>
      <c r="BF51" s="230">
        <f t="shared" si="70"/>
        <v>8.9999999999999998E-4</v>
      </c>
      <c r="BG51" s="230">
        <f t="shared" si="71"/>
        <v>1E-3</v>
      </c>
      <c r="BH51" s="230">
        <f t="shared" si="72"/>
        <v>1.1000000000000001E-3</v>
      </c>
      <c r="BI51" s="230">
        <f t="shared" si="73"/>
        <v>1.1999999999999999E-3</v>
      </c>
      <c r="BJ51" s="230">
        <f t="shared" si="74"/>
        <v>1.2999999999999999E-3</v>
      </c>
      <c r="BK51" s="156"/>
    </row>
    <row r="52" spans="1:63" x14ac:dyDescent="0.2">
      <c r="A52" s="208" t="str">
        <f t="shared" si="38"/>
        <v/>
      </c>
      <c r="B52" s="209">
        <f t="shared" si="39"/>
        <v>-954</v>
      </c>
      <c r="C52" s="736">
        <f t="shared" si="40"/>
        <v>17</v>
      </c>
      <c r="D52" s="565">
        <f t="shared" si="41"/>
        <v>46</v>
      </c>
      <c r="E52" s="210">
        <f t="shared" si="42"/>
        <v>38</v>
      </c>
      <c r="F52" s="209">
        <f t="shared" si="43"/>
        <v>46</v>
      </c>
      <c r="G52" s="211" t="str">
        <f t="shared" si="44"/>
        <v/>
      </c>
      <c r="H52" s="209">
        <f t="shared" si="45"/>
        <v>-954</v>
      </c>
      <c r="I52" s="212">
        <f t="shared" si="46"/>
        <v>4</v>
      </c>
      <c r="J52" s="213">
        <f t="shared" si="47"/>
        <v>46</v>
      </c>
      <c r="K52" s="178">
        <f t="shared" si="48"/>
        <v>46</v>
      </c>
      <c r="L52" s="232" t="s">
        <v>628</v>
      </c>
      <c r="M52" s="215"/>
      <c r="N52" s="216" t="s">
        <v>128</v>
      </c>
      <c r="O52" s="250" t="s">
        <v>142</v>
      </c>
      <c r="P52" s="218" t="s">
        <v>478</v>
      </c>
      <c r="Q52" s="219"/>
      <c r="R52" s="220">
        <f t="array" ref="R52">(IF(COUNT(Z52,AA52,AB52,AC52,AD52,AE52,AF52,AG52,AH52,AI52,AJ52,AK52,AL52,AM52,AN52)&lt;11,SUM(Z52,AA52,AB52,AC52,AD52,AE52,AF52,AG52,AH52,AI52,AJ52,AK52,AL52,AM52,AN52),SUM(LARGE((Z52,AA52,AB52,AC52,AD52,AE52,AF52,AG52,AH52,AI52,AJ52,AK52,AL52,AM52,AN52),{1;2;3;4;5;6;7;8;9;10}))))</f>
        <v>20</v>
      </c>
      <c r="S52" s="221" t="str">
        <f>INDEX(ETAPP!B$1:B$32,MATCH(COUNTIF(Z52:AN52,PVO!A$1),ETAPP!A$1:A$32,0))&amp;INDEX(ETAPP!B$1:B$32,MATCH(COUNTIF(Z52:AN52,PVO!A$2),ETAPP!A$1:A$32,0))&amp;INDEX(ETAPP!B$1:B$32,MATCH(COUNTIF(Z52:AN52,PVO!A$3),ETAPP!A$1:A$32,0))&amp;INDEX(ETAPP!B$1:B$32,MATCH(COUNTIF(Z52:AN52,PVO!A$4),ETAPP!A$1:A$32,0))&amp;INDEX(ETAPP!B$1:B$32,MATCH(COUNTIF(Z52:AN52,PVO!A$5),ETAPP!A$1:A$32,0))&amp;INDEX(ETAPP!B$1:B$32,MATCH(COUNTIF(Z52:AN52,PVO!A$6),ETAPP!A$1:A$32,0))&amp;INDEX(ETAPP!B$1:B$32,MATCH(COUNTIF(Z52:AN52,PVO!A$7),ETAPP!A$1:A$32,0))&amp;INDEX(ETAPP!B$1:B$32,MATCH(COUNTIF(Z52:AN52,PVO!A$8),ETAPP!A$1:A$32,0))&amp;INDEX(ETAPP!B$1:B$32,MATCH(COUNTIF(Z52:AN52,PVO!A$9),ETAPP!A$1:A$32,0))&amp;INDEX(ETAPP!B$1:B$32,MATCH(COUNTIF(Z52:AN52,PVO!A$10),ETAPP!A$1:A$32,0))&amp;INDEX(ETAPP!B$1:B$32,MATCH(COUNTIF(Z52:AN52,PVO!A$11),ETAPP!A$1:A$32,0))&amp;INDEX(ETAPP!B$1:B$32,MATCH(COUNTIF(Z52:AN52,PVO!A$12),ETAPP!A$1:A$32,0))&amp;INDEX(ETAPP!B$1:B$32,MATCH(COUNTIF(Z52:AN52,PVO!A$13),ETAPP!A$1:A$32,0))&amp;INDEX(ETAPP!B$1:B$32,MATCH(COUNTIF(Z52:AN52,PVO!A$14),ETAPP!A$1:A$32,0))&amp;INDEX(ETAPP!B$1:B$32,MATCH(COUNTIF(Z52:AN52,PVO!A$15),ETAPP!A$1:A$32,0))&amp;INDEX(ETAPP!B$1:B$32,MATCH(COUNTIF(Z52:AN52,PVO!A$16),ETAPP!A$1:A$32,0))&amp;INDEX(ETAPP!B$1:B$32,MATCH(COUNTIF(Z52:AN52,PVO!A$17),ETAPP!A$1:A$32,0))&amp;INDEX(ETAPP!B$1:B$32,MATCH(COUNTIF(Z52:AN52,PVO!A$18),ETAPP!A$1:A$32,0))&amp;INDEX(ETAPP!B$1:B$32,MATCH(COUNTIF(Z52:AN52,PVO!A$19),ETAPP!A$1:A$32,0))&amp;INDEX(ETAPP!B$1:B$32,MATCH(COUNTIF(Z52:AN52,PVO!A$20),ETAPP!A$1:A$32,0))&amp;INDEX(ETAPP!B$1:B$32,MATCH(COUNTIF(Z52:AN52,PVO!A$21),ETAPP!A$1:A$32,0))</f>
        <v>A00000000000000000000</v>
      </c>
      <c r="T52" s="221" t="str">
        <f t="shared" si="49"/>
        <v>020,0-A00000000000000000000</v>
      </c>
      <c r="U52" s="221">
        <f t="shared" si="50"/>
        <v>46</v>
      </c>
      <c r="V52" s="221">
        <f t="shared" si="51"/>
        <v>24</v>
      </c>
      <c r="W52" s="221" t="str">
        <f t="shared" si="52"/>
        <v>020,0-A00000000000000000000-024</v>
      </c>
      <c r="X52" s="221">
        <f t="shared" si="53"/>
        <v>46</v>
      </c>
      <c r="Y52" s="222">
        <f t="shared" si="54"/>
        <v>22</v>
      </c>
      <c r="Z52" s="223" t="str">
        <f>IFERROR(INDEX('V1'!C$300:C$400,MATCH("*"&amp;L52&amp;"*",'V1'!B$300:B$400,0)),"  ")</f>
        <v xml:space="preserve">  </v>
      </c>
      <c r="AA52" s="223" t="str">
        <f>IFERROR(INDEX('V2'!C$300:C$400,MATCH("*"&amp;L52&amp;"*",'V2'!B$300:B$400,0)),"  ")</f>
        <v xml:space="preserve">  </v>
      </c>
      <c r="AB52" s="223" t="str">
        <f>IFERROR(INDEX('V3'!C$300:C$400,MATCH("*"&amp;L52&amp;"*",'V3'!B$300:B$400,0)),"  ")</f>
        <v xml:space="preserve">  </v>
      </c>
      <c r="AC52" s="223" t="str">
        <f>IFERROR(INDEX('V4'!C$300:C$400,MATCH("*"&amp;L52&amp;"*",'V4'!B$300:B$400,0)),"  ")</f>
        <v xml:space="preserve">  </v>
      </c>
      <c r="AD52" s="223" t="str">
        <f>IFERROR(INDEX('V5'!C$300:C$400,MATCH("*"&amp;L52&amp;"*",'V5'!B$300:B$400,0)),"  ")</f>
        <v xml:space="preserve">  </v>
      </c>
      <c r="AE52" s="223" t="str">
        <f>IFERROR(INDEX('V6'!C$300:C$400,MATCH("*"&amp;L52&amp;"*",'V6'!B$300:B$400,0)),"  ")</f>
        <v xml:space="preserve">  </v>
      </c>
      <c r="AF52" s="223" t="str">
        <f>IFERROR(INDEX('V7'!C$300:C$400,MATCH("*"&amp;L52&amp;"*",'V7'!B$300:B$400,0)),"  ")</f>
        <v xml:space="preserve">  </v>
      </c>
      <c r="AG52" s="223" t="str">
        <f>IFERROR(INDEX('V8'!C$300:C$400,MATCH("*"&amp;L52&amp;"*",'V8'!B$300:B$400,0)),"  ")</f>
        <v xml:space="preserve">  </v>
      </c>
      <c r="AH52" s="223" t="str">
        <f>IFERROR(INDEX('V9'!C$300:C$400,MATCH("*"&amp;L52&amp;"*",'V9'!B$300:B$400,0)),"  ")</f>
        <v xml:space="preserve">  </v>
      </c>
      <c r="AI52" s="223" t="str">
        <f>IFERROR(INDEX('V10'!C$300:C$400,MATCH("*"&amp;L52&amp;"*",'V10'!B$300:B$400,0)),"  ")</f>
        <v xml:space="preserve">  </v>
      </c>
      <c r="AJ52" s="223" t="str">
        <f>IFERROR(INDEX('V11'!C$300:C$400,MATCH("*"&amp;L52&amp;"*",'V11'!B$300:B$400,0)),"  ")</f>
        <v xml:space="preserve">  </v>
      </c>
      <c r="AK52" s="223">
        <f>IFERROR(INDEX('V12'!C$300:C$400,MATCH("*"&amp;L52&amp;"*",'V12'!B$300:B$400,0)),"  ")</f>
        <v>20</v>
      </c>
      <c r="AL52" s="223" t="str">
        <f>IFERROR(INDEX('V13'!C$300:C$400,MATCH("*"&amp;L52&amp;"*",'V13'!B$300:B$400,0)),"  ")</f>
        <v xml:space="preserve">  </v>
      </c>
      <c r="AM52" s="223"/>
      <c r="AN52" s="223"/>
      <c r="AO52" s="224" t="str">
        <f t="shared" si="55"/>
        <v/>
      </c>
      <c r="AP52" s="627">
        <f t="shared" si="56"/>
        <v>20</v>
      </c>
      <c r="AQ52" s="225">
        <f t="shared" si="57"/>
        <v>46</v>
      </c>
      <c r="AR52" s="226" t="str">
        <f>IFERROR(INDEX(#REF!,MATCH("*"&amp;L52&amp;"*",#REF!,0)),"  ")</f>
        <v xml:space="preserve">  </v>
      </c>
      <c r="AS52" s="227">
        <f t="shared" si="58"/>
        <v>1</v>
      </c>
      <c r="AT52" s="228">
        <f t="shared" si="59"/>
        <v>1</v>
      </c>
      <c r="AU52" s="228">
        <f t="shared" si="60"/>
        <v>1</v>
      </c>
      <c r="AV52" s="156"/>
      <c r="AW52" s="229">
        <f t="shared" si="61"/>
        <v>2.9999999999999997E-4</v>
      </c>
      <c r="AX52" s="230">
        <f t="shared" si="62"/>
        <v>1E-4</v>
      </c>
      <c r="AY52" s="230">
        <f t="shared" si="63"/>
        <v>2.0000000000000001E-4</v>
      </c>
      <c r="AZ52" s="230">
        <f t="shared" si="64"/>
        <v>2.9999999999999997E-4</v>
      </c>
      <c r="BA52" s="230">
        <f t="shared" si="65"/>
        <v>4.0000000000000002E-4</v>
      </c>
      <c r="BB52" s="230">
        <f t="shared" si="66"/>
        <v>5.0000000000000001E-4</v>
      </c>
      <c r="BC52" s="230">
        <f t="shared" si="67"/>
        <v>5.9999999999999995E-4</v>
      </c>
      <c r="BD52" s="230">
        <f t="shared" si="68"/>
        <v>6.9999999999999999E-4</v>
      </c>
      <c r="BE52" s="230">
        <f t="shared" si="69"/>
        <v>8.0000000000000004E-4</v>
      </c>
      <c r="BF52" s="230">
        <f t="shared" si="70"/>
        <v>8.9999999999999998E-4</v>
      </c>
      <c r="BG52" s="230">
        <f t="shared" si="71"/>
        <v>1E-3</v>
      </c>
      <c r="BH52" s="230">
        <f t="shared" si="72"/>
        <v>1.1000000000000001E-3</v>
      </c>
      <c r="BI52" s="230">
        <f t="shared" si="73"/>
        <v>20.001200000000001</v>
      </c>
      <c r="BJ52" s="230">
        <f t="shared" si="74"/>
        <v>1.2999999999999999E-3</v>
      </c>
      <c r="BK52" s="156"/>
    </row>
    <row r="53" spans="1:63" x14ac:dyDescent="0.2">
      <c r="A53" s="208" t="str">
        <f t="shared" si="38"/>
        <v/>
      </c>
      <c r="B53" s="209">
        <f t="shared" si="39"/>
        <v>-953</v>
      </c>
      <c r="C53" s="736" t="str">
        <f t="shared" si="40"/>
        <v/>
      </c>
      <c r="D53" s="565">
        <f t="shared" si="41"/>
        <v>-953</v>
      </c>
      <c r="E53" s="210">
        <f t="shared" si="42"/>
        <v>39</v>
      </c>
      <c r="F53" s="209">
        <f t="shared" si="43"/>
        <v>47</v>
      </c>
      <c r="G53" s="211" t="str">
        <f t="shared" si="44"/>
        <v/>
      </c>
      <c r="H53" s="209">
        <f t="shared" si="45"/>
        <v>-953</v>
      </c>
      <c r="I53" s="212" t="str">
        <f t="shared" si="46"/>
        <v/>
      </c>
      <c r="J53" s="213">
        <f t="shared" si="47"/>
        <v>-953</v>
      </c>
      <c r="K53" s="178">
        <f t="shared" si="48"/>
        <v>47</v>
      </c>
      <c r="L53" s="700" t="s">
        <v>165</v>
      </c>
      <c r="M53" s="522"/>
      <c r="N53" s="523" t="str">
        <f>IF(M53="","m","")</f>
        <v>m</v>
      </c>
      <c r="O53" s="524"/>
      <c r="P53" s="525"/>
      <c r="Q53" s="526"/>
      <c r="R53" s="220">
        <f t="array" ref="R53">(IF(COUNT(Z53,AA53,AB53,AC53,AD53,AE53,AF53,AG53,AH53,AI53,AJ53,AK53,AL53,AM53,AN53)&lt;11,SUM(Z53,AA53,AB53,AC53,AD53,AE53,AF53,AG53,AH53,AI53,AJ53,AK53,AL53,AM53,AN53),SUM(LARGE((Z53,AA53,AB53,AC53,AD53,AE53,AF53,AG53,AH53,AI53,AJ53,AK53,AL53,AM53,AN53),{1;2;3;4;5;6;7;8;9;10}))))</f>
        <v>18</v>
      </c>
      <c r="S53" s="221" t="str">
        <f>INDEX(ETAPP!B$1:B$32,MATCH(COUNTIF(Z53:AN53,PVO!A$1),ETAPP!A$1:A$32,0))&amp;INDEX(ETAPP!B$1:B$32,MATCH(COUNTIF(Z53:AN53,PVO!A$2),ETAPP!A$1:A$32,0))&amp;INDEX(ETAPP!B$1:B$32,MATCH(COUNTIF(Z53:AN53,PVO!A$3),ETAPP!A$1:A$32,0))&amp;INDEX(ETAPP!B$1:B$32,MATCH(COUNTIF(Z53:AN53,PVO!A$4),ETAPP!A$1:A$32,0))&amp;INDEX(ETAPP!B$1:B$32,MATCH(COUNTIF(Z53:AN53,PVO!A$5),ETAPP!A$1:A$32,0))&amp;INDEX(ETAPP!B$1:B$32,MATCH(COUNTIF(Z53:AN53,PVO!A$6),ETAPP!A$1:A$32,0))&amp;INDEX(ETAPP!B$1:B$32,MATCH(COUNTIF(Z53:AN53,PVO!A$7),ETAPP!A$1:A$32,0))&amp;INDEX(ETAPP!B$1:B$32,MATCH(COUNTIF(Z53:AN53,PVO!A$8),ETAPP!A$1:A$32,0))&amp;INDEX(ETAPP!B$1:B$32,MATCH(COUNTIF(Z53:AN53,PVO!A$9),ETAPP!A$1:A$32,0))&amp;INDEX(ETAPP!B$1:B$32,MATCH(COUNTIF(Z53:AN53,PVO!A$10),ETAPP!A$1:A$32,0))&amp;INDEX(ETAPP!B$1:B$32,MATCH(COUNTIF(Z53:AN53,PVO!A$11),ETAPP!A$1:A$32,0))&amp;INDEX(ETAPP!B$1:B$32,MATCH(COUNTIF(Z53:AN53,PVO!A$12),ETAPP!A$1:A$32,0))&amp;INDEX(ETAPP!B$1:B$32,MATCH(COUNTIF(Z53:AN53,PVO!A$13),ETAPP!A$1:A$32,0))&amp;INDEX(ETAPP!B$1:B$32,MATCH(COUNTIF(Z53:AN53,PVO!A$14),ETAPP!A$1:A$32,0))&amp;INDEX(ETAPP!B$1:B$32,MATCH(COUNTIF(Z53:AN53,PVO!A$15),ETAPP!A$1:A$32,0))&amp;INDEX(ETAPP!B$1:B$32,MATCH(COUNTIF(Z53:AN53,PVO!A$16),ETAPP!A$1:A$32,0))&amp;INDEX(ETAPP!B$1:B$32,MATCH(COUNTIF(Z53:AN53,PVO!A$17),ETAPP!A$1:A$32,0))&amp;INDEX(ETAPP!B$1:B$32,MATCH(COUNTIF(Z53:AN53,PVO!A$18),ETAPP!A$1:A$32,0))&amp;INDEX(ETAPP!B$1:B$32,MATCH(COUNTIF(Z53:AN53,PVO!A$19),ETAPP!A$1:A$32,0))&amp;INDEX(ETAPP!B$1:B$32,MATCH(COUNTIF(Z53:AN53,PVO!A$20),ETAPP!A$1:A$32,0))&amp;INDEX(ETAPP!B$1:B$32,MATCH(COUNTIF(Z53:AN53,PVO!A$21),ETAPP!A$1:A$32,0))</f>
        <v>00000000A00000A000000</v>
      </c>
      <c r="T53" s="221" t="str">
        <f t="shared" si="49"/>
        <v>018,0-00000000A00000A000000</v>
      </c>
      <c r="U53" s="221">
        <f t="shared" si="50"/>
        <v>47</v>
      </c>
      <c r="V53" s="221">
        <f t="shared" si="51"/>
        <v>32</v>
      </c>
      <c r="W53" s="221" t="str">
        <f t="shared" si="52"/>
        <v>018,0-00000000A00000A000000-032</v>
      </c>
      <c r="X53" s="221">
        <f t="shared" si="53"/>
        <v>47</v>
      </c>
      <c r="Y53" s="222">
        <f t="shared" si="54"/>
        <v>21</v>
      </c>
      <c r="Z53" s="223" t="str">
        <f>IFERROR(INDEX('V1'!C$300:C$400,MATCH("*"&amp;L53&amp;"*",'V1'!B$300:B$400,0)),"  ")</f>
        <v xml:space="preserve">  </v>
      </c>
      <c r="AA53" s="223" t="str">
        <f>IFERROR(INDEX('V2'!C$300:C$400,MATCH("*"&amp;L53&amp;"*",'V2'!B$300:B$400,0)),"  ")</f>
        <v xml:space="preserve">  </v>
      </c>
      <c r="AB53" s="223" t="str">
        <f>IFERROR(INDEX('V3'!C$300:C$400,MATCH("*"&amp;L53&amp;"*",'V3'!B$300:B$400,0)),"  ")</f>
        <v xml:space="preserve">  </v>
      </c>
      <c r="AC53" s="223">
        <f>IFERROR(INDEX('V4'!C$300:C$400,MATCH("*"&amp;L53&amp;"*",'V4'!B$300:B$400,0)),"  ")</f>
        <v>6</v>
      </c>
      <c r="AD53" s="223">
        <f>IFERROR(INDEX('V5'!C$300:C$400,MATCH("*"&amp;L53&amp;"*",'V5'!B$300:B$400,0)),"  ")</f>
        <v>12</v>
      </c>
      <c r="AE53" s="223" t="str">
        <f>IFERROR(INDEX('V6'!C$300:C$400,MATCH("*"&amp;L53&amp;"*",'V6'!B$300:B$400,0)),"  ")</f>
        <v xml:space="preserve">  </v>
      </c>
      <c r="AF53" s="223" t="str">
        <f>IFERROR(INDEX('V7'!C$300:C$400,MATCH("*"&amp;L53&amp;"*",'V7'!B$300:B$400,0)),"  ")</f>
        <v xml:space="preserve">  </v>
      </c>
      <c r="AG53" s="223" t="str">
        <f>IFERROR(INDEX('V8'!C$300:C$400,MATCH("*"&amp;L53&amp;"*",'V8'!B$300:B$400,0)),"  ")</f>
        <v xml:space="preserve">  </v>
      </c>
      <c r="AH53" s="223" t="str">
        <f>IFERROR(INDEX('V9'!C$300:C$400,MATCH("*"&amp;L53&amp;"*",'V9'!B$300:B$400,0)),"  ")</f>
        <v xml:space="preserve">  </v>
      </c>
      <c r="AI53" s="223" t="str">
        <f>IFERROR(INDEX('V10'!C$300:C$400,MATCH("*"&amp;L53&amp;"*",'V10'!B$300:B$400,0)),"  ")</f>
        <v xml:space="preserve">  </v>
      </c>
      <c r="AJ53" s="223" t="str">
        <f>IFERROR(INDEX('V11'!C$300:C$400,MATCH("*"&amp;L53&amp;"*",'V11'!B$300:B$400,0)),"  ")</f>
        <v xml:space="preserve">  </v>
      </c>
      <c r="AK53" s="223" t="str">
        <f>IFERROR(INDEX('V12'!C$300:C$400,MATCH("*"&amp;L53&amp;"*",'V12'!B$300:B$400,0)),"  ")</f>
        <v xml:space="preserve">  </v>
      </c>
      <c r="AL53" s="223" t="str">
        <f>IFERROR(INDEX('V13'!C$300:C$400,MATCH("*"&amp;L53&amp;"*",'V13'!B$300:B$400,0)),"  ")</f>
        <v xml:space="preserve">  </v>
      </c>
      <c r="AM53" s="223"/>
      <c r="AN53" s="223"/>
      <c r="AO53" s="224" t="str">
        <f t="shared" si="55"/>
        <v/>
      </c>
      <c r="AP53" s="627">
        <f t="shared" si="56"/>
        <v>18</v>
      </c>
      <c r="AQ53" s="225">
        <f t="shared" si="57"/>
        <v>47</v>
      </c>
      <c r="AR53" s="226" t="str">
        <f>IFERROR(INDEX(#REF!,MATCH("*"&amp;L53&amp;"*",#REF!,0)),"  ")</f>
        <v xml:space="preserve">  </v>
      </c>
      <c r="AS53" s="227">
        <f t="shared" si="58"/>
        <v>2</v>
      </c>
      <c r="AT53" s="228">
        <f t="shared" si="59"/>
        <v>0</v>
      </c>
      <c r="AU53" s="228">
        <f t="shared" si="60"/>
        <v>0</v>
      </c>
      <c r="AV53" s="156"/>
      <c r="AW53" s="229">
        <f t="shared" si="61"/>
        <v>2.9999999999999997E-4</v>
      </c>
      <c r="AX53" s="230">
        <f t="shared" si="62"/>
        <v>1E-4</v>
      </c>
      <c r="AY53" s="230">
        <f t="shared" si="63"/>
        <v>2.0000000000000001E-4</v>
      </c>
      <c r="AZ53" s="230">
        <f t="shared" si="64"/>
        <v>2.9999999999999997E-4</v>
      </c>
      <c r="BA53" s="230">
        <f t="shared" si="65"/>
        <v>6.0004</v>
      </c>
      <c r="BB53" s="230">
        <f t="shared" si="66"/>
        <v>12.000500000000001</v>
      </c>
      <c r="BC53" s="230">
        <f t="shared" si="67"/>
        <v>5.9999999999999995E-4</v>
      </c>
      <c r="BD53" s="230">
        <f t="shared" si="68"/>
        <v>6.9999999999999999E-4</v>
      </c>
      <c r="BE53" s="230">
        <f t="shared" si="69"/>
        <v>8.0000000000000004E-4</v>
      </c>
      <c r="BF53" s="230">
        <f t="shared" si="70"/>
        <v>8.9999999999999998E-4</v>
      </c>
      <c r="BG53" s="230">
        <f t="shared" si="71"/>
        <v>1E-3</v>
      </c>
      <c r="BH53" s="230">
        <f t="shared" si="72"/>
        <v>1.1000000000000001E-3</v>
      </c>
      <c r="BI53" s="230">
        <f t="shared" si="73"/>
        <v>1.1999999999999999E-3</v>
      </c>
      <c r="BJ53" s="230">
        <f t="shared" si="74"/>
        <v>1.2999999999999999E-3</v>
      </c>
      <c r="BK53" s="156"/>
    </row>
    <row r="54" spans="1:63" x14ac:dyDescent="0.2">
      <c r="A54" s="208" t="str">
        <f t="shared" si="38"/>
        <v/>
      </c>
      <c r="B54" s="209">
        <f t="shared" si="39"/>
        <v>-951</v>
      </c>
      <c r="C54" s="736" t="str">
        <f t="shared" si="40"/>
        <v/>
      </c>
      <c r="D54" s="565">
        <f t="shared" si="41"/>
        <v>-951</v>
      </c>
      <c r="E54" s="210">
        <f t="shared" si="42"/>
        <v>40</v>
      </c>
      <c r="F54" s="209">
        <f t="shared" si="43"/>
        <v>49</v>
      </c>
      <c r="G54" s="211" t="str">
        <f t="shared" si="44"/>
        <v/>
      </c>
      <c r="H54" s="209">
        <f t="shared" si="45"/>
        <v>-951</v>
      </c>
      <c r="I54" s="212" t="str">
        <f t="shared" si="46"/>
        <v/>
      </c>
      <c r="J54" s="213">
        <f t="shared" si="47"/>
        <v>-951</v>
      </c>
      <c r="K54" s="178">
        <f t="shared" si="48"/>
        <v>48</v>
      </c>
      <c r="L54" s="214" t="s">
        <v>164</v>
      </c>
      <c r="M54" s="215"/>
      <c r="N54" s="216" t="str">
        <f>IF(M54="","m","")</f>
        <v>m</v>
      </c>
      <c r="O54" s="217"/>
      <c r="P54" s="218"/>
      <c r="Q54" s="219"/>
      <c r="R54" s="220">
        <f t="array" ref="R54">(IF(COUNT(Z54,AA54,AB54,AC54,AD54,AE54,AF54,AG54,AH54,AI54,AJ54,AK54,AL54,AM54,AN54)&lt;11,SUM(Z54,AA54,AB54,AC54,AD54,AE54,AF54,AG54,AH54,AI54,AJ54,AK54,AL54,AM54,AN54),SUM(LARGE((Z54,AA54,AB54,AC54,AD54,AE54,AF54,AG54,AH54,AI54,AJ54,AK54,AL54,AM54,AN54),{1;2;3;4;5;6;7;8;9;10}))))</f>
        <v>17</v>
      </c>
      <c r="S54" s="221" t="str">
        <f>INDEX(ETAPP!B$1:B$32,MATCH(COUNTIF(Z54:AN54,PVO!A$1),ETAPP!A$1:A$32,0))&amp;INDEX(ETAPP!B$1:B$32,MATCH(COUNTIF(Z54:AN54,PVO!A$2),ETAPP!A$1:A$32,0))&amp;INDEX(ETAPP!B$1:B$32,MATCH(COUNTIF(Z54:AN54,PVO!A$3),ETAPP!A$1:A$32,0))&amp;INDEX(ETAPP!B$1:B$32,MATCH(COUNTIF(Z54:AN54,PVO!A$4),ETAPP!A$1:A$32,0))&amp;INDEX(ETAPP!B$1:B$32,MATCH(COUNTIF(Z54:AN54,PVO!A$5),ETAPP!A$1:A$32,0))&amp;INDEX(ETAPP!B$1:B$32,MATCH(COUNTIF(Z54:AN54,PVO!A$6),ETAPP!A$1:A$32,0))&amp;INDEX(ETAPP!B$1:B$32,MATCH(COUNTIF(Z54:AN54,PVO!A$7),ETAPP!A$1:A$32,0))&amp;INDEX(ETAPP!B$1:B$32,MATCH(COUNTIF(Z54:AN54,PVO!A$8),ETAPP!A$1:A$32,0))&amp;INDEX(ETAPP!B$1:B$32,MATCH(COUNTIF(Z54:AN54,PVO!A$9),ETAPP!A$1:A$32,0))&amp;INDEX(ETAPP!B$1:B$32,MATCH(COUNTIF(Z54:AN54,PVO!A$10),ETAPP!A$1:A$32,0))&amp;INDEX(ETAPP!B$1:B$32,MATCH(COUNTIF(Z54:AN54,PVO!A$11),ETAPP!A$1:A$32,0))&amp;INDEX(ETAPP!B$1:B$32,MATCH(COUNTIF(Z54:AN54,PVO!A$12),ETAPP!A$1:A$32,0))&amp;INDEX(ETAPP!B$1:B$32,MATCH(COUNTIF(Z54:AN54,PVO!A$13),ETAPP!A$1:A$32,0))&amp;INDEX(ETAPP!B$1:B$32,MATCH(COUNTIF(Z54:AN54,PVO!A$14),ETAPP!A$1:A$32,0))&amp;INDEX(ETAPP!B$1:B$32,MATCH(COUNTIF(Z54:AN54,PVO!A$15),ETAPP!A$1:A$32,0))&amp;INDEX(ETAPP!B$1:B$32,MATCH(COUNTIF(Z54:AN54,PVO!A$16),ETAPP!A$1:A$32,0))&amp;INDEX(ETAPP!B$1:B$32,MATCH(COUNTIF(Z54:AN54,PVO!A$17),ETAPP!A$1:A$32,0))&amp;INDEX(ETAPP!B$1:B$32,MATCH(COUNTIF(Z54:AN54,PVO!A$18),ETAPP!A$1:A$32,0))&amp;INDEX(ETAPP!B$1:B$32,MATCH(COUNTIF(Z54:AN54,PVO!A$19),ETAPP!A$1:A$32,0))&amp;INDEX(ETAPP!B$1:B$32,MATCH(COUNTIF(Z54:AN54,PVO!A$20),ETAPP!A$1:A$32,0))&amp;INDEX(ETAPP!B$1:B$32,MATCH(COUNTIF(Z54:AN54,PVO!A$21),ETAPP!A$1:A$32,0))</f>
        <v>000A00000000000000000</v>
      </c>
      <c r="T54" s="221" t="str">
        <f t="shared" si="49"/>
        <v>017,0-000A00000000000000000</v>
      </c>
      <c r="U54" s="221">
        <f t="shared" si="50"/>
        <v>49</v>
      </c>
      <c r="V54" s="221">
        <f t="shared" si="51"/>
        <v>63</v>
      </c>
      <c r="W54" s="221" t="str">
        <f t="shared" si="52"/>
        <v>017,0-000A00000000000000000-063</v>
      </c>
      <c r="X54" s="221">
        <f t="shared" si="53"/>
        <v>48</v>
      </c>
      <c r="Y54" s="222">
        <f t="shared" si="54"/>
        <v>20</v>
      </c>
      <c r="Z54" s="223" t="str">
        <f>IFERROR(INDEX('V1'!C$300:C$400,MATCH("*"&amp;L54&amp;"*",'V1'!B$300:B$400,0)),"  ")</f>
        <v xml:space="preserve">  </v>
      </c>
      <c r="AA54" s="223" t="str">
        <f>IFERROR(INDEX('V2'!C$300:C$400,MATCH("*"&amp;L54&amp;"*",'V2'!B$300:B$400,0)),"  ")</f>
        <v xml:space="preserve">  </v>
      </c>
      <c r="AB54" s="223" t="str">
        <f>IFERROR(INDEX('V3'!C$300:C$400,MATCH("*"&amp;L54&amp;"*",'V3'!B$300:B$400,0)),"  ")</f>
        <v xml:space="preserve">  </v>
      </c>
      <c r="AC54" s="223" t="str">
        <f>IFERROR(INDEX('V4'!C$300:C$400,MATCH("*"&amp;L54&amp;"*",'V4'!B$300:B$400,0)),"  ")</f>
        <v xml:space="preserve">  </v>
      </c>
      <c r="AD54" s="223" t="str">
        <f>IFERROR(INDEX('V5'!C$300:C$400,MATCH("*"&amp;L54&amp;"*",'V5'!B$300:B$400,0)),"  ")</f>
        <v xml:space="preserve">  </v>
      </c>
      <c r="AE54" s="223">
        <f>IFERROR(INDEX('V6'!C$300:C$400,MATCH("*"&amp;L54&amp;"*",'V6'!B$300:B$400,0)),"  ")</f>
        <v>17</v>
      </c>
      <c r="AF54" s="223" t="str">
        <f>IFERROR(INDEX('V7'!C$300:C$400,MATCH("*"&amp;L54&amp;"*",'V7'!B$300:B$400,0)),"  ")</f>
        <v xml:space="preserve">  </v>
      </c>
      <c r="AG54" s="223" t="str">
        <f>IFERROR(INDEX('V8'!C$300:C$400,MATCH("*"&amp;L54&amp;"*",'V8'!B$300:B$400,0)),"  ")</f>
        <v xml:space="preserve">  </v>
      </c>
      <c r="AH54" s="223" t="str">
        <f>IFERROR(INDEX('V9'!C$300:C$400,MATCH("*"&amp;L54&amp;"*",'V9'!B$300:B$400,0)),"  ")</f>
        <v xml:space="preserve">  </v>
      </c>
      <c r="AI54" s="223" t="str">
        <f>IFERROR(INDEX('V10'!C$300:C$400,MATCH("*"&amp;L54&amp;"*",'V10'!B$300:B$400,0)),"  ")</f>
        <v xml:space="preserve">  </v>
      </c>
      <c r="AJ54" s="223" t="str">
        <f>IFERROR(INDEX('V11'!C$300:C$400,MATCH("*"&amp;L54&amp;"*",'V11'!B$300:B$400,0)),"  ")</f>
        <v xml:space="preserve">  </v>
      </c>
      <c r="AK54" s="223" t="str">
        <f>IFERROR(INDEX('V12'!C$300:C$400,MATCH("*"&amp;L54&amp;"*",'V12'!B$300:B$400,0)),"  ")</f>
        <v xml:space="preserve">  </v>
      </c>
      <c r="AL54" s="223" t="str">
        <f>IFERROR(INDEX('V13'!C$300:C$400,MATCH("*"&amp;L54&amp;"*",'V13'!B$300:B$400,0)),"  ")</f>
        <v xml:space="preserve">  </v>
      </c>
      <c r="AM54" s="223"/>
      <c r="AN54" s="223"/>
      <c r="AO54" s="224" t="str">
        <f t="shared" si="55"/>
        <v/>
      </c>
      <c r="AP54" s="627">
        <f t="shared" si="56"/>
        <v>17</v>
      </c>
      <c r="AQ54" s="225">
        <f t="shared" si="57"/>
        <v>48</v>
      </c>
      <c r="AR54" s="226" t="str">
        <f>IFERROR(INDEX(#REF!,MATCH("*"&amp;L54&amp;"*",#REF!,0)),"  ")</f>
        <v xml:space="preserve">  </v>
      </c>
      <c r="AS54" s="227">
        <f t="shared" si="58"/>
        <v>1</v>
      </c>
      <c r="AT54" s="228">
        <f t="shared" si="59"/>
        <v>0</v>
      </c>
      <c r="AU54" s="228">
        <f t="shared" si="60"/>
        <v>0</v>
      </c>
      <c r="AV54" s="156"/>
      <c r="AW54" s="229">
        <f t="shared" si="61"/>
        <v>2.9999999999999997E-4</v>
      </c>
      <c r="AX54" s="230">
        <f t="shared" si="62"/>
        <v>1E-4</v>
      </c>
      <c r="AY54" s="230">
        <f t="shared" si="63"/>
        <v>2.0000000000000001E-4</v>
      </c>
      <c r="AZ54" s="230">
        <f t="shared" si="64"/>
        <v>2.9999999999999997E-4</v>
      </c>
      <c r="BA54" s="230">
        <f t="shared" si="65"/>
        <v>4.0000000000000002E-4</v>
      </c>
      <c r="BB54" s="230">
        <f t="shared" si="66"/>
        <v>5.0000000000000001E-4</v>
      </c>
      <c r="BC54" s="230">
        <f t="shared" si="67"/>
        <v>17.000599999999999</v>
      </c>
      <c r="BD54" s="230">
        <f t="shared" si="68"/>
        <v>6.9999999999999999E-4</v>
      </c>
      <c r="BE54" s="230">
        <f t="shared" si="69"/>
        <v>8.0000000000000004E-4</v>
      </c>
      <c r="BF54" s="230">
        <f t="shared" si="70"/>
        <v>8.9999999999999998E-4</v>
      </c>
      <c r="BG54" s="230">
        <f t="shared" si="71"/>
        <v>1E-3</v>
      </c>
      <c r="BH54" s="230">
        <f t="shared" si="72"/>
        <v>1.1000000000000001E-3</v>
      </c>
      <c r="BI54" s="230">
        <f t="shared" si="73"/>
        <v>1.1999999999999999E-3</v>
      </c>
      <c r="BJ54" s="230">
        <f t="shared" si="74"/>
        <v>1.2999999999999999E-3</v>
      </c>
      <c r="BK54" s="156"/>
    </row>
    <row r="55" spans="1:63" x14ac:dyDescent="0.2">
      <c r="A55" s="208" t="str">
        <f t="shared" si="38"/>
        <v/>
      </c>
      <c r="B55" s="209">
        <f t="shared" si="39"/>
        <v>-951</v>
      </c>
      <c r="C55" s="736" t="str">
        <f t="shared" si="40"/>
        <v/>
      </c>
      <c r="D55" s="565">
        <f t="shared" si="41"/>
        <v>-951</v>
      </c>
      <c r="E55" s="210">
        <f t="shared" si="42"/>
        <v>40</v>
      </c>
      <c r="F55" s="209">
        <f t="shared" si="43"/>
        <v>49</v>
      </c>
      <c r="G55" s="211" t="str">
        <f t="shared" si="44"/>
        <v/>
      </c>
      <c r="H55" s="209">
        <f t="shared" si="45"/>
        <v>-951</v>
      </c>
      <c r="I55" s="212" t="str">
        <f t="shared" si="46"/>
        <v/>
      </c>
      <c r="J55" s="213">
        <f t="shared" si="47"/>
        <v>-951</v>
      </c>
      <c r="K55" s="178">
        <f t="shared" si="48"/>
        <v>48</v>
      </c>
      <c r="L55" s="232" t="s">
        <v>84</v>
      </c>
      <c r="M55" s="215"/>
      <c r="N55" s="216" t="s">
        <v>128</v>
      </c>
      <c r="O55" s="217"/>
      <c r="P55" s="218"/>
      <c r="Q55" s="219"/>
      <c r="R55" s="220">
        <f t="array" ref="R55">(IF(COUNT(Z55,AA55,AB55,AC55,AD55,AE55,AF55,AG55,AH55,AI55,AJ55,AK55,AL55,AM55,AN55)&lt;11,SUM(Z55,AA55,AB55,AC55,AD55,AE55,AF55,AG55,AH55,AI55,AJ55,AK55,AL55,AM55,AN55),SUM(LARGE((Z55,AA55,AB55,AC55,AD55,AE55,AF55,AG55,AH55,AI55,AJ55,AK55,AL55,AM55,AN55),{1;2;3;4;5;6;7;8;9;10}))))</f>
        <v>17</v>
      </c>
      <c r="S55" s="221" t="str">
        <f>INDEX(ETAPP!B$1:B$32,MATCH(COUNTIF(Z55:AN55,PVO!A$1),ETAPP!A$1:A$32,0))&amp;INDEX(ETAPP!B$1:B$32,MATCH(COUNTIF(Z55:AN55,PVO!A$2),ETAPP!A$1:A$32,0))&amp;INDEX(ETAPP!B$1:B$32,MATCH(COUNTIF(Z55:AN55,PVO!A$3),ETAPP!A$1:A$32,0))&amp;INDEX(ETAPP!B$1:B$32,MATCH(COUNTIF(Z55:AN55,PVO!A$4),ETAPP!A$1:A$32,0))&amp;INDEX(ETAPP!B$1:B$32,MATCH(COUNTIF(Z55:AN55,PVO!A$5),ETAPP!A$1:A$32,0))&amp;INDEX(ETAPP!B$1:B$32,MATCH(COUNTIF(Z55:AN55,PVO!A$6),ETAPP!A$1:A$32,0))&amp;INDEX(ETAPP!B$1:B$32,MATCH(COUNTIF(Z55:AN55,PVO!A$7),ETAPP!A$1:A$32,0))&amp;INDEX(ETAPP!B$1:B$32,MATCH(COUNTIF(Z55:AN55,PVO!A$8),ETAPP!A$1:A$32,0))&amp;INDEX(ETAPP!B$1:B$32,MATCH(COUNTIF(Z55:AN55,PVO!A$9),ETAPP!A$1:A$32,0))&amp;INDEX(ETAPP!B$1:B$32,MATCH(COUNTIF(Z55:AN55,PVO!A$10),ETAPP!A$1:A$32,0))&amp;INDEX(ETAPP!B$1:B$32,MATCH(COUNTIF(Z55:AN55,PVO!A$11),ETAPP!A$1:A$32,0))&amp;INDEX(ETAPP!B$1:B$32,MATCH(COUNTIF(Z55:AN55,PVO!A$12),ETAPP!A$1:A$32,0))&amp;INDEX(ETAPP!B$1:B$32,MATCH(COUNTIF(Z55:AN55,PVO!A$13),ETAPP!A$1:A$32,0))&amp;INDEX(ETAPP!B$1:B$32,MATCH(COUNTIF(Z55:AN55,PVO!A$14),ETAPP!A$1:A$32,0))&amp;INDEX(ETAPP!B$1:B$32,MATCH(COUNTIF(Z55:AN55,PVO!A$15),ETAPP!A$1:A$32,0))&amp;INDEX(ETAPP!B$1:B$32,MATCH(COUNTIF(Z55:AN55,PVO!A$16),ETAPP!A$1:A$32,0))&amp;INDEX(ETAPP!B$1:B$32,MATCH(COUNTIF(Z55:AN55,PVO!A$17),ETAPP!A$1:A$32,0))&amp;INDEX(ETAPP!B$1:B$32,MATCH(COUNTIF(Z55:AN55,PVO!A$18),ETAPP!A$1:A$32,0))&amp;INDEX(ETAPP!B$1:B$32,MATCH(COUNTIF(Z55:AN55,PVO!A$19),ETAPP!A$1:A$32,0))&amp;INDEX(ETAPP!B$1:B$32,MATCH(COUNTIF(Z55:AN55,PVO!A$20),ETAPP!A$1:A$32,0))&amp;INDEX(ETAPP!B$1:B$32,MATCH(COUNTIF(Z55:AN55,PVO!A$21),ETAPP!A$1:A$32,0))</f>
        <v>000A00000000000000000</v>
      </c>
      <c r="T55" s="221" t="str">
        <f t="shared" si="49"/>
        <v>017,0-000A00000000000000000</v>
      </c>
      <c r="U55" s="221">
        <f t="shared" si="50"/>
        <v>49</v>
      </c>
      <c r="V55" s="221">
        <f t="shared" si="51"/>
        <v>38</v>
      </c>
      <c r="W55" s="221" t="str">
        <f t="shared" si="52"/>
        <v>017,0-000A00000000000000000-038</v>
      </c>
      <c r="X55" s="221">
        <f t="shared" si="53"/>
        <v>49</v>
      </c>
      <c r="Y55" s="222">
        <f t="shared" si="54"/>
        <v>19</v>
      </c>
      <c r="Z55" s="223" t="str">
        <f>IFERROR(INDEX('V1'!C$300:C$400,MATCH("*"&amp;L55&amp;"*",'V1'!B$300:B$400,0)),"  ")</f>
        <v xml:space="preserve">  </v>
      </c>
      <c r="AA55" s="223" t="str">
        <f>IFERROR(INDEX('V2'!C$300:C$400,MATCH("*"&amp;L55&amp;"*",'V2'!B$300:B$400,0)),"  ")</f>
        <v xml:space="preserve">  </v>
      </c>
      <c r="AB55" s="223" t="str">
        <f>IFERROR(INDEX('V3'!C$300:C$400,MATCH("*"&amp;L55&amp;"*",'V3'!B$300:B$400,0)),"  ")</f>
        <v xml:space="preserve">  </v>
      </c>
      <c r="AC55" s="223" t="str">
        <f>IFERROR(INDEX('V4'!C$300:C$400,MATCH("*"&amp;L55&amp;"*",'V4'!B$300:B$400,0)),"  ")</f>
        <v xml:space="preserve">  </v>
      </c>
      <c r="AD55" s="223" t="str">
        <f>IFERROR(INDEX('V5'!C$300:C$400,MATCH("*"&amp;L55&amp;"*",'V5'!B$300:B$400,0)),"  ")</f>
        <v xml:space="preserve">  </v>
      </c>
      <c r="AE55" s="223" t="str">
        <f>IFERROR(INDEX('V6'!C$300:C$400,MATCH("*"&amp;L55&amp;"*",'V6'!B$300:B$400,0)),"  ")</f>
        <v xml:space="preserve">  </v>
      </c>
      <c r="AF55" s="223" t="str">
        <f>IFERROR(INDEX('V7'!C$300:C$400,MATCH("*"&amp;L55&amp;"*",'V7'!B$300:B$400,0)),"  ")</f>
        <v xml:space="preserve">  </v>
      </c>
      <c r="AG55" s="223" t="str">
        <f>IFERROR(INDEX('V8'!C$300:C$400,MATCH("*"&amp;L55&amp;"*",'V8'!B$300:B$400,0)),"  ")</f>
        <v xml:space="preserve">  </v>
      </c>
      <c r="AH55" s="223" t="str">
        <f>IFERROR(INDEX('V9'!C$300:C$400,MATCH("*"&amp;L55&amp;"*",'V9'!B$300:B$400,0)),"  ")</f>
        <v xml:space="preserve">  </v>
      </c>
      <c r="AI55" s="223" t="str">
        <f>IFERROR(INDEX('V10'!C$300:C$400,MATCH("*"&amp;L55&amp;"*",'V10'!B$300:B$400,0)),"  ")</f>
        <v xml:space="preserve">  </v>
      </c>
      <c r="AJ55" s="223" t="str">
        <f>IFERROR(INDEX('V11'!C$300:C$400,MATCH("*"&amp;L55&amp;"*",'V11'!B$300:B$400,0)),"  ")</f>
        <v xml:space="preserve">  </v>
      </c>
      <c r="AK55" s="223">
        <f>IFERROR(INDEX('V12'!C$300:C$400,MATCH("*"&amp;L55&amp;"*",'V12'!B$300:B$400,0)),"  ")</f>
        <v>17</v>
      </c>
      <c r="AL55" s="223" t="str">
        <f>IFERROR(INDEX('V13'!C$300:C$400,MATCH("*"&amp;L55&amp;"*",'V13'!B$300:B$400,0)),"  ")</f>
        <v xml:space="preserve">  </v>
      </c>
      <c r="AM55" s="223"/>
      <c r="AN55" s="223"/>
      <c r="AO55" s="224" t="str">
        <f t="shared" si="55"/>
        <v/>
      </c>
      <c r="AP55" s="627">
        <f t="shared" si="56"/>
        <v>17</v>
      </c>
      <c r="AQ55" s="225">
        <f t="shared" si="57"/>
        <v>48</v>
      </c>
      <c r="AR55" s="226" t="str">
        <f>IFERROR(INDEX(#REF!,MATCH("*"&amp;L55&amp;"*",#REF!,0)),"  ")</f>
        <v xml:space="preserve">  </v>
      </c>
      <c r="AS55" s="227">
        <f t="shared" si="58"/>
        <v>1</v>
      </c>
      <c r="AT55" s="228">
        <f t="shared" si="59"/>
        <v>0</v>
      </c>
      <c r="AU55" s="228">
        <f t="shared" si="60"/>
        <v>0</v>
      </c>
      <c r="AV55" s="156"/>
      <c r="AW55" s="229">
        <f t="shared" si="61"/>
        <v>2.9999999999999997E-4</v>
      </c>
      <c r="AX55" s="230">
        <f t="shared" si="62"/>
        <v>1E-4</v>
      </c>
      <c r="AY55" s="230">
        <f t="shared" si="63"/>
        <v>2.0000000000000001E-4</v>
      </c>
      <c r="AZ55" s="230">
        <f t="shared" si="64"/>
        <v>2.9999999999999997E-4</v>
      </c>
      <c r="BA55" s="230">
        <f t="shared" si="65"/>
        <v>4.0000000000000002E-4</v>
      </c>
      <c r="BB55" s="230">
        <f t="shared" si="66"/>
        <v>5.0000000000000001E-4</v>
      </c>
      <c r="BC55" s="230">
        <f t="shared" si="67"/>
        <v>5.9999999999999995E-4</v>
      </c>
      <c r="BD55" s="230">
        <f t="shared" si="68"/>
        <v>6.9999999999999999E-4</v>
      </c>
      <c r="BE55" s="230">
        <f t="shared" si="69"/>
        <v>8.0000000000000004E-4</v>
      </c>
      <c r="BF55" s="230">
        <f t="shared" si="70"/>
        <v>8.9999999999999998E-4</v>
      </c>
      <c r="BG55" s="230">
        <f t="shared" si="71"/>
        <v>1E-3</v>
      </c>
      <c r="BH55" s="230">
        <f t="shared" si="72"/>
        <v>1.1000000000000001E-3</v>
      </c>
      <c r="BI55" s="230">
        <f t="shared" si="73"/>
        <v>17.001200000000001</v>
      </c>
      <c r="BJ55" s="230">
        <f t="shared" si="74"/>
        <v>1.2999999999999999E-3</v>
      </c>
      <c r="BK55" s="156"/>
    </row>
    <row r="56" spans="1:63" x14ac:dyDescent="0.2">
      <c r="A56" s="208" t="str">
        <f t="shared" si="38"/>
        <v/>
      </c>
      <c r="B56" s="209">
        <f t="shared" si="39"/>
        <v>-950</v>
      </c>
      <c r="C56" s="736" t="str">
        <f t="shared" si="40"/>
        <v/>
      </c>
      <c r="D56" s="565">
        <f t="shared" si="41"/>
        <v>-950</v>
      </c>
      <c r="E56" s="210" t="str">
        <f t="shared" si="42"/>
        <v/>
      </c>
      <c r="F56" s="209">
        <f t="shared" si="43"/>
        <v>-950</v>
      </c>
      <c r="G56" s="211">
        <f t="shared" si="44"/>
        <v>9</v>
      </c>
      <c r="H56" s="209">
        <f t="shared" si="45"/>
        <v>50</v>
      </c>
      <c r="I56" s="212">
        <f t="shared" si="46"/>
        <v>5</v>
      </c>
      <c r="J56" s="213">
        <f t="shared" si="47"/>
        <v>50</v>
      </c>
      <c r="K56" s="178">
        <f t="shared" si="48"/>
        <v>50</v>
      </c>
      <c r="L56" s="232" t="s">
        <v>576</v>
      </c>
      <c r="M56" s="215" t="s">
        <v>135</v>
      </c>
      <c r="N56" s="216"/>
      <c r="O56" s="250" t="s">
        <v>142</v>
      </c>
      <c r="P56" s="218"/>
      <c r="Q56" s="219"/>
      <c r="R56" s="220">
        <f t="array" ref="R56">(IF(COUNT(Z56,AA56,AB56,AC56,AD56,AE56,AF56,AG56,AH56,AI56,AJ56,AK56,AL56,AM56,AN56)&lt;11,SUM(Z56,AA56,AB56,AC56,AD56,AE56,AF56,AG56,AH56,AI56,AJ56,AK56,AL56,AM56,AN56),SUM(LARGE((Z56,AA56,AB56,AC56,AD56,AE56,AF56,AG56,AH56,AI56,AJ56,AK56,AL56,AM56,AN56),{1;2;3;4;5;6;7;8;9;10}))))</f>
        <v>15</v>
      </c>
      <c r="S56" s="221" t="str">
        <f>INDEX(ETAPP!B$1:B$32,MATCH(COUNTIF(Z56:AN56,PVO!A$1),ETAPP!A$1:A$32,0))&amp;INDEX(ETAPP!B$1:B$32,MATCH(COUNTIF(Z56:AN56,PVO!A$2),ETAPP!A$1:A$32,0))&amp;INDEX(ETAPP!B$1:B$32,MATCH(COUNTIF(Z56:AN56,PVO!A$3),ETAPP!A$1:A$32,0))&amp;INDEX(ETAPP!B$1:B$32,MATCH(COUNTIF(Z56:AN56,PVO!A$4),ETAPP!A$1:A$32,0))&amp;INDEX(ETAPP!B$1:B$32,MATCH(COUNTIF(Z56:AN56,PVO!A$5),ETAPP!A$1:A$32,0))&amp;INDEX(ETAPP!B$1:B$32,MATCH(COUNTIF(Z56:AN56,PVO!A$6),ETAPP!A$1:A$32,0))&amp;INDEX(ETAPP!B$1:B$32,MATCH(COUNTIF(Z56:AN56,PVO!A$7),ETAPP!A$1:A$32,0))&amp;INDEX(ETAPP!B$1:B$32,MATCH(COUNTIF(Z56:AN56,PVO!A$8),ETAPP!A$1:A$32,0))&amp;INDEX(ETAPP!B$1:B$32,MATCH(COUNTIF(Z56:AN56,PVO!A$9),ETAPP!A$1:A$32,0))&amp;INDEX(ETAPP!B$1:B$32,MATCH(COUNTIF(Z56:AN56,PVO!A$10),ETAPP!A$1:A$32,0))&amp;INDEX(ETAPP!B$1:B$32,MATCH(COUNTIF(Z56:AN56,PVO!A$11),ETAPP!A$1:A$32,0))&amp;INDEX(ETAPP!B$1:B$32,MATCH(COUNTIF(Z56:AN56,PVO!A$12),ETAPP!A$1:A$32,0))&amp;INDEX(ETAPP!B$1:B$32,MATCH(COUNTIF(Z56:AN56,PVO!A$13),ETAPP!A$1:A$32,0))&amp;INDEX(ETAPP!B$1:B$32,MATCH(COUNTIF(Z56:AN56,PVO!A$14),ETAPP!A$1:A$32,0))&amp;INDEX(ETAPP!B$1:B$32,MATCH(COUNTIF(Z56:AN56,PVO!A$15),ETAPP!A$1:A$32,0))&amp;INDEX(ETAPP!B$1:B$32,MATCH(COUNTIF(Z56:AN56,PVO!A$16),ETAPP!A$1:A$32,0))&amp;INDEX(ETAPP!B$1:B$32,MATCH(COUNTIF(Z56:AN56,PVO!A$17),ETAPP!A$1:A$32,0))&amp;INDEX(ETAPP!B$1:B$32,MATCH(COUNTIF(Z56:AN56,PVO!A$18),ETAPP!A$1:A$32,0))&amp;INDEX(ETAPP!B$1:B$32,MATCH(COUNTIF(Z56:AN56,PVO!A$19),ETAPP!A$1:A$32,0))&amp;INDEX(ETAPP!B$1:B$32,MATCH(COUNTIF(Z56:AN56,PVO!A$20),ETAPP!A$1:A$32,0))&amp;INDEX(ETAPP!B$1:B$32,MATCH(COUNTIF(Z56:AN56,PVO!A$21),ETAPP!A$1:A$32,0))</f>
        <v>00000A000000000000000</v>
      </c>
      <c r="T56" s="221" t="str">
        <f t="shared" si="49"/>
        <v>015,0-00000A000000000000000</v>
      </c>
      <c r="U56" s="221">
        <f t="shared" si="50"/>
        <v>50</v>
      </c>
      <c r="V56" s="221">
        <f t="shared" si="51"/>
        <v>30</v>
      </c>
      <c r="W56" s="221" t="str">
        <f t="shared" si="52"/>
        <v>015,0-00000A000000000000000-030</v>
      </c>
      <c r="X56" s="221">
        <f t="shared" si="53"/>
        <v>50</v>
      </c>
      <c r="Y56" s="222">
        <f t="shared" si="54"/>
        <v>18</v>
      </c>
      <c r="Z56" s="223" t="str">
        <f>IFERROR(INDEX('V1'!C$300:C$400,MATCH("*"&amp;L56&amp;"*",'V1'!B$300:B$400,0)),"  ")</f>
        <v xml:space="preserve">  </v>
      </c>
      <c r="AA56" s="223" t="str">
        <f>IFERROR(INDEX('V2'!C$300:C$400,MATCH("*"&amp;L56&amp;"*",'V2'!B$300:B$400,0)),"  ")</f>
        <v xml:space="preserve">  </v>
      </c>
      <c r="AB56" s="223" t="str">
        <f>IFERROR(INDEX('V3'!C$300:C$400,MATCH("*"&amp;L56&amp;"*",'V3'!B$300:B$400,0)),"  ")</f>
        <v xml:space="preserve">  </v>
      </c>
      <c r="AC56" s="223" t="str">
        <f>IFERROR(INDEX('V4'!C$300:C$400,MATCH("*"&amp;L56&amp;"*",'V4'!B$300:B$400,0)),"  ")</f>
        <v xml:space="preserve">  </v>
      </c>
      <c r="AD56" s="223" t="str">
        <f>IFERROR(INDEX('V5'!C$300:C$400,MATCH("*"&amp;L56&amp;"*",'V5'!B$300:B$400,0)),"  ")</f>
        <v xml:space="preserve">  </v>
      </c>
      <c r="AE56" s="223" t="str">
        <f>IFERROR(INDEX('V6'!C$300:C$400,MATCH("*"&amp;L56&amp;"*",'V6'!B$300:B$400,0)),"  ")</f>
        <v xml:space="preserve">  </v>
      </c>
      <c r="AF56" s="223" t="str">
        <f>IFERROR(INDEX('V7'!C$300:C$400,MATCH("*"&amp;L56&amp;"*",'V7'!B$300:B$400,0)),"  ")</f>
        <v xml:space="preserve">  </v>
      </c>
      <c r="AG56" s="223" t="str">
        <f>IFERROR(INDEX('V8'!C$300:C$400,MATCH("*"&amp;L56&amp;"*",'V8'!B$300:B$400,0)),"  ")</f>
        <v xml:space="preserve">  </v>
      </c>
      <c r="AH56" s="223" t="str">
        <f>IFERROR(INDEX('V9'!C$300:C$400,MATCH("*"&amp;L56&amp;"*",'V9'!B$300:B$400,0)),"  ")</f>
        <v xml:space="preserve">  </v>
      </c>
      <c r="AI56" s="223">
        <f>IFERROR(INDEX('V10'!C$300:C$400,MATCH("*"&amp;L56&amp;"*",'V10'!B$300:B$400,0)),"  ")</f>
        <v>15</v>
      </c>
      <c r="AJ56" s="223" t="str">
        <f>IFERROR(INDEX('V11'!C$300:C$400,MATCH("*"&amp;L56&amp;"*",'V11'!B$300:B$400,0)),"  ")</f>
        <v xml:space="preserve">  </v>
      </c>
      <c r="AK56" s="223" t="str">
        <f>IFERROR(INDEX('V12'!C$300:C$400,MATCH("*"&amp;L56&amp;"*",'V12'!B$300:B$400,0)),"  ")</f>
        <v xml:space="preserve">  </v>
      </c>
      <c r="AL56" s="223" t="str">
        <f>IFERROR(INDEX('V13'!C$300:C$400,MATCH("*"&amp;L56&amp;"*",'V13'!B$300:B$400,0)),"  ")</f>
        <v xml:space="preserve">  </v>
      </c>
      <c r="AM56" s="223"/>
      <c r="AN56" s="223"/>
      <c r="AO56" s="224" t="str">
        <f t="shared" si="55"/>
        <v/>
      </c>
      <c r="AP56" s="627">
        <f t="shared" si="56"/>
        <v>15</v>
      </c>
      <c r="AQ56" s="225">
        <f t="shared" si="57"/>
        <v>50</v>
      </c>
      <c r="AR56" s="226" t="str">
        <f>IFERROR(INDEX(#REF!,MATCH("*"&amp;L56&amp;"*",#REF!,0)),"  ")</f>
        <v xml:space="preserve">  </v>
      </c>
      <c r="AS56" s="227">
        <f t="shared" si="58"/>
        <v>1</v>
      </c>
      <c r="AT56" s="228">
        <f t="shared" si="59"/>
        <v>0</v>
      </c>
      <c r="AU56" s="228">
        <f t="shared" si="60"/>
        <v>0</v>
      </c>
      <c r="AV56" s="156"/>
      <c r="AW56" s="229">
        <f t="shared" si="61"/>
        <v>2.9999999999999997E-4</v>
      </c>
      <c r="AX56" s="230">
        <f t="shared" si="62"/>
        <v>1E-4</v>
      </c>
      <c r="AY56" s="230">
        <f t="shared" si="63"/>
        <v>2.0000000000000001E-4</v>
      </c>
      <c r="AZ56" s="230">
        <f t="shared" si="64"/>
        <v>2.9999999999999997E-4</v>
      </c>
      <c r="BA56" s="230">
        <f t="shared" si="65"/>
        <v>4.0000000000000002E-4</v>
      </c>
      <c r="BB56" s="230">
        <f t="shared" si="66"/>
        <v>5.0000000000000001E-4</v>
      </c>
      <c r="BC56" s="230">
        <f t="shared" si="67"/>
        <v>5.9999999999999995E-4</v>
      </c>
      <c r="BD56" s="230">
        <f t="shared" si="68"/>
        <v>6.9999999999999999E-4</v>
      </c>
      <c r="BE56" s="230">
        <f t="shared" si="69"/>
        <v>8.0000000000000004E-4</v>
      </c>
      <c r="BF56" s="230">
        <f t="shared" si="70"/>
        <v>8.9999999999999998E-4</v>
      </c>
      <c r="BG56" s="230">
        <f t="shared" si="71"/>
        <v>15.000999999999999</v>
      </c>
      <c r="BH56" s="230">
        <f t="shared" si="72"/>
        <v>1.1000000000000001E-3</v>
      </c>
      <c r="BI56" s="230">
        <f t="shared" si="73"/>
        <v>1.1999999999999999E-3</v>
      </c>
      <c r="BJ56" s="230">
        <f t="shared" si="74"/>
        <v>1.2999999999999999E-3</v>
      </c>
      <c r="BK56" s="156"/>
    </row>
    <row r="57" spans="1:63" x14ac:dyDescent="0.2">
      <c r="A57" s="208">
        <f t="shared" si="38"/>
        <v>27</v>
      </c>
      <c r="B57" s="209">
        <f t="shared" si="39"/>
        <v>51</v>
      </c>
      <c r="C57" s="736" t="str">
        <f t="shared" si="40"/>
        <v/>
      </c>
      <c r="D57" s="565">
        <f t="shared" si="41"/>
        <v>-949</v>
      </c>
      <c r="E57" s="210">
        <f t="shared" si="42"/>
        <v>42</v>
      </c>
      <c r="F57" s="209">
        <f t="shared" si="43"/>
        <v>51</v>
      </c>
      <c r="G57" s="211" t="str">
        <f t="shared" si="44"/>
        <v/>
      </c>
      <c r="H57" s="209">
        <f t="shared" si="45"/>
        <v>-949</v>
      </c>
      <c r="I57" s="212" t="str">
        <f t="shared" si="46"/>
        <v/>
      </c>
      <c r="J57" s="213">
        <f t="shared" si="47"/>
        <v>-949</v>
      </c>
      <c r="K57" s="178">
        <f t="shared" si="48"/>
        <v>51</v>
      </c>
      <c r="L57" s="242" t="s">
        <v>151</v>
      </c>
      <c r="M57" s="215"/>
      <c r="N57" s="216" t="str">
        <f>IF(M57="","m","")</f>
        <v>m</v>
      </c>
      <c r="O57" s="217"/>
      <c r="P57" s="218"/>
      <c r="Q57" s="219" t="s">
        <v>124</v>
      </c>
      <c r="R57" s="220">
        <f t="array" ref="R57">(IF(COUNT(Z57,AA57,AB57,AC57,AD57,AE57,AF57,AG57,AH57,AI57,AJ57,AK57,AL57,AM57,AN57)&lt;11,SUM(Z57,AA57,AB57,AC57,AD57,AE57,AF57,AG57,AH57,AI57,AJ57,AK57,AL57,AM57,AN57),SUM(LARGE((Z57,AA57,AB57,AC57,AD57,AE57,AF57,AG57,AH57,AI57,AJ57,AK57,AL57,AM57,AN57),{1;2;3;4;5;6;7;8;9;10}))))</f>
        <v>14</v>
      </c>
      <c r="S57" s="221" t="str">
        <f>INDEX(ETAPP!B$1:B$32,MATCH(COUNTIF(Z57:AN57,PVO!A$1),ETAPP!A$1:A$32,0))&amp;INDEX(ETAPP!B$1:B$32,MATCH(COUNTIF(Z57:AN57,PVO!A$2),ETAPP!A$1:A$32,0))&amp;INDEX(ETAPP!B$1:B$32,MATCH(COUNTIF(Z57:AN57,PVO!A$3),ETAPP!A$1:A$32,0))&amp;INDEX(ETAPP!B$1:B$32,MATCH(COUNTIF(Z57:AN57,PVO!A$4),ETAPP!A$1:A$32,0))&amp;INDEX(ETAPP!B$1:B$32,MATCH(COUNTIF(Z57:AN57,PVO!A$5),ETAPP!A$1:A$32,0))&amp;INDEX(ETAPP!B$1:B$32,MATCH(COUNTIF(Z57:AN57,PVO!A$6),ETAPP!A$1:A$32,0))&amp;INDEX(ETAPP!B$1:B$32,MATCH(COUNTIF(Z57:AN57,PVO!A$7),ETAPP!A$1:A$32,0))&amp;INDEX(ETAPP!B$1:B$32,MATCH(COUNTIF(Z57:AN57,PVO!A$8),ETAPP!A$1:A$32,0))&amp;INDEX(ETAPP!B$1:B$32,MATCH(COUNTIF(Z57:AN57,PVO!A$9),ETAPP!A$1:A$32,0))&amp;INDEX(ETAPP!B$1:B$32,MATCH(COUNTIF(Z57:AN57,PVO!A$10),ETAPP!A$1:A$32,0))&amp;INDEX(ETAPP!B$1:B$32,MATCH(COUNTIF(Z57:AN57,PVO!A$11),ETAPP!A$1:A$32,0))&amp;INDEX(ETAPP!B$1:B$32,MATCH(COUNTIF(Z57:AN57,PVO!A$12),ETAPP!A$1:A$32,0))&amp;INDEX(ETAPP!B$1:B$32,MATCH(COUNTIF(Z57:AN57,PVO!A$13),ETAPP!A$1:A$32,0))&amp;INDEX(ETAPP!B$1:B$32,MATCH(COUNTIF(Z57:AN57,PVO!A$14),ETAPP!A$1:A$32,0))&amp;INDEX(ETAPP!B$1:B$32,MATCH(COUNTIF(Z57:AN57,PVO!A$15),ETAPP!A$1:A$32,0))&amp;INDEX(ETAPP!B$1:B$32,MATCH(COUNTIF(Z57:AN57,PVO!A$16),ETAPP!A$1:A$32,0))&amp;INDEX(ETAPP!B$1:B$32,MATCH(COUNTIF(Z57:AN57,PVO!A$17),ETAPP!A$1:A$32,0))&amp;INDEX(ETAPP!B$1:B$32,MATCH(COUNTIF(Z57:AN57,PVO!A$18),ETAPP!A$1:A$32,0))&amp;INDEX(ETAPP!B$1:B$32,MATCH(COUNTIF(Z57:AN57,PVO!A$19),ETAPP!A$1:A$32,0))&amp;INDEX(ETAPP!B$1:B$32,MATCH(COUNTIF(Z57:AN57,PVO!A$20),ETAPP!A$1:A$32,0))&amp;INDEX(ETAPP!B$1:B$32,MATCH(COUNTIF(Z57:AN57,PVO!A$21),ETAPP!A$1:A$32,0))</f>
        <v>000000A00000000000000</v>
      </c>
      <c r="T57" s="221" t="str">
        <f t="shared" si="49"/>
        <v>014,0-000000A00000000000000</v>
      </c>
      <c r="U57" s="221">
        <f t="shared" si="50"/>
        <v>51</v>
      </c>
      <c r="V57" s="221">
        <f t="shared" si="51"/>
        <v>60</v>
      </c>
      <c r="W57" s="221" t="str">
        <f t="shared" si="52"/>
        <v>014,0-000000A00000000000000-060</v>
      </c>
      <c r="X57" s="221">
        <f t="shared" si="53"/>
        <v>51</v>
      </c>
      <c r="Y57" s="222">
        <f t="shared" si="54"/>
        <v>17</v>
      </c>
      <c r="Z57" s="223" t="str">
        <f>IFERROR(INDEX('V1'!C$300:C$400,MATCH("*"&amp;L57&amp;"*",'V1'!B$300:B$400,0)),"  ")</f>
        <v xml:space="preserve">  </v>
      </c>
      <c r="AA57" s="223">
        <f>IFERROR(INDEX('V2'!C$300:C$400,MATCH("*"&amp;L57&amp;"*",'V2'!B$300:B$400,0)),"  ")</f>
        <v>14</v>
      </c>
      <c r="AB57" s="223" t="str">
        <f>IFERROR(INDEX('V3'!C$300:C$400,MATCH("*"&amp;L57&amp;"*",'V3'!B$300:B$400,0)),"  ")</f>
        <v xml:space="preserve">  </v>
      </c>
      <c r="AC57" s="223" t="str">
        <f>IFERROR(INDEX('V4'!C$300:C$400,MATCH("*"&amp;L57&amp;"*",'V4'!B$300:B$400,0)),"  ")</f>
        <v xml:space="preserve">  </v>
      </c>
      <c r="AD57" s="223" t="str">
        <f>IFERROR(INDEX('V5'!C$300:C$400,MATCH("*"&amp;L57&amp;"*",'V5'!B$300:B$400,0)),"  ")</f>
        <v xml:space="preserve">  </v>
      </c>
      <c r="AE57" s="223" t="str">
        <f>IFERROR(INDEX('V6'!C$300:C$400,MATCH("*"&amp;L57&amp;"*",'V6'!B$300:B$400,0)),"  ")</f>
        <v xml:space="preserve">  </v>
      </c>
      <c r="AF57" s="223" t="str">
        <f>IFERROR(INDEX('V7'!C$300:C$400,MATCH("*"&amp;L57&amp;"*",'V7'!B$300:B$400,0)),"  ")</f>
        <v xml:space="preserve">  </v>
      </c>
      <c r="AG57" s="223" t="str">
        <f>IFERROR(INDEX('V8'!C$300:C$400,MATCH("*"&amp;L57&amp;"*",'V8'!B$300:B$400,0)),"  ")</f>
        <v xml:space="preserve">  </v>
      </c>
      <c r="AH57" s="223" t="str">
        <f>IFERROR(INDEX('V9'!C$300:C$400,MATCH("*"&amp;L57&amp;"*",'V9'!B$300:B$400,0)),"  ")</f>
        <v xml:space="preserve">  </v>
      </c>
      <c r="AI57" s="223" t="str">
        <f>IFERROR(INDEX('V10'!C$300:C$400,MATCH("*"&amp;L57&amp;"*",'V10'!B$300:B$400,0)),"  ")</f>
        <v xml:space="preserve">  </v>
      </c>
      <c r="AJ57" s="223" t="str">
        <f>IFERROR(INDEX('V11'!C$300:C$400,MATCH("*"&amp;L57&amp;"*",'V11'!B$300:B$400,0)),"  ")</f>
        <v xml:space="preserve">  </v>
      </c>
      <c r="AK57" s="223" t="str">
        <f>IFERROR(INDEX('V12'!C$300:C$400,MATCH("*"&amp;L57&amp;"*",'V12'!B$300:B$400,0)),"  ")</f>
        <v xml:space="preserve">  </v>
      </c>
      <c r="AL57" s="223" t="str">
        <f>IFERROR(INDEX('V13'!C$300:C$400,MATCH("*"&amp;L57&amp;"*",'V13'!B$300:B$400,0)),"  ")</f>
        <v xml:space="preserve">  </v>
      </c>
      <c r="AM57" s="223"/>
      <c r="AN57" s="223"/>
      <c r="AO57" s="224" t="str">
        <f t="shared" si="55"/>
        <v/>
      </c>
      <c r="AP57" s="627">
        <f t="shared" si="56"/>
        <v>14</v>
      </c>
      <c r="AQ57" s="225">
        <f t="shared" si="57"/>
        <v>51</v>
      </c>
      <c r="AR57" s="226" t="str">
        <f>IFERROR(INDEX(#REF!,MATCH("*"&amp;L57&amp;"*",#REF!,0)),"  ")</f>
        <v xml:space="preserve">  </v>
      </c>
      <c r="AS57" s="227">
        <f t="shared" si="58"/>
        <v>1</v>
      </c>
      <c r="AT57" s="228">
        <f t="shared" si="59"/>
        <v>0</v>
      </c>
      <c r="AU57" s="228">
        <f t="shared" si="60"/>
        <v>0</v>
      </c>
      <c r="AV57" s="156"/>
      <c r="AW57" s="229">
        <f t="shared" si="61"/>
        <v>4.0000000000000002E-4</v>
      </c>
      <c r="AX57" s="230">
        <f t="shared" si="62"/>
        <v>1E-4</v>
      </c>
      <c r="AY57" s="230">
        <f t="shared" si="63"/>
        <v>14.0002</v>
      </c>
      <c r="AZ57" s="230">
        <f t="shared" si="64"/>
        <v>2.9999999999999997E-4</v>
      </c>
      <c r="BA57" s="230">
        <f t="shared" si="65"/>
        <v>4.0000000000000002E-4</v>
      </c>
      <c r="BB57" s="230">
        <f t="shared" si="66"/>
        <v>5.0000000000000001E-4</v>
      </c>
      <c r="BC57" s="230">
        <f t="shared" si="67"/>
        <v>5.9999999999999995E-4</v>
      </c>
      <c r="BD57" s="230">
        <f t="shared" si="68"/>
        <v>6.9999999999999999E-4</v>
      </c>
      <c r="BE57" s="230">
        <f t="shared" si="69"/>
        <v>8.0000000000000004E-4</v>
      </c>
      <c r="BF57" s="230">
        <f t="shared" si="70"/>
        <v>8.9999999999999998E-4</v>
      </c>
      <c r="BG57" s="230">
        <f t="shared" si="71"/>
        <v>1E-3</v>
      </c>
      <c r="BH57" s="230">
        <f t="shared" si="72"/>
        <v>1.1000000000000001E-3</v>
      </c>
      <c r="BI57" s="230">
        <f t="shared" si="73"/>
        <v>1.1999999999999999E-3</v>
      </c>
      <c r="BJ57" s="230">
        <f t="shared" si="74"/>
        <v>1.2999999999999999E-3</v>
      </c>
      <c r="BK57" s="156"/>
    </row>
    <row r="58" spans="1:63" x14ac:dyDescent="0.2">
      <c r="A58" s="208" t="str">
        <f t="shared" si="38"/>
        <v/>
      </c>
      <c r="B58" s="209">
        <f t="shared" si="39"/>
        <v>-948</v>
      </c>
      <c r="C58" s="736" t="str">
        <f t="shared" si="40"/>
        <v/>
      </c>
      <c r="D58" s="565">
        <f t="shared" si="41"/>
        <v>-948</v>
      </c>
      <c r="E58" s="210" t="str">
        <f t="shared" si="42"/>
        <v/>
      </c>
      <c r="F58" s="209">
        <f t="shared" si="43"/>
        <v>-948</v>
      </c>
      <c r="G58" s="211">
        <f t="shared" si="44"/>
        <v>10</v>
      </c>
      <c r="H58" s="209">
        <f t="shared" si="45"/>
        <v>52</v>
      </c>
      <c r="I58" s="212" t="str">
        <f t="shared" si="46"/>
        <v/>
      </c>
      <c r="J58" s="213">
        <f t="shared" si="47"/>
        <v>-948</v>
      </c>
      <c r="K58" s="178">
        <f t="shared" si="48"/>
        <v>52</v>
      </c>
      <c r="L58" s="588" t="s">
        <v>324</v>
      </c>
      <c r="M58" s="522" t="s">
        <v>135</v>
      </c>
      <c r="N58" s="523"/>
      <c r="O58" s="624"/>
      <c r="P58" s="525"/>
      <c r="Q58" s="526"/>
      <c r="R58" s="220">
        <f t="array" ref="R58">(IF(COUNT(Z58,AA58,AB58,AC58,AD58,AE58,AF58,AG58,AH58,AI58,AJ58,AK58,AL58,AM58,AN58)&lt;11,SUM(Z58,AA58,AB58,AC58,AD58,AE58,AF58,AG58,AH58,AI58,AJ58,AK58,AL58,AM58,AN58),SUM(LARGE((Z58,AA58,AB58,AC58,AD58,AE58,AF58,AG58,AH58,AI58,AJ58,AK58,AL58,AM58,AN58),{1;2;3;4;5;6;7;8;9;10}))))</f>
        <v>14</v>
      </c>
      <c r="S58" s="221" t="str">
        <f>INDEX(ETAPP!B$1:B$32,MATCH(COUNTIF(Z58:AN58,PVO!A$1),ETAPP!A$1:A$32,0))&amp;INDEX(ETAPP!B$1:B$32,MATCH(COUNTIF(Z58:AN58,PVO!A$2),ETAPP!A$1:A$32,0))&amp;INDEX(ETAPP!B$1:B$32,MATCH(COUNTIF(Z58:AN58,PVO!A$3),ETAPP!A$1:A$32,0))&amp;INDEX(ETAPP!B$1:B$32,MATCH(COUNTIF(Z58:AN58,PVO!A$4),ETAPP!A$1:A$32,0))&amp;INDEX(ETAPP!B$1:B$32,MATCH(COUNTIF(Z58:AN58,PVO!A$5),ETAPP!A$1:A$32,0))&amp;INDEX(ETAPP!B$1:B$32,MATCH(COUNTIF(Z58:AN58,PVO!A$6),ETAPP!A$1:A$32,0))&amp;INDEX(ETAPP!B$1:B$32,MATCH(COUNTIF(Z58:AN58,PVO!A$7),ETAPP!A$1:A$32,0))&amp;INDEX(ETAPP!B$1:B$32,MATCH(COUNTIF(Z58:AN58,PVO!A$8),ETAPP!A$1:A$32,0))&amp;INDEX(ETAPP!B$1:B$32,MATCH(COUNTIF(Z58:AN58,PVO!A$9),ETAPP!A$1:A$32,0))&amp;INDEX(ETAPP!B$1:B$32,MATCH(COUNTIF(Z58:AN58,PVO!A$10),ETAPP!A$1:A$32,0))&amp;INDEX(ETAPP!B$1:B$32,MATCH(COUNTIF(Z58:AN58,PVO!A$11),ETAPP!A$1:A$32,0))&amp;INDEX(ETAPP!B$1:B$32,MATCH(COUNTIF(Z58:AN58,PVO!A$12),ETAPP!A$1:A$32,0))&amp;INDEX(ETAPP!B$1:B$32,MATCH(COUNTIF(Z58:AN58,PVO!A$13),ETAPP!A$1:A$32,0))&amp;INDEX(ETAPP!B$1:B$32,MATCH(COUNTIF(Z58:AN58,PVO!A$14),ETAPP!A$1:A$32,0))&amp;INDEX(ETAPP!B$1:B$32,MATCH(COUNTIF(Z58:AN58,PVO!A$15),ETAPP!A$1:A$32,0))&amp;INDEX(ETAPP!B$1:B$32,MATCH(COUNTIF(Z58:AN58,PVO!A$16),ETAPP!A$1:A$32,0))&amp;INDEX(ETAPP!B$1:B$32,MATCH(COUNTIF(Z58:AN58,PVO!A$17),ETAPP!A$1:A$32,0))&amp;INDEX(ETAPP!B$1:B$32,MATCH(COUNTIF(Z58:AN58,PVO!A$18),ETAPP!A$1:A$32,0))&amp;INDEX(ETAPP!B$1:B$32,MATCH(COUNTIF(Z58:AN58,PVO!A$19),ETAPP!A$1:A$32,0))&amp;INDEX(ETAPP!B$1:B$32,MATCH(COUNTIF(Z58:AN58,PVO!A$20),ETAPP!A$1:A$32,0))&amp;INDEX(ETAPP!B$1:B$32,MATCH(COUNTIF(Z58:AN58,PVO!A$21),ETAPP!A$1:A$32,0))</f>
        <v>00000000000A000A00000</v>
      </c>
      <c r="T58" s="221" t="str">
        <f t="shared" si="49"/>
        <v>014,0-00000000000A000A00000</v>
      </c>
      <c r="U58" s="221">
        <f t="shared" si="50"/>
        <v>52</v>
      </c>
      <c r="V58" s="221">
        <f t="shared" si="51"/>
        <v>6</v>
      </c>
      <c r="W58" s="221" t="str">
        <f t="shared" si="52"/>
        <v>014,0-00000000000A000A00000-006</v>
      </c>
      <c r="X58" s="221">
        <f t="shared" si="53"/>
        <v>52</v>
      </c>
      <c r="Y58" s="222">
        <f t="shared" si="54"/>
        <v>16</v>
      </c>
      <c r="Z58" s="223" t="str">
        <f>IFERROR(INDEX('V1'!C$300:C$400,MATCH("*"&amp;L58&amp;"*",'V1'!B$300:B$400,0)),"  ")</f>
        <v xml:space="preserve">  </v>
      </c>
      <c r="AA58" s="223">
        <f>IFERROR(INDEX('V2'!C$300:C$400,MATCH("*"&amp;L58&amp;"*",'V2'!B$300:B$400,0)),"  ")</f>
        <v>5</v>
      </c>
      <c r="AB58" s="223" t="str">
        <f>IFERROR(INDEX('V3'!C$300:C$400,MATCH("*"&amp;L58&amp;"*",'V3'!B$300:B$400,0)),"  ")</f>
        <v xml:space="preserve">  </v>
      </c>
      <c r="AC58" s="223" t="str">
        <f>IFERROR(INDEX('V4'!C$300:C$400,MATCH("*"&amp;L58&amp;"*",'V4'!B$300:B$400,0)),"  ")</f>
        <v xml:space="preserve">  </v>
      </c>
      <c r="AD58" s="223">
        <f>IFERROR(INDEX('V5'!C$300:C$400,MATCH("*"&amp;L58&amp;"*",'V5'!B$300:B$400,0)),"  ")</f>
        <v>9</v>
      </c>
      <c r="AE58" s="223" t="str">
        <f>IFERROR(INDEX('V6'!C$300:C$400,MATCH("*"&amp;L58&amp;"*",'V6'!B$300:B$400,0)),"  ")</f>
        <v xml:space="preserve">  </v>
      </c>
      <c r="AF58" s="223" t="str">
        <f>IFERROR(INDEX('V7'!C$300:C$400,MATCH("*"&amp;L58&amp;"*",'V7'!B$300:B$400,0)),"  ")</f>
        <v xml:space="preserve">  </v>
      </c>
      <c r="AG58" s="223" t="str">
        <f>IFERROR(INDEX('V8'!C$300:C$400,MATCH("*"&amp;L58&amp;"*",'V8'!B$300:B$400,0)),"  ")</f>
        <v xml:space="preserve">  </v>
      </c>
      <c r="AH58" s="223" t="str">
        <f>IFERROR(INDEX('V9'!C$300:C$400,MATCH("*"&amp;L58&amp;"*",'V9'!B$300:B$400,0)),"  ")</f>
        <v xml:space="preserve">  </v>
      </c>
      <c r="AI58" s="223" t="str">
        <f>IFERROR(INDEX('V10'!C$300:C$400,MATCH("*"&amp;L58&amp;"*",'V10'!B$300:B$400,0)),"  ")</f>
        <v xml:space="preserve">  </v>
      </c>
      <c r="AJ58" s="223" t="str">
        <f>IFERROR(INDEX('V11'!C$300:C$400,MATCH("*"&amp;L58&amp;"*",'V11'!B$300:B$400,0)),"  ")</f>
        <v xml:space="preserve">  </v>
      </c>
      <c r="AK58" s="223" t="str">
        <f>IFERROR(INDEX('V12'!C$300:C$400,MATCH("*"&amp;L58&amp;"*",'V12'!B$300:B$400,0)),"  ")</f>
        <v xml:space="preserve">  </v>
      </c>
      <c r="AL58" s="223" t="str">
        <f>IFERROR(INDEX('V13'!C$300:C$400,MATCH("*"&amp;L58&amp;"*",'V13'!B$300:B$400,0)),"  ")</f>
        <v xml:space="preserve">  </v>
      </c>
      <c r="AM58" s="223"/>
      <c r="AN58" s="223"/>
      <c r="AO58" s="224" t="str">
        <f t="shared" si="55"/>
        <v/>
      </c>
      <c r="AP58" s="627">
        <f t="shared" si="56"/>
        <v>14</v>
      </c>
      <c r="AQ58" s="225">
        <f t="shared" si="57"/>
        <v>52</v>
      </c>
      <c r="AR58" s="226" t="str">
        <f>IFERROR(INDEX(#REF!,MATCH("*"&amp;L58&amp;"*",#REF!,0)),"  ")</f>
        <v xml:space="preserve">  </v>
      </c>
      <c r="AS58" s="227">
        <f t="shared" si="58"/>
        <v>2</v>
      </c>
      <c r="AT58" s="228">
        <f t="shared" si="59"/>
        <v>0</v>
      </c>
      <c r="AU58" s="228">
        <f t="shared" si="60"/>
        <v>0</v>
      </c>
      <c r="AV58" s="156"/>
      <c r="AW58" s="229">
        <f t="shared" si="61"/>
        <v>4.0000000000000002E-4</v>
      </c>
      <c r="AX58" s="230">
        <f t="shared" si="62"/>
        <v>1E-4</v>
      </c>
      <c r="AY58" s="230">
        <f t="shared" si="63"/>
        <v>5.0002000000000004</v>
      </c>
      <c r="AZ58" s="230">
        <f t="shared" si="64"/>
        <v>2.9999999999999997E-4</v>
      </c>
      <c r="BA58" s="230">
        <f t="shared" si="65"/>
        <v>4.0000000000000002E-4</v>
      </c>
      <c r="BB58" s="230">
        <f t="shared" si="66"/>
        <v>9.0005000000000006</v>
      </c>
      <c r="BC58" s="230">
        <f t="shared" si="67"/>
        <v>5.9999999999999995E-4</v>
      </c>
      <c r="BD58" s="230">
        <f t="shared" si="68"/>
        <v>6.9999999999999999E-4</v>
      </c>
      <c r="BE58" s="230">
        <f t="shared" si="69"/>
        <v>8.0000000000000004E-4</v>
      </c>
      <c r="BF58" s="230">
        <f t="shared" si="70"/>
        <v>8.9999999999999998E-4</v>
      </c>
      <c r="BG58" s="230">
        <f t="shared" si="71"/>
        <v>1E-3</v>
      </c>
      <c r="BH58" s="230">
        <f t="shared" si="72"/>
        <v>1.1000000000000001E-3</v>
      </c>
      <c r="BI58" s="230">
        <f t="shared" si="73"/>
        <v>1.1999999999999999E-3</v>
      </c>
      <c r="BJ58" s="230">
        <f t="shared" si="74"/>
        <v>1.2999999999999999E-3</v>
      </c>
      <c r="BK58" s="156"/>
    </row>
    <row r="59" spans="1:63" x14ac:dyDescent="0.2">
      <c r="A59" s="208">
        <f t="shared" si="38"/>
        <v>28</v>
      </c>
      <c r="B59" s="209">
        <f t="shared" si="39"/>
        <v>53</v>
      </c>
      <c r="C59" s="736">
        <f t="shared" si="40"/>
        <v>18</v>
      </c>
      <c r="D59" s="565">
        <f t="shared" si="41"/>
        <v>53</v>
      </c>
      <c r="E59" s="210" t="str">
        <f t="shared" si="42"/>
        <v/>
      </c>
      <c r="F59" s="209">
        <f t="shared" si="43"/>
        <v>-947</v>
      </c>
      <c r="G59" s="211">
        <f t="shared" si="44"/>
        <v>11</v>
      </c>
      <c r="H59" s="209">
        <f t="shared" si="45"/>
        <v>53</v>
      </c>
      <c r="I59" s="212">
        <f t="shared" si="46"/>
        <v>6</v>
      </c>
      <c r="J59" s="213">
        <f t="shared" si="47"/>
        <v>53</v>
      </c>
      <c r="K59" s="178">
        <f t="shared" si="48"/>
        <v>53</v>
      </c>
      <c r="L59" s="234" t="s">
        <v>152</v>
      </c>
      <c r="M59" s="215" t="s">
        <v>135</v>
      </c>
      <c r="N59" s="216" t="str">
        <f>IF(M59="","m","")</f>
        <v/>
      </c>
      <c r="O59" s="217" t="s">
        <v>142</v>
      </c>
      <c r="P59" s="218" t="s">
        <v>478</v>
      </c>
      <c r="Q59" s="219" t="s">
        <v>124</v>
      </c>
      <c r="R59" s="220">
        <f t="array" ref="R59">(IF(COUNT(Z59,AA59,AB59,AC59,AD59,AE59,AF59,AG59,AH59,AI59,AJ59,AK59,AL59,AM59,AN59)&lt;11,SUM(Z59,AA59,AB59,AC59,AD59,AE59,AF59,AG59,AH59,AI59,AJ59,AK59,AL59,AM59,AN59),SUM(LARGE((Z59,AA59,AB59,AC59,AD59,AE59,AF59,AG59,AH59,AI59,AJ59,AK59,AL59,AM59,AN59),{1;2;3;4;5;6;7;8;9;10}))))</f>
        <v>13</v>
      </c>
      <c r="S59" s="221" t="str">
        <f>INDEX(ETAPP!B$1:B$32,MATCH(COUNTIF(Z59:AN59,PVO!A$1),ETAPP!A$1:A$32,0))&amp;INDEX(ETAPP!B$1:B$32,MATCH(COUNTIF(Z59:AN59,PVO!A$2),ETAPP!A$1:A$32,0))&amp;INDEX(ETAPP!B$1:B$32,MATCH(COUNTIF(Z59:AN59,PVO!A$3),ETAPP!A$1:A$32,0))&amp;INDEX(ETAPP!B$1:B$32,MATCH(COUNTIF(Z59:AN59,PVO!A$4),ETAPP!A$1:A$32,0))&amp;INDEX(ETAPP!B$1:B$32,MATCH(COUNTIF(Z59:AN59,PVO!A$5),ETAPP!A$1:A$32,0))&amp;INDEX(ETAPP!B$1:B$32,MATCH(COUNTIF(Z59:AN59,PVO!A$6),ETAPP!A$1:A$32,0))&amp;INDEX(ETAPP!B$1:B$32,MATCH(COUNTIF(Z59:AN59,PVO!A$7),ETAPP!A$1:A$32,0))&amp;INDEX(ETAPP!B$1:B$32,MATCH(COUNTIF(Z59:AN59,PVO!A$8),ETAPP!A$1:A$32,0))&amp;INDEX(ETAPP!B$1:B$32,MATCH(COUNTIF(Z59:AN59,PVO!A$9),ETAPP!A$1:A$32,0))&amp;INDEX(ETAPP!B$1:B$32,MATCH(COUNTIF(Z59:AN59,PVO!A$10),ETAPP!A$1:A$32,0))&amp;INDEX(ETAPP!B$1:B$32,MATCH(COUNTIF(Z59:AN59,PVO!A$11),ETAPP!A$1:A$32,0))&amp;INDEX(ETAPP!B$1:B$32,MATCH(COUNTIF(Z59:AN59,PVO!A$12),ETAPP!A$1:A$32,0))&amp;INDEX(ETAPP!B$1:B$32,MATCH(COUNTIF(Z59:AN59,PVO!A$13),ETAPP!A$1:A$32,0))&amp;INDEX(ETAPP!B$1:B$32,MATCH(COUNTIF(Z59:AN59,PVO!A$14),ETAPP!A$1:A$32,0))&amp;INDEX(ETAPP!B$1:B$32,MATCH(COUNTIF(Z59:AN59,PVO!A$15),ETAPP!A$1:A$32,0))&amp;INDEX(ETAPP!B$1:B$32,MATCH(COUNTIF(Z59:AN59,PVO!A$16),ETAPP!A$1:A$32,0))&amp;INDEX(ETAPP!B$1:B$32,MATCH(COUNTIF(Z59:AN59,PVO!A$17),ETAPP!A$1:A$32,0))&amp;INDEX(ETAPP!B$1:B$32,MATCH(COUNTIF(Z59:AN59,PVO!A$18),ETAPP!A$1:A$32,0))&amp;INDEX(ETAPP!B$1:B$32,MATCH(COUNTIF(Z59:AN59,PVO!A$19),ETAPP!A$1:A$32,0))&amp;INDEX(ETAPP!B$1:B$32,MATCH(COUNTIF(Z59:AN59,PVO!A$20),ETAPP!A$1:A$32,0))&amp;INDEX(ETAPP!B$1:B$32,MATCH(COUNTIF(Z59:AN59,PVO!A$21),ETAPP!A$1:A$32,0))</f>
        <v>0000000A0000000000000</v>
      </c>
      <c r="T59" s="221" t="str">
        <f t="shared" si="49"/>
        <v>013,0-0000000A0000000000000</v>
      </c>
      <c r="U59" s="221">
        <f t="shared" si="50"/>
        <v>53</v>
      </c>
      <c r="V59" s="221">
        <f t="shared" si="51"/>
        <v>39</v>
      </c>
      <c r="W59" s="221" t="str">
        <f t="shared" si="52"/>
        <v>013,0-0000000A0000000000000-039</v>
      </c>
      <c r="X59" s="221">
        <f t="shared" si="53"/>
        <v>53</v>
      </c>
      <c r="Y59" s="222">
        <f t="shared" si="54"/>
        <v>15</v>
      </c>
      <c r="Z59" s="223" t="str">
        <f>IFERROR(INDEX('V1'!C$300:C$400,MATCH("*"&amp;L59&amp;"*",'V1'!B$300:B$400,0)),"  ")</f>
        <v xml:space="preserve">  </v>
      </c>
      <c r="AA59" s="223" t="str">
        <f>IFERROR(INDEX('V2'!C$300:C$400,MATCH("*"&amp;L59&amp;"*",'V2'!B$300:B$400,0)),"  ")</f>
        <v xml:space="preserve">  </v>
      </c>
      <c r="AB59" s="223">
        <f>IFERROR(INDEX('V3'!C$300:C$400,MATCH("*"&amp;L59&amp;"*",'V3'!B$300:B$400,0)),"  ")</f>
        <v>13</v>
      </c>
      <c r="AC59" s="223" t="str">
        <f>IFERROR(INDEX('V4'!C$300:C$400,MATCH("*"&amp;L59&amp;"*",'V4'!B$300:B$400,0)),"  ")</f>
        <v xml:space="preserve">  </v>
      </c>
      <c r="AD59" s="223" t="str">
        <f>IFERROR(INDEX('V5'!C$300:C$400,MATCH("*"&amp;L59&amp;"*",'V5'!B$300:B$400,0)),"  ")</f>
        <v xml:space="preserve">  </v>
      </c>
      <c r="AE59" s="223" t="str">
        <f>IFERROR(INDEX('V6'!C$300:C$400,MATCH("*"&amp;L59&amp;"*",'V6'!B$300:B$400,0)),"  ")</f>
        <v xml:space="preserve">  </v>
      </c>
      <c r="AF59" s="223" t="str">
        <f>IFERROR(INDEX('V7'!C$300:C$400,MATCH("*"&amp;L59&amp;"*",'V7'!B$300:B$400,0)),"  ")</f>
        <v xml:space="preserve">  </v>
      </c>
      <c r="AG59" s="223" t="str">
        <f>IFERROR(INDEX('V8'!C$300:C$400,MATCH("*"&amp;L59&amp;"*",'V8'!B$300:B$400,0)),"  ")</f>
        <v xml:space="preserve">  </v>
      </c>
      <c r="AH59" s="223" t="str">
        <f>IFERROR(INDEX('V9'!C$300:C$400,MATCH("*"&amp;L59&amp;"*",'V9'!B$300:B$400,0)),"  ")</f>
        <v xml:space="preserve">  </v>
      </c>
      <c r="AI59" s="223" t="str">
        <f>IFERROR(INDEX('V10'!C$300:C$400,MATCH("*"&amp;L59&amp;"*",'V10'!B$300:B$400,0)),"  ")</f>
        <v xml:space="preserve">  </v>
      </c>
      <c r="AJ59" s="223" t="str">
        <f>IFERROR(INDEX('V11'!C$300:C$400,MATCH("*"&amp;L59&amp;"*",'V11'!B$300:B$400,0)),"  ")</f>
        <v xml:space="preserve">  </v>
      </c>
      <c r="AK59" s="223" t="str">
        <f>IFERROR(INDEX('V12'!C$300:C$400,MATCH("*"&amp;L59&amp;"*",'V12'!B$300:B$400,0)),"  ")</f>
        <v xml:space="preserve">  </v>
      </c>
      <c r="AL59" s="223" t="str">
        <f>IFERROR(INDEX('V13'!C$300:C$400,MATCH("*"&amp;L59&amp;"*",'V13'!B$300:B$400,0)),"  ")</f>
        <v xml:space="preserve">  </v>
      </c>
      <c r="AM59" s="223"/>
      <c r="AN59" s="223"/>
      <c r="AO59" s="224" t="str">
        <f t="shared" si="55"/>
        <v/>
      </c>
      <c r="AP59" s="627">
        <f t="shared" si="56"/>
        <v>13</v>
      </c>
      <c r="AQ59" s="225">
        <f t="shared" si="57"/>
        <v>53</v>
      </c>
      <c r="AR59" s="226" t="str">
        <f>IFERROR(INDEX(#REF!,MATCH("*"&amp;L59&amp;"*",#REF!,0)),"  ")</f>
        <v xml:space="preserve">  </v>
      </c>
      <c r="AS59" s="227">
        <f t="shared" si="58"/>
        <v>1</v>
      </c>
      <c r="AT59" s="228">
        <f t="shared" si="59"/>
        <v>0</v>
      </c>
      <c r="AU59" s="228">
        <f t="shared" si="60"/>
        <v>0</v>
      </c>
      <c r="AV59" s="156"/>
      <c r="AW59" s="229">
        <f t="shared" si="61"/>
        <v>4.0000000000000002E-4</v>
      </c>
      <c r="AX59" s="230">
        <f t="shared" si="62"/>
        <v>1E-4</v>
      </c>
      <c r="AY59" s="230">
        <f t="shared" si="63"/>
        <v>2.0000000000000001E-4</v>
      </c>
      <c r="AZ59" s="230">
        <f t="shared" si="64"/>
        <v>13.000299999999999</v>
      </c>
      <c r="BA59" s="230">
        <f t="shared" si="65"/>
        <v>4.0000000000000002E-4</v>
      </c>
      <c r="BB59" s="230">
        <f t="shared" si="66"/>
        <v>5.0000000000000001E-4</v>
      </c>
      <c r="BC59" s="230">
        <f t="shared" si="67"/>
        <v>5.9999999999999995E-4</v>
      </c>
      <c r="BD59" s="230">
        <f t="shared" si="68"/>
        <v>6.9999999999999999E-4</v>
      </c>
      <c r="BE59" s="230">
        <f t="shared" si="69"/>
        <v>8.0000000000000004E-4</v>
      </c>
      <c r="BF59" s="230">
        <f t="shared" si="70"/>
        <v>8.9999999999999998E-4</v>
      </c>
      <c r="BG59" s="230">
        <f t="shared" si="71"/>
        <v>1E-3</v>
      </c>
      <c r="BH59" s="230">
        <f t="shared" si="72"/>
        <v>1.1000000000000001E-3</v>
      </c>
      <c r="BI59" s="230">
        <f t="shared" si="73"/>
        <v>1.1999999999999999E-3</v>
      </c>
      <c r="BJ59" s="230">
        <f t="shared" si="74"/>
        <v>1.2999999999999999E-3</v>
      </c>
      <c r="BK59" s="156"/>
    </row>
    <row r="60" spans="1:63" x14ac:dyDescent="0.2">
      <c r="A60" s="208" t="str">
        <f t="shared" si="38"/>
        <v/>
      </c>
      <c r="B60" s="209">
        <f t="shared" si="39"/>
        <v>-945</v>
      </c>
      <c r="C60" s="736" t="str">
        <f t="shared" si="40"/>
        <v/>
      </c>
      <c r="D60" s="565">
        <f t="shared" si="41"/>
        <v>-945</v>
      </c>
      <c r="E60" s="210">
        <f t="shared" si="42"/>
        <v>43</v>
      </c>
      <c r="F60" s="209">
        <f t="shared" si="43"/>
        <v>55</v>
      </c>
      <c r="G60" s="211" t="str">
        <f t="shared" si="44"/>
        <v/>
      </c>
      <c r="H60" s="209">
        <f t="shared" si="45"/>
        <v>-945</v>
      </c>
      <c r="I60" s="212" t="str">
        <f t="shared" si="46"/>
        <v/>
      </c>
      <c r="J60" s="213">
        <f t="shared" si="47"/>
        <v>-945</v>
      </c>
      <c r="K60" s="178">
        <f t="shared" si="48"/>
        <v>54</v>
      </c>
      <c r="L60" s="214" t="s">
        <v>525</v>
      </c>
      <c r="M60" s="215"/>
      <c r="N60" s="216" t="s">
        <v>128</v>
      </c>
      <c r="O60" s="217"/>
      <c r="P60" s="218"/>
      <c r="Q60" s="219"/>
      <c r="R60" s="220">
        <f t="array" ref="R60">(IF(COUNT(Z60,AA60,AB60,AC60,AD60,AE60,AF60,AG60,AH60,AI60,AJ60,AK60,AL60,AM60,AN60)&lt;11,SUM(Z60,AA60,AB60,AC60,AD60,AE60,AF60,AG60,AH60,AI60,AJ60,AK60,AL60,AM60,AN60),SUM(LARGE((Z60,AA60,AB60,AC60,AD60,AE60,AF60,AG60,AH60,AI60,AJ60,AK60,AL60,AM60,AN60),{1;2;3;4;5;6;7;8;9;10}))))</f>
        <v>12</v>
      </c>
      <c r="S60" s="221" t="str">
        <f>INDEX(ETAPP!B$1:B$32,MATCH(COUNTIF(Z60:AN60,PVO!A$1),ETAPP!A$1:A$32,0))&amp;INDEX(ETAPP!B$1:B$32,MATCH(COUNTIF(Z60:AN60,PVO!A$2),ETAPP!A$1:A$32,0))&amp;INDEX(ETAPP!B$1:B$32,MATCH(COUNTIF(Z60:AN60,PVO!A$3),ETAPP!A$1:A$32,0))&amp;INDEX(ETAPP!B$1:B$32,MATCH(COUNTIF(Z60:AN60,PVO!A$4),ETAPP!A$1:A$32,0))&amp;INDEX(ETAPP!B$1:B$32,MATCH(COUNTIF(Z60:AN60,PVO!A$5),ETAPP!A$1:A$32,0))&amp;INDEX(ETAPP!B$1:B$32,MATCH(COUNTIF(Z60:AN60,PVO!A$6),ETAPP!A$1:A$32,0))&amp;INDEX(ETAPP!B$1:B$32,MATCH(COUNTIF(Z60:AN60,PVO!A$7),ETAPP!A$1:A$32,0))&amp;INDEX(ETAPP!B$1:B$32,MATCH(COUNTIF(Z60:AN60,PVO!A$8),ETAPP!A$1:A$32,0))&amp;INDEX(ETAPP!B$1:B$32,MATCH(COUNTIF(Z60:AN60,PVO!A$9),ETAPP!A$1:A$32,0))&amp;INDEX(ETAPP!B$1:B$32,MATCH(COUNTIF(Z60:AN60,PVO!A$10),ETAPP!A$1:A$32,0))&amp;INDEX(ETAPP!B$1:B$32,MATCH(COUNTIF(Z60:AN60,PVO!A$11),ETAPP!A$1:A$32,0))&amp;INDEX(ETAPP!B$1:B$32,MATCH(COUNTIF(Z60:AN60,PVO!A$12),ETAPP!A$1:A$32,0))&amp;INDEX(ETAPP!B$1:B$32,MATCH(COUNTIF(Z60:AN60,PVO!A$13),ETAPP!A$1:A$32,0))&amp;INDEX(ETAPP!B$1:B$32,MATCH(COUNTIF(Z60:AN60,PVO!A$14),ETAPP!A$1:A$32,0))&amp;INDEX(ETAPP!B$1:B$32,MATCH(COUNTIF(Z60:AN60,PVO!A$15),ETAPP!A$1:A$32,0))&amp;INDEX(ETAPP!B$1:B$32,MATCH(COUNTIF(Z60:AN60,PVO!A$16),ETAPP!A$1:A$32,0))&amp;INDEX(ETAPP!B$1:B$32,MATCH(COUNTIF(Z60:AN60,PVO!A$17),ETAPP!A$1:A$32,0))&amp;INDEX(ETAPP!B$1:B$32,MATCH(COUNTIF(Z60:AN60,PVO!A$18),ETAPP!A$1:A$32,0))&amp;INDEX(ETAPP!B$1:B$32,MATCH(COUNTIF(Z60:AN60,PVO!A$19),ETAPP!A$1:A$32,0))&amp;INDEX(ETAPP!B$1:B$32,MATCH(COUNTIF(Z60:AN60,PVO!A$20),ETAPP!A$1:A$32,0))&amp;INDEX(ETAPP!B$1:B$32,MATCH(COUNTIF(Z60:AN60,PVO!A$21),ETAPP!A$1:A$32,0))</f>
        <v>00000000A000000000000</v>
      </c>
      <c r="T60" s="221" t="str">
        <f t="shared" si="49"/>
        <v>012,0-00000000A000000000000</v>
      </c>
      <c r="U60" s="221">
        <f t="shared" si="50"/>
        <v>55</v>
      </c>
      <c r="V60" s="221">
        <f t="shared" si="51"/>
        <v>54</v>
      </c>
      <c r="W60" s="221" t="str">
        <f t="shared" si="52"/>
        <v>012,0-00000000A000000000000-054</v>
      </c>
      <c r="X60" s="221">
        <f t="shared" si="53"/>
        <v>54</v>
      </c>
      <c r="Y60" s="222">
        <f t="shared" si="54"/>
        <v>14</v>
      </c>
      <c r="Z60" s="223" t="str">
        <f>IFERROR(INDEX('V1'!C$300:C$400,MATCH("*"&amp;L60&amp;"*",'V1'!B$300:B$400,0)),"  ")</f>
        <v xml:space="preserve">  </v>
      </c>
      <c r="AA60" s="223" t="str">
        <f>IFERROR(INDEX('V2'!C$300:C$400,MATCH("*"&amp;L60&amp;"*",'V2'!B$300:B$400,0)),"  ")</f>
        <v xml:space="preserve">  </v>
      </c>
      <c r="AB60" s="223" t="str">
        <f>IFERROR(INDEX('V3'!C$300:C$400,MATCH("*"&amp;L60&amp;"*",'V3'!B$300:B$400,0)),"  ")</f>
        <v xml:space="preserve">  </v>
      </c>
      <c r="AC60" s="223" t="str">
        <f>IFERROR(INDEX('V4'!C$300:C$400,MATCH("*"&amp;L60&amp;"*",'V4'!B$300:B$400,0)),"  ")</f>
        <v xml:space="preserve">  </v>
      </c>
      <c r="AD60" s="223" t="str">
        <f>IFERROR(INDEX('V5'!C$300:C$400,MATCH("*"&amp;L60&amp;"*",'V5'!B$300:B$400,0)),"  ")</f>
        <v xml:space="preserve">  </v>
      </c>
      <c r="AE60" s="223" t="str">
        <f>IFERROR(INDEX('V6'!C$300:C$400,MATCH("*"&amp;L60&amp;"*",'V6'!B$300:B$400,0)),"  ")</f>
        <v xml:space="preserve">  </v>
      </c>
      <c r="AF60" s="223" t="str">
        <f>IFERROR(INDEX('V7'!C$300:C$400,MATCH("*"&amp;L60&amp;"*",'V7'!B$300:B$400,0)),"  ")</f>
        <v xml:space="preserve">  </v>
      </c>
      <c r="AG60" s="223" t="str">
        <f>IFERROR(INDEX('V8'!C$300:C$400,MATCH("*"&amp;L60&amp;"*",'V8'!B$300:B$400,0)),"  ")</f>
        <v xml:space="preserve">  </v>
      </c>
      <c r="AH60" s="223">
        <f>IFERROR(INDEX('V9'!C$300:C$400,MATCH("*"&amp;L60&amp;"*",'V9'!B$300:B$400,0)),"  ")</f>
        <v>12</v>
      </c>
      <c r="AI60" s="223" t="str">
        <f>IFERROR(INDEX('V10'!C$300:C$400,MATCH("*"&amp;L60&amp;"*",'V10'!B$300:B$400,0)),"  ")</f>
        <v xml:space="preserve">  </v>
      </c>
      <c r="AJ60" s="223" t="str">
        <f>IFERROR(INDEX('V11'!C$300:C$400,MATCH("*"&amp;L60&amp;"*",'V11'!B$300:B$400,0)),"  ")</f>
        <v xml:space="preserve">  </v>
      </c>
      <c r="AK60" s="223" t="str">
        <f>IFERROR(INDEX('V12'!C$300:C$400,MATCH("*"&amp;L60&amp;"*",'V12'!B$300:B$400,0)),"  ")</f>
        <v xml:space="preserve">  </v>
      </c>
      <c r="AL60" s="223" t="str">
        <f>IFERROR(INDEX('V13'!C$300:C$400,MATCH("*"&amp;L60&amp;"*",'V13'!B$300:B$400,0)),"  ")</f>
        <v xml:space="preserve">  </v>
      </c>
      <c r="AM60" s="223"/>
      <c r="AN60" s="223"/>
      <c r="AO60" s="224" t="str">
        <f t="shared" si="55"/>
        <v/>
      </c>
      <c r="AP60" s="627">
        <f t="shared" si="56"/>
        <v>12</v>
      </c>
      <c r="AQ60" s="225">
        <f t="shared" si="57"/>
        <v>54</v>
      </c>
      <c r="AR60" s="226" t="str">
        <f>IFERROR(INDEX(#REF!,MATCH("*"&amp;L60&amp;"*",#REF!,0)),"  ")</f>
        <v xml:space="preserve">  </v>
      </c>
      <c r="AS60" s="227">
        <f t="shared" si="58"/>
        <v>1</v>
      </c>
      <c r="AT60" s="228">
        <f t="shared" si="59"/>
        <v>0</v>
      </c>
      <c r="AU60" s="228">
        <f t="shared" si="60"/>
        <v>0</v>
      </c>
      <c r="AV60" s="156"/>
      <c r="AW60" s="229">
        <f t="shared" si="61"/>
        <v>2.9999999999999997E-4</v>
      </c>
      <c r="AX60" s="230">
        <f t="shared" si="62"/>
        <v>1E-4</v>
      </c>
      <c r="AY60" s="230">
        <f t="shared" si="63"/>
        <v>2.0000000000000001E-4</v>
      </c>
      <c r="AZ60" s="230">
        <f t="shared" si="64"/>
        <v>2.9999999999999997E-4</v>
      </c>
      <c r="BA60" s="230">
        <f t="shared" si="65"/>
        <v>4.0000000000000002E-4</v>
      </c>
      <c r="BB60" s="230">
        <f t="shared" si="66"/>
        <v>5.0000000000000001E-4</v>
      </c>
      <c r="BC60" s="230">
        <f t="shared" si="67"/>
        <v>5.9999999999999995E-4</v>
      </c>
      <c r="BD60" s="230">
        <f t="shared" si="68"/>
        <v>6.9999999999999999E-4</v>
      </c>
      <c r="BE60" s="230">
        <f t="shared" si="69"/>
        <v>8.0000000000000004E-4</v>
      </c>
      <c r="BF60" s="230">
        <f t="shared" si="70"/>
        <v>12.0009</v>
      </c>
      <c r="BG60" s="230">
        <f t="shared" si="71"/>
        <v>1E-3</v>
      </c>
      <c r="BH60" s="230">
        <f t="shared" si="72"/>
        <v>1.1000000000000001E-3</v>
      </c>
      <c r="BI60" s="230">
        <f t="shared" si="73"/>
        <v>1.1999999999999999E-3</v>
      </c>
      <c r="BJ60" s="230">
        <f t="shared" si="74"/>
        <v>1.2999999999999999E-3</v>
      </c>
      <c r="BK60" s="156"/>
    </row>
    <row r="61" spans="1:63" x14ac:dyDescent="0.2">
      <c r="A61" s="208" t="str">
        <f t="shared" si="38"/>
        <v/>
      </c>
      <c r="B61" s="209">
        <f t="shared" si="39"/>
        <v>-945</v>
      </c>
      <c r="C61" s="736" t="str">
        <f t="shared" si="40"/>
        <v/>
      </c>
      <c r="D61" s="565">
        <f t="shared" si="41"/>
        <v>-945</v>
      </c>
      <c r="E61" s="210" t="str">
        <f t="shared" si="42"/>
        <v/>
      </c>
      <c r="F61" s="209">
        <f t="shared" si="43"/>
        <v>-945</v>
      </c>
      <c r="G61" s="211">
        <f t="shared" si="44"/>
        <v>12</v>
      </c>
      <c r="H61" s="209">
        <f t="shared" si="45"/>
        <v>55</v>
      </c>
      <c r="I61" s="212" t="str">
        <f t="shared" si="46"/>
        <v/>
      </c>
      <c r="J61" s="213">
        <f t="shared" si="47"/>
        <v>-945</v>
      </c>
      <c r="K61" s="178">
        <f t="shared" si="48"/>
        <v>54</v>
      </c>
      <c r="L61" s="232" t="s">
        <v>600</v>
      </c>
      <c r="M61" s="215" t="s">
        <v>135</v>
      </c>
      <c r="N61" s="216"/>
      <c r="O61" s="217"/>
      <c r="P61" s="218"/>
      <c r="Q61" s="219"/>
      <c r="R61" s="220">
        <f t="array" ref="R61">(IF(COUNT(Z61,AA61,AB61,AC61,AD61,AE61,AF61,AG61,AH61,AI61,AJ61,AK61,AL61,AM61,AN61)&lt;11,SUM(Z61,AA61,AB61,AC61,AD61,AE61,AF61,AG61,AH61,AI61,AJ61,AK61,AL61,AM61,AN61),SUM(LARGE((Z61,AA61,AB61,AC61,AD61,AE61,AF61,AG61,AH61,AI61,AJ61,AK61,AL61,AM61,AN61),{1;2;3;4;5;6;7;8;9;10}))))</f>
        <v>12</v>
      </c>
      <c r="S61" s="221" t="str">
        <f>INDEX(ETAPP!B$1:B$32,MATCH(COUNTIF(Z61:AN61,PVO!A$1),ETAPP!A$1:A$32,0))&amp;INDEX(ETAPP!B$1:B$32,MATCH(COUNTIF(Z61:AN61,PVO!A$2),ETAPP!A$1:A$32,0))&amp;INDEX(ETAPP!B$1:B$32,MATCH(COUNTIF(Z61:AN61,PVO!A$3),ETAPP!A$1:A$32,0))&amp;INDEX(ETAPP!B$1:B$32,MATCH(COUNTIF(Z61:AN61,PVO!A$4),ETAPP!A$1:A$32,0))&amp;INDEX(ETAPP!B$1:B$32,MATCH(COUNTIF(Z61:AN61,PVO!A$5),ETAPP!A$1:A$32,0))&amp;INDEX(ETAPP!B$1:B$32,MATCH(COUNTIF(Z61:AN61,PVO!A$6),ETAPP!A$1:A$32,0))&amp;INDEX(ETAPP!B$1:B$32,MATCH(COUNTIF(Z61:AN61,PVO!A$7),ETAPP!A$1:A$32,0))&amp;INDEX(ETAPP!B$1:B$32,MATCH(COUNTIF(Z61:AN61,PVO!A$8),ETAPP!A$1:A$32,0))&amp;INDEX(ETAPP!B$1:B$32,MATCH(COUNTIF(Z61:AN61,PVO!A$9),ETAPP!A$1:A$32,0))&amp;INDEX(ETAPP!B$1:B$32,MATCH(COUNTIF(Z61:AN61,PVO!A$10),ETAPP!A$1:A$32,0))&amp;INDEX(ETAPP!B$1:B$32,MATCH(COUNTIF(Z61:AN61,PVO!A$11),ETAPP!A$1:A$32,0))&amp;INDEX(ETAPP!B$1:B$32,MATCH(COUNTIF(Z61:AN61,PVO!A$12),ETAPP!A$1:A$32,0))&amp;INDEX(ETAPP!B$1:B$32,MATCH(COUNTIF(Z61:AN61,PVO!A$13),ETAPP!A$1:A$32,0))&amp;INDEX(ETAPP!B$1:B$32,MATCH(COUNTIF(Z61:AN61,PVO!A$14),ETAPP!A$1:A$32,0))&amp;INDEX(ETAPP!B$1:B$32,MATCH(COUNTIF(Z61:AN61,PVO!A$15),ETAPP!A$1:A$32,0))&amp;INDEX(ETAPP!B$1:B$32,MATCH(COUNTIF(Z61:AN61,PVO!A$16),ETAPP!A$1:A$32,0))&amp;INDEX(ETAPP!B$1:B$32,MATCH(COUNTIF(Z61:AN61,PVO!A$17),ETAPP!A$1:A$32,0))&amp;INDEX(ETAPP!B$1:B$32,MATCH(COUNTIF(Z61:AN61,PVO!A$18),ETAPP!A$1:A$32,0))&amp;INDEX(ETAPP!B$1:B$32,MATCH(COUNTIF(Z61:AN61,PVO!A$19),ETAPP!A$1:A$32,0))&amp;INDEX(ETAPP!B$1:B$32,MATCH(COUNTIF(Z61:AN61,PVO!A$20),ETAPP!A$1:A$32,0))&amp;INDEX(ETAPP!B$1:B$32,MATCH(COUNTIF(Z61:AN61,PVO!A$21),ETAPP!A$1:A$32,0))</f>
        <v>00000000A000000000000</v>
      </c>
      <c r="T61" s="221" t="str">
        <f t="shared" si="49"/>
        <v>012,0-00000000A000000000000</v>
      </c>
      <c r="U61" s="221">
        <f t="shared" si="50"/>
        <v>55</v>
      </c>
      <c r="V61" s="221">
        <f t="shared" si="51"/>
        <v>50</v>
      </c>
      <c r="W61" s="221" t="str">
        <f t="shared" si="52"/>
        <v>012,0-00000000A000000000000-050</v>
      </c>
      <c r="X61" s="221">
        <f t="shared" si="53"/>
        <v>55</v>
      </c>
      <c r="Y61" s="222">
        <f t="shared" si="54"/>
        <v>13</v>
      </c>
      <c r="Z61" s="223" t="str">
        <f>IFERROR(INDEX('V1'!C$300:C$400,MATCH("*"&amp;L61&amp;"*",'V1'!B$300:B$400,0)),"  ")</f>
        <v xml:space="preserve">  </v>
      </c>
      <c r="AA61" s="223" t="str">
        <f>IFERROR(INDEX('V2'!C$300:C$400,MATCH("*"&amp;L61&amp;"*",'V2'!B$300:B$400,0)),"  ")</f>
        <v xml:space="preserve">  </v>
      </c>
      <c r="AB61" s="223" t="str">
        <f>IFERROR(INDEX('V3'!C$300:C$400,MATCH("*"&amp;L61&amp;"*",'V3'!B$300:B$400,0)),"  ")</f>
        <v xml:space="preserve">  </v>
      </c>
      <c r="AC61" s="223" t="str">
        <f>IFERROR(INDEX('V4'!C$300:C$400,MATCH("*"&amp;L61&amp;"*",'V4'!B$300:B$400,0)),"  ")</f>
        <v xml:space="preserve">  </v>
      </c>
      <c r="AD61" s="223" t="str">
        <f>IFERROR(INDEX('V5'!C$300:C$400,MATCH("*"&amp;L61&amp;"*",'V5'!B$300:B$400,0)),"  ")</f>
        <v xml:space="preserve">  </v>
      </c>
      <c r="AE61" s="223" t="str">
        <f>IFERROR(INDEX('V6'!C$300:C$400,MATCH("*"&amp;L61&amp;"*",'V6'!B$300:B$400,0)),"  ")</f>
        <v xml:space="preserve">  </v>
      </c>
      <c r="AF61" s="223" t="str">
        <f>IFERROR(INDEX('V7'!C$300:C$400,MATCH("*"&amp;L61&amp;"*",'V7'!B$300:B$400,0)),"  ")</f>
        <v xml:space="preserve">  </v>
      </c>
      <c r="AG61" s="223" t="str">
        <f>IFERROR(INDEX('V8'!C$300:C$400,MATCH("*"&amp;L61&amp;"*",'V8'!B$300:B$400,0)),"  ")</f>
        <v xml:space="preserve">  </v>
      </c>
      <c r="AH61" s="223" t="str">
        <f>IFERROR(INDEX('V9'!C$300:C$400,MATCH("*"&amp;L61&amp;"*",'V9'!B$300:B$400,0)),"  ")</f>
        <v xml:space="preserve">  </v>
      </c>
      <c r="AI61" s="223">
        <f>IFERROR(INDEX('V10'!C$300:C$400,MATCH("*"&amp;L61&amp;"*",'V10'!B$300:B$400,0)),"  ")</f>
        <v>12</v>
      </c>
      <c r="AJ61" s="223" t="str">
        <f>IFERROR(INDEX('V11'!C$300:C$400,MATCH("*"&amp;L61&amp;"*",'V11'!B$300:B$400,0)),"  ")</f>
        <v xml:space="preserve">  </v>
      </c>
      <c r="AK61" s="223" t="str">
        <f>IFERROR(INDEX('V12'!C$300:C$400,MATCH("*"&amp;L61&amp;"*",'V12'!B$300:B$400,0)),"  ")</f>
        <v xml:space="preserve">  </v>
      </c>
      <c r="AL61" s="223" t="str">
        <f>IFERROR(INDEX('V13'!C$300:C$400,MATCH("*"&amp;L61&amp;"*",'V13'!B$300:B$400,0)),"  ")</f>
        <v xml:space="preserve">  </v>
      </c>
      <c r="AM61" s="223"/>
      <c r="AN61" s="223"/>
      <c r="AO61" s="224" t="str">
        <f t="shared" si="55"/>
        <v/>
      </c>
      <c r="AP61" s="627">
        <f t="shared" si="56"/>
        <v>12</v>
      </c>
      <c r="AQ61" s="225">
        <f t="shared" si="57"/>
        <v>54</v>
      </c>
      <c r="AR61" s="226" t="str">
        <f>IFERROR(INDEX(#REF!,MATCH("*"&amp;L61&amp;"*",#REF!,0)),"  ")</f>
        <v xml:space="preserve">  </v>
      </c>
      <c r="AS61" s="227">
        <f t="shared" si="58"/>
        <v>1</v>
      </c>
      <c r="AT61" s="228">
        <f t="shared" si="59"/>
        <v>0</v>
      </c>
      <c r="AU61" s="228">
        <f t="shared" si="60"/>
        <v>0</v>
      </c>
      <c r="AV61" s="156"/>
      <c r="AW61" s="229">
        <f t="shared" si="61"/>
        <v>2.9999999999999997E-4</v>
      </c>
      <c r="AX61" s="230">
        <f t="shared" si="62"/>
        <v>1E-4</v>
      </c>
      <c r="AY61" s="230">
        <f t="shared" si="63"/>
        <v>2.0000000000000001E-4</v>
      </c>
      <c r="AZ61" s="230">
        <f t="shared" si="64"/>
        <v>2.9999999999999997E-4</v>
      </c>
      <c r="BA61" s="230">
        <f t="shared" si="65"/>
        <v>4.0000000000000002E-4</v>
      </c>
      <c r="BB61" s="230">
        <f t="shared" si="66"/>
        <v>5.0000000000000001E-4</v>
      </c>
      <c r="BC61" s="230">
        <f t="shared" si="67"/>
        <v>5.9999999999999995E-4</v>
      </c>
      <c r="BD61" s="230">
        <f t="shared" si="68"/>
        <v>6.9999999999999999E-4</v>
      </c>
      <c r="BE61" s="230">
        <f t="shared" si="69"/>
        <v>8.0000000000000004E-4</v>
      </c>
      <c r="BF61" s="230">
        <f t="shared" si="70"/>
        <v>8.9999999999999998E-4</v>
      </c>
      <c r="BG61" s="230">
        <f t="shared" si="71"/>
        <v>12.000999999999999</v>
      </c>
      <c r="BH61" s="230">
        <f t="shared" si="72"/>
        <v>1.1000000000000001E-3</v>
      </c>
      <c r="BI61" s="230">
        <f t="shared" si="73"/>
        <v>1.1999999999999999E-3</v>
      </c>
      <c r="BJ61" s="230">
        <f t="shared" si="74"/>
        <v>1.2999999999999999E-3</v>
      </c>
      <c r="BK61" s="156"/>
    </row>
    <row r="62" spans="1:63" x14ac:dyDescent="0.2">
      <c r="A62" s="208" t="str">
        <f t="shared" si="38"/>
        <v/>
      </c>
      <c r="B62" s="209">
        <f t="shared" si="39"/>
        <v>-944</v>
      </c>
      <c r="C62" s="736" t="str">
        <f t="shared" si="40"/>
        <v/>
      </c>
      <c r="D62" s="565">
        <f t="shared" si="41"/>
        <v>-944</v>
      </c>
      <c r="E62" s="210" t="str">
        <f t="shared" si="42"/>
        <v/>
      </c>
      <c r="F62" s="209">
        <f t="shared" si="43"/>
        <v>-944</v>
      </c>
      <c r="G62" s="211" t="str">
        <f t="shared" si="44"/>
        <v/>
      </c>
      <c r="H62" s="209">
        <f t="shared" si="45"/>
        <v>-944</v>
      </c>
      <c r="I62" s="212">
        <f t="shared" si="46"/>
        <v>7</v>
      </c>
      <c r="J62" s="213">
        <f t="shared" si="47"/>
        <v>56</v>
      </c>
      <c r="K62" s="178">
        <f t="shared" si="48"/>
        <v>56</v>
      </c>
      <c r="L62" s="232" t="s">
        <v>321</v>
      </c>
      <c r="M62" s="215"/>
      <c r="N62" s="216"/>
      <c r="O62" s="250" t="s">
        <v>142</v>
      </c>
      <c r="P62" s="218"/>
      <c r="Q62" s="219"/>
      <c r="R62" s="220">
        <f t="array" ref="R62">(IF(COUNT(Z62,AA62,AB62,AC62,AD62,AE62,AF62,AG62,AH62,AI62,AJ62,AK62,AL62,AM62,AN62)&lt;11,SUM(Z62,AA62,AB62,AC62,AD62,AE62,AF62,AG62,AH62,AI62,AJ62,AK62,AL62,AM62,AN62),SUM(LARGE((Z62,AA62,AB62,AC62,AD62,AE62,AF62,AG62,AH62,AI62,AJ62,AK62,AL62,AM62,AN62),{1;2;3;4;5;6;7;8;9;10}))))</f>
        <v>12</v>
      </c>
      <c r="S62" s="221" t="str">
        <f>INDEX(ETAPP!B$1:B$32,MATCH(COUNTIF(Z62:AN62,PVO!A$1),ETAPP!A$1:A$32,0))&amp;INDEX(ETAPP!B$1:B$32,MATCH(COUNTIF(Z62:AN62,PVO!A$2),ETAPP!A$1:A$32,0))&amp;INDEX(ETAPP!B$1:B$32,MATCH(COUNTIF(Z62:AN62,PVO!A$3),ETAPP!A$1:A$32,0))&amp;INDEX(ETAPP!B$1:B$32,MATCH(COUNTIF(Z62:AN62,PVO!A$4),ETAPP!A$1:A$32,0))&amp;INDEX(ETAPP!B$1:B$32,MATCH(COUNTIF(Z62:AN62,PVO!A$5),ETAPP!A$1:A$32,0))&amp;INDEX(ETAPP!B$1:B$32,MATCH(COUNTIF(Z62:AN62,PVO!A$6),ETAPP!A$1:A$32,0))&amp;INDEX(ETAPP!B$1:B$32,MATCH(COUNTIF(Z62:AN62,PVO!A$7),ETAPP!A$1:A$32,0))&amp;INDEX(ETAPP!B$1:B$32,MATCH(COUNTIF(Z62:AN62,PVO!A$8),ETAPP!A$1:A$32,0))&amp;INDEX(ETAPP!B$1:B$32,MATCH(COUNTIF(Z62:AN62,PVO!A$9),ETAPP!A$1:A$32,0))&amp;INDEX(ETAPP!B$1:B$32,MATCH(COUNTIF(Z62:AN62,PVO!A$10),ETAPP!A$1:A$32,0))&amp;INDEX(ETAPP!B$1:B$32,MATCH(COUNTIF(Z62:AN62,PVO!A$11),ETAPP!A$1:A$32,0))&amp;INDEX(ETAPP!B$1:B$32,MATCH(COUNTIF(Z62:AN62,PVO!A$12),ETAPP!A$1:A$32,0))&amp;INDEX(ETAPP!B$1:B$32,MATCH(COUNTIF(Z62:AN62,PVO!A$13),ETAPP!A$1:A$32,0))&amp;INDEX(ETAPP!B$1:B$32,MATCH(COUNTIF(Z62:AN62,PVO!A$14),ETAPP!A$1:A$32,0))&amp;INDEX(ETAPP!B$1:B$32,MATCH(COUNTIF(Z62:AN62,PVO!A$15),ETAPP!A$1:A$32,0))&amp;INDEX(ETAPP!B$1:B$32,MATCH(COUNTIF(Z62:AN62,PVO!A$16),ETAPP!A$1:A$32,0))&amp;INDEX(ETAPP!B$1:B$32,MATCH(COUNTIF(Z62:AN62,PVO!A$17),ETAPP!A$1:A$32,0))&amp;INDEX(ETAPP!B$1:B$32,MATCH(COUNTIF(Z62:AN62,PVO!A$18),ETAPP!A$1:A$32,0))&amp;INDEX(ETAPP!B$1:B$32,MATCH(COUNTIF(Z62:AN62,PVO!A$19),ETAPP!A$1:A$32,0))&amp;INDEX(ETAPP!B$1:B$32,MATCH(COUNTIF(Z62:AN62,PVO!A$20),ETAPP!A$1:A$32,0))&amp;INDEX(ETAPP!B$1:B$32,MATCH(COUNTIF(Z62:AN62,PVO!A$21),ETAPP!A$1:A$32,0))</f>
        <v>00000000000A00000A000</v>
      </c>
      <c r="T62" s="221" t="str">
        <f t="shared" si="49"/>
        <v>012,0-00000000000A00000A000</v>
      </c>
      <c r="U62" s="221">
        <f t="shared" si="50"/>
        <v>56</v>
      </c>
      <c r="V62" s="221">
        <f t="shared" si="51"/>
        <v>18</v>
      </c>
      <c r="W62" s="221" t="str">
        <f t="shared" si="52"/>
        <v>012,0-00000000000A00000A000-018</v>
      </c>
      <c r="X62" s="221">
        <f t="shared" si="53"/>
        <v>56</v>
      </c>
      <c r="Y62" s="222">
        <f t="shared" si="54"/>
        <v>12</v>
      </c>
      <c r="Z62" s="223" t="str">
        <f>IFERROR(INDEX('V1'!C$300:C$400,MATCH("*"&amp;L62&amp;"*",'V1'!B$300:B$400,0)),"  ")</f>
        <v xml:space="preserve">  </v>
      </c>
      <c r="AA62" s="223">
        <f>IFERROR(INDEX('V2'!C$300:C$400,MATCH("*"&amp;L62&amp;"*",'V2'!B$300:B$400,0)),"  ")</f>
        <v>3</v>
      </c>
      <c r="AB62" s="223" t="str">
        <f>IFERROR(INDEX('V3'!C$300:C$400,MATCH("*"&amp;L62&amp;"*",'V3'!B$300:B$400,0)),"  ")</f>
        <v xml:space="preserve">  </v>
      </c>
      <c r="AC62" s="223" t="str">
        <f>IFERROR(INDEX('V4'!C$300:C$400,MATCH("*"&amp;L62&amp;"*",'V4'!B$300:B$400,0)),"  ")</f>
        <v xml:space="preserve">  </v>
      </c>
      <c r="AD62" s="223">
        <f>IFERROR(INDEX('V5'!C$300:C$400,MATCH("*"&amp;L62&amp;"*",'V5'!B$300:B$400,0)),"  ")</f>
        <v>9</v>
      </c>
      <c r="AE62" s="223" t="str">
        <f>IFERROR(INDEX('V6'!C$300:C$400,MATCH("*"&amp;L62&amp;"*",'V6'!B$300:B$400,0)),"  ")</f>
        <v xml:space="preserve">  </v>
      </c>
      <c r="AF62" s="223" t="str">
        <f>IFERROR(INDEX('V7'!C$300:C$400,MATCH("*"&amp;L62&amp;"*",'V7'!B$300:B$400,0)),"  ")</f>
        <v xml:space="preserve">  </v>
      </c>
      <c r="AG62" s="223" t="str">
        <f>IFERROR(INDEX('V8'!C$300:C$400,MATCH("*"&amp;L62&amp;"*",'V8'!B$300:B$400,0)),"  ")</f>
        <v xml:space="preserve">  </v>
      </c>
      <c r="AH62" s="223" t="str">
        <f>IFERROR(INDEX('V9'!C$300:C$400,MATCH("*"&amp;L62&amp;"*",'V9'!B$300:B$400,0)),"  ")</f>
        <v xml:space="preserve">  </v>
      </c>
      <c r="AI62" s="223" t="str">
        <f>IFERROR(INDEX('V10'!C$300:C$400,MATCH("*"&amp;L62&amp;"*",'V10'!B$300:B$400,0)),"  ")</f>
        <v xml:space="preserve">  </v>
      </c>
      <c r="AJ62" s="223" t="str">
        <f>IFERROR(INDEX('V11'!C$300:C$400,MATCH("*"&amp;L62&amp;"*",'V11'!B$300:B$400,0)),"  ")</f>
        <v xml:space="preserve">  </v>
      </c>
      <c r="AK62" s="223" t="str">
        <f>IFERROR(INDEX('V12'!C$300:C$400,MATCH("*"&amp;L62&amp;"*",'V12'!B$300:B$400,0)),"  ")</f>
        <v xml:space="preserve">  </v>
      </c>
      <c r="AL62" s="223" t="str">
        <f>IFERROR(INDEX('V13'!C$300:C$400,MATCH("*"&amp;L62&amp;"*",'V13'!B$300:B$400,0)),"  ")</f>
        <v xml:space="preserve">  </v>
      </c>
      <c r="AM62" s="223"/>
      <c r="AN62" s="223"/>
      <c r="AO62" s="224" t="str">
        <f t="shared" si="55"/>
        <v/>
      </c>
      <c r="AP62" s="627">
        <f t="shared" si="56"/>
        <v>12</v>
      </c>
      <c r="AQ62" s="225">
        <f t="shared" si="57"/>
        <v>56</v>
      </c>
      <c r="AR62" s="226" t="str">
        <f>IFERROR(INDEX(#REF!,MATCH("*"&amp;L62&amp;"*",#REF!,0)),"  ")</f>
        <v xml:space="preserve">  </v>
      </c>
      <c r="AS62" s="227">
        <f t="shared" si="58"/>
        <v>2</v>
      </c>
      <c r="AT62" s="228">
        <f t="shared" si="59"/>
        <v>0</v>
      </c>
      <c r="AU62" s="228">
        <f t="shared" si="60"/>
        <v>0</v>
      </c>
      <c r="AV62" s="156"/>
      <c r="AW62" s="229">
        <f t="shared" si="61"/>
        <v>4.0000000000000002E-4</v>
      </c>
      <c r="AX62" s="230">
        <f t="shared" si="62"/>
        <v>1E-4</v>
      </c>
      <c r="AY62" s="230">
        <f t="shared" si="63"/>
        <v>3.0002</v>
      </c>
      <c r="AZ62" s="230">
        <f t="shared" si="64"/>
        <v>2.9999999999999997E-4</v>
      </c>
      <c r="BA62" s="230">
        <f t="shared" si="65"/>
        <v>4.0000000000000002E-4</v>
      </c>
      <c r="BB62" s="230">
        <f t="shared" si="66"/>
        <v>9.0005000000000006</v>
      </c>
      <c r="BC62" s="230">
        <f t="shared" si="67"/>
        <v>5.9999999999999995E-4</v>
      </c>
      <c r="BD62" s="230">
        <f t="shared" si="68"/>
        <v>6.9999999999999999E-4</v>
      </c>
      <c r="BE62" s="230">
        <f t="shared" si="69"/>
        <v>8.0000000000000004E-4</v>
      </c>
      <c r="BF62" s="230">
        <f t="shared" si="70"/>
        <v>8.9999999999999998E-4</v>
      </c>
      <c r="BG62" s="230">
        <f t="shared" si="71"/>
        <v>1E-3</v>
      </c>
      <c r="BH62" s="230">
        <f t="shared" si="72"/>
        <v>1.1000000000000001E-3</v>
      </c>
      <c r="BI62" s="230">
        <f t="shared" si="73"/>
        <v>1.1999999999999999E-3</v>
      </c>
      <c r="BJ62" s="230">
        <f t="shared" si="74"/>
        <v>1.2999999999999999E-3</v>
      </c>
      <c r="BK62" s="156"/>
    </row>
    <row r="63" spans="1:63" x14ac:dyDescent="0.2">
      <c r="A63" s="208" t="str">
        <f t="shared" si="38"/>
        <v/>
      </c>
      <c r="B63" s="209">
        <f t="shared" si="39"/>
        <v>-942</v>
      </c>
      <c r="C63" s="736" t="str">
        <f t="shared" si="40"/>
        <v/>
      </c>
      <c r="D63" s="565">
        <f t="shared" si="41"/>
        <v>-942</v>
      </c>
      <c r="E63" s="210">
        <f t="shared" si="42"/>
        <v>44</v>
      </c>
      <c r="F63" s="209">
        <f t="shared" si="43"/>
        <v>58</v>
      </c>
      <c r="G63" s="211" t="str">
        <f t="shared" si="44"/>
        <v/>
      </c>
      <c r="H63" s="209">
        <f t="shared" si="45"/>
        <v>-942</v>
      </c>
      <c r="I63" s="212" t="str">
        <f t="shared" si="46"/>
        <v/>
      </c>
      <c r="J63" s="213">
        <f t="shared" si="47"/>
        <v>-942</v>
      </c>
      <c r="K63" s="178">
        <f t="shared" si="48"/>
        <v>57</v>
      </c>
      <c r="L63" s="214" t="s">
        <v>369</v>
      </c>
      <c r="M63" s="215"/>
      <c r="N63" s="216" t="s">
        <v>128</v>
      </c>
      <c r="O63" s="217"/>
      <c r="P63" s="218"/>
      <c r="Q63" s="219"/>
      <c r="R63" s="220">
        <f t="array" ref="R63">(IF(COUNT(Z63,AA63,AB63,AC63,AD63,AE63,AF63,AG63,AH63,AI63,AJ63,AK63,AL63,AM63,AN63)&lt;11,SUM(Z63,AA63,AB63,AC63,AD63,AE63,AF63,AG63,AH63,AI63,AJ63,AK63,AL63,AM63,AN63),SUM(LARGE((Z63,AA63,AB63,AC63,AD63,AE63,AF63,AG63,AH63,AI63,AJ63,AK63,AL63,AM63,AN63),{1;2;3;4;5;6;7;8;9;10}))))</f>
        <v>10</v>
      </c>
      <c r="S63" s="221" t="str">
        <f>INDEX(ETAPP!B$1:B$32,MATCH(COUNTIF(Z63:AN63,PVO!A$1),ETAPP!A$1:A$32,0))&amp;INDEX(ETAPP!B$1:B$32,MATCH(COUNTIF(Z63:AN63,PVO!A$2),ETAPP!A$1:A$32,0))&amp;INDEX(ETAPP!B$1:B$32,MATCH(COUNTIF(Z63:AN63,PVO!A$3),ETAPP!A$1:A$32,0))&amp;INDEX(ETAPP!B$1:B$32,MATCH(COUNTIF(Z63:AN63,PVO!A$4),ETAPP!A$1:A$32,0))&amp;INDEX(ETAPP!B$1:B$32,MATCH(COUNTIF(Z63:AN63,PVO!A$5),ETAPP!A$1:A$32,0))&amp;INDEX(ETAPP!B$1:B$32,MATCH(COUNTIF(Z63:AN63,PVO!A$6),ETAPP!A$1:A$32,0))&amp;INDEX(ETAPP!B$1:B$32,MATCH(COUNTIF(Z63:AN63,PVO!A$7),ETAPP!A$1:A$32,0))&amp;INDEX(ETAPP!B$1:B$32,MATCH(COUNTIF(Z63:AN63,PVO!A$8),ETAPP!A$1:A$32,0))&amp;INDEX(ETAPP!B$1:B$32,MATCH(COUNTIF(Z63:AN63,PVO!A$9),ETAPP!A$1:A$32,0))&amp;INDEX(ETAPP!B$1:B$32,MATCH(COUNTIF(Z63:AN63,PVO!A$10),ETAPP!A$1:A$32,0))&amp;INDEX(ETAPP!B$1:B$32,MATCH(COUNTIF(Z63:AN63,PVO!A$11),ETAPP!A$1:A$32,0))&amp;INDEX(ETAPP!B$1:B$32,MATCH(COUNTIF(Z63:AN63,PVO!A$12),ETAPP!A$1:A$32,0))&amp;INDEX(ETAPP!B$1:B$32,MATCH(COUNTIF(Z63:AN63,PVO!A$13),ETAPP!A$1:A$32,0))&amp;INDEX(ETAPP!B$1:B$32,MATCH(COUNTIF(Z63:AN63,PVO!A$14),ETAPP!A$1:A$32,0))&amp;INDEX(ETAPP!B$1:B$32,MATCH(COUNTIF(Z63:AN63,PVO!A$15),ETAPP!A$1:A$32,0))&amp;INDEX(ETAPP!B$1:B$32,MATCH(COUNTIF(Z63:AN63,PVO!A$16),ETAPP!A$1:A$32,0))&amp;INDEX(ETAPP!B$1:B$32,MATCH(COUNTIF(Z63:AN63,PVO!A$17),ETAPP!A$1:A$32,0))&amp;INDEX(ETAPP!B$1:B$32,MATCH(COUNTIF(Z63:AN63,PVO!A$18),ETAPP!A$1:A$32,0))&amp;INDEX(ETAPP!B$1:B$32,MATCH(COUNTIF(Z63:AN63,PVO!A$19),ETAPP!A$1:A$32,0))&amp;INDEX(ETAPP!B$1:B$32,MATCH(COUNTIF(Z63:AN63,PVO!A$20),ETAPP!A$1:A$32,0))&amp;INDEX(ETAPP!B$1:B$32,MATCH(COUNTIF(Z63:AN63,PVO!A$21),ETAPP!A$1:A$32,0))</f>
        <v>0000000000A0000000000</v>
      </c>
      <c r="T63" s="221" t="str">
        <f t="shared" si="49"/>
        <v>010,0-0000000000A0000000000</v>
      </c>
      <c r="U63" s="221">
        <f t="shared" si="50"/>
        <v>58</v>
      </c>
      <c r="V63" s="221">
        <f t="shared" si="51"/>
        <v>64</v>
      </c>
      <c r="W63" s="221" t="str">
        <f t="shared" si="52"/>
        <v>010,0-0000000000A0000000000-064</v>
      </c>
      <c r="X63" s="221">
        <f t="shared" si="53"/>
        <v>57</v>
      </c>
      <c r="Y63" s="222">
        <f t="shared" si="54"/>
        <v>11</v>
      </c>
      <c r="Z63" s="223" t="str">
        <f>IFERROR(INDEX('V1'!C$300:C$400,MATCH("*"&amp;L63&amp;"*",'V1'!B$300:B$400,0)),"  ")</f>
        <v xml:space="preserve">  </v>
      </c>
      <c r="AA63" s="223" t="str">
        <f>IFERROR(INDEX('V2'!C$300:C$400,MATCH("*"&amp;L63&amp;"*",'V2'!B$300:B$400,0)),"  ")</f>
        <v xml:space="preserve">  </v>
      </c>
      <c r="AB63" s="223">
        <f>IFERROR(INDEX('V3'!C$300:C$400,MATCH("*"&amp;L63&amp;"*",'V3'!B$300:B$400,0)),"  ")</f>
        <v>10</v>
      </c>
      <c r="AC63" s="223" t="str">
        <f>IFERROR(INDEX('V4'!C$300:C$400,MATCH("*"&amp;L63&amp;"*",'V4'!B$300:B$400,0)),"  ")</f>
        <v xml:space="preserve">  </v>
      </c>
      <c r="AD63" s="223" t="str">
        <f>IFERROR(INDEX('V5'!C$300:C$400,MATCH("*"&amp;L63&amp;"*",'V5'!B$300:B$400,0)),"  ")</f>
        <v xml:space="preserve">  </v>
      </c>
      <c r="AE63" s="223" t="str">
        <f>IFERROR(INDEX('V6'!C$300:C$400,MATCH("*"&amp;L63&amp;"*",'V6'!B$300:B$400,0)),"  ")</f>
        <v xml:space="preserve">  </v>
      </c>
      <c r="AF63" s="223" t="str">
        <f>IFERROR(INDEX('V7'!C$300:C$400,MATCH("*"&amp;L63&amp;"*",'V7'!B$300:B$400,0)),"  ")</f>
        <v xml:space="preserve">  </v>
      </c>
      <c r="AG63" s="223" t="str">
        <f>IFERROR(INDEX('V8'!C$300:C$400,MATCH("*"&amp;L63&amp;"*",'V8'!B$300:B$400,0)),"  ")</f>
        <v xml:space="preserve">  </v>
      </c>
      <c r="AH63" s="223" t="str">
        <f>IFERROR(INDEX('V9'!C$300:C$400,MATCH("*"&amp;L63&amp;"*",'V9'!B$300:B$400,0)),"  ")</f>
        <v xml:space="preserve">  </v>
      </c>
      <c r="AI63" s="223" t="str">
        <f>IFERROR(INDEX('V10'!C$300:C$400,MATCH("*"&amp;L63&amp;"*",'V10'!B$300:B$400,0)),"  ")</f>
        <v xml:space="preserve">  </v>
      </c>
      <c r="AJ63" s="223" t="str">
        <f>IFERROR(INDEX('V11'!C$300:C$400,MATCH("*"&amp;L63&amp;"*",'V11'!B$300:B$400,0)),"  ")</f>
        <v xml:space="preserve">  </v>
      </c>
      <c r="AK63" s="223" t="str">
        <f>IFERROR(INDEX('V12'!C$300:C$400,MATCH("*"&amp;L63&amp;"*",'V12'!B$300:B$400,0)),"  ")</f>
        <v xml:space="preserve">  </v>
      </c>
      <c r="AL63" s="223" t="str">
        <f>IFERROR(INDEX('V13'!C$300:C$400,MATCH("*"&amp;L63&amp;"*",'V13'!B$300:B$400,0)),"  ")</f>
        <v xml:space="preserve">  </v>
      </c>
      <c r="AM63" s="223"/>
      <c r="AN63" s="223"/>
      <c r="AO63" s="224" t="str">
        <f t="shared" si="55"/>
        <v/>
      </c>
      <c r="AP63" s="627">
        <f t="shared" si="56"/>
        <v>10</v>
      </c>
      <c r="AQ63" s="225">
        <f t="shared" si="57"/>
        <v>57</v>
      </c>
      <c r="AR63" s="226" t="str">
        <f>IFERROR(INDEX(#REF!,MATCH("*"&amp;L63&amp;"*",#REF!,0)),"  ")</f>
        <v xml:space="preserve">  </v>
      </c>
      <c r="AS63" s="227">
        <f t="shared" si="58"/>
        <v>1</v>
      </c>
      <c r="AT63" s="228">
        <f t="shared" si="59"/>
        <v>0</v>
      </c>
      <c r="AU63" s="228">
        <f t="shared" si="60"/>
        <v>0</v>
      </c>
      <c r="AV63" s="156"/>
      <c r="AW63" s="229">
        <f t="shared" si="61"/>
        <v>4.0000000000000002E-4</v>
      </c>
      <c r="AX63" s="230">
        <f t="shared" si="62"/>
        <v>1E-4</v>
      </c>
      <c r="AY63" s="230">
        <f t="shared" si="63"/>
        <v>2.0000000000000001E-4</v>
      </c>
      <c r="AZ63" s="230">
        <f t="shared" si="64"/>
        <v>10.000299999999999</v>
      </c>
      <c r="BA63" s="230">
        <f t="shared" si="65"/>
        <v>4.0000000000000002E-4</v>
      </c>
      <c r="BB63" s="230">
        <f t="shared" si="66"/>
        <v>5.0000000000000001E-4</v>
      </c>
      <c r="BC63" s="230">
        <f t="shared" si="67"/>
        <v>5.9999999999999995E-4</v>
      </c>
      <c r="BD63" s="230">
        <f t="shared" si="68"/>
        <v>6.9999999999999999E-4</v>
      </c>
      <c r="BE63" s="230">
        <f t="shared" si="69"/>
        <v>8.0000000000000004E-4</v>
      </c>
      <c r="BF63" s="230">
        <f t="shared" si="70"/>
        <v>8.9999999999999998E-4</v>
      </c>
      <c r="BG63" s="230">
        <f t="shared" si="71"/>
        <v>1E-3</v>
      </c>
      <c r="BH63" s="230">
        <f t="shared" si="72"/>
        <v>1.1000000000000001E-3</v>
      </c>
      <c r="BI63" s="230">
        <f t="shared" si="73"/>
        <v>1.1999999999999999E-3</v>
      </c>
      <c r="BJ63" s="230">
        <f t="shared" si="74"/>
        <v>1.2999999999999999E-3</v>
      </c>
      <c r="BK63" s="156"/>
    </row>
    <row r="64" spans="1:63" x14ac:dyDescent="0.2">
      <c r="A64" s="208">
        <f t="shared" si="38"/>
        <v>29</v>
      </c>
      <c r="B64" s="209">
        <f t="shared" si="39"/>
        <v>58</v>
      </c>
      <c r="C64" s="736">
        <f t="shared" si="40"/>
        <v>19</v>
      </c>
      <c r="D64" s="565">
        <f t="shared" si="41"/>
        <v>58</v>
      </c>
      <c r="E64" s="210" t="str">
        <f t="shared" si="42"/>
        <v/>
      </c>
      <c r="F64" s="209">
        <f t="shared" si="43"/>
        <v>-942</v>
      </c>
      <c r="G64" s="211">
        <f t="shared" si="44"/>
        <v>13</v>
      </c>
      <c r="H64" s="209">
        <f t="shared" si="45"/>
        <v>58</v>
      </c>
      <c r="I64" s="212" t="str">
        <f t="shared" si="46"/>
        <v/>
      </c>
      <c r="J64" s="213">
        <f t="shared" si="47"/>
        <v>-942</v>
      </c>
      <c r="K64" s="178">
        <f t="shared" si="48"/>
        <v>57</v>
      </c>
      <c r="L64" s="242" t="s">
        <v>154</v>
      </c>
      <c r="M64" s="215" t="s">
        <v>135</v>
      </c>
      <c r="N64" s="216" t="str">
        <f>IF(M64="","m","")</f>
        <v/>
      </c>
      <c r="O64" s="217"/>
      <c r="P64" s="218" t="s">
        <v>478</v>
      </c>
      <c r="Q64" s="219" t="s">
        <v>124</v>
      </c>
      <c r="R64" s="220">
        <f t="array" ref="R64">(IF(COUNT(Z64,AA64,AB64,AC64,AD64,AE64,AF64,AG64,AH64,AI64,AJ64,AK64,AL64,AM64,AN64)&lt;11,SUM(Z64,AA64,AB64,AC64,AD64,AE64,AF64,AG64,AH64,AI64,AJ64,AK64,AL64,AM64,AN64),SUM(LARGE((Z64,AA64,AB64,AC64,AD64,AE64,AF64,AG64,AH64,AI64,AJ64,AK64,AL64,AM64,AN64),{1;2;3;4;5;6;7;8;9;10}))))</f>
        <v>10</v>
      </c>
      <c r="S64" s="221" t="str">
        <f>INDEX(ETAPP!B$1:B$32,MATCH(COUNTIF(Z64:AN64,PVO!A$1),ETAPP!A$1:A$32,0))&amp;INDEX(ETAPP!B$1:B$32,MATCH(COUNTIF(Z64:AN64,PVO!A$2),ETAPP!A$1:A$32,0))&amp;INDEX(ETAPP!B$1:B$32,MATCH(COUNTIF(Z64:AN64,PVO!A$3),ETAPP!A$1:A$32,0))&amp;INDEX(ETAPP!B$1:B$32,MATCH(COUNTIF(Z64:AN64,PVO!A$4),ETAPP!A$1:A$32,0))&amp;INDEX(ETAPP!B$1:B$32,MATCH(COUNTIF(Z64:AN64,PVO!A$5),ETAPP!A$1:A$32,0))&amp;INDEX(ETAPP!B$1:B$32,MATCH(COUNTIF(Z64:AN64,PVO!A$6),ETAPP!A$1:A$32,0))&amp;INDEX(ETAPP!B$1:B$32,MATCH(COUNTIF(Z64:AN64,PVO!A$7),ETAPP!A$1:A$32,0))&amp;INDEX(ETAPP!B$1:B$32,MATCH(COUNTIF(Z64:AN64,PVO!A$8),ETAPP!A$1:A$32,0))&amp;INDEX(ETAPP!B$1:B$32,MATCH(COUNTIF(Z64:AN64,PVO!A$9),ETAPP!A$1:A$32,0))&amp;INDEX(ETAPP!B$1:B$32,MATCH(COUNTIF(Z64:AN64,PVO!A$10),ETAPP!A$1:A$32,0))&amp;INDEX(ETAPP!B$1:B$32,MATCH(COUNTIF(Z64:AN64,PVO!A$11),ETAPP!A$1:A$32,0))&amp;INDEX(ETAPP!B$1:B$32,MATCH(COUNTIF(Z64:AN64,PVO!A$12),ETAPP!A$1:A$32,0))&amp;INDEX(ETAPP!B$1:B$32,MATCH(COUNTIF(Z64:AN64,PVO!A$13),ETAPP!A$1:A$32,0))&amp;INDEX(ETAPP!B$1:B$32,MATCH(COUNTIF(Z64:AN64,PVO!A$14),ETAPP!A$1:A$32,0))&amp;INDEX(ETAPP!B$1:B$32,MATCH(COUNTIF(Z64:AN64,PVO!A$15),ETAPP!A$1:A$32,0))&amp;INDEX(ETAPP!B$1:B$32,MATCH(COUNTIF(Z64:AN64,PVO!A$16),ETAPP!A$1:A$32,0))&amp;INDEX(ETAPP!B$1:B$32,MATCH(COUNTIF(Z64:AN64,PVO!A$17),ETAPP!A$1:A$32,0))&amp;INDEX(ETAPP!B$1:B$32,MATCH(COUNTIF(Z64:AN64,PVO!A$18),ETAPP!A$1:A$32,0))&amp;INDEX(ETAPP!B$1:B$32,MATCH(COUNTIF(Z64:AN64,PVO!A$19),ETAPP!A$1:A$32,0))&amp;INDEX(ETAPP!B$1:B$32,MATCH(COUNTIF(Z64:AN64,PVO!A$20),ETAPP!A$1:A$32,0))&amp;INDEX(ETAPP!B$1:B$32,MATCH(COUNTIF(Z64:AN64,PVO!A$21),ETAPP!A$1:A$32,0))</f>
        <v>0000000000A0000000000</v>
      </c>
      <c r="T64" s="221" t="str">
        <f t="shared" si="49"/>
        <v>010,0-0000000000A0000000000</v>
      </c>
      <c r="U64" s="221">
        <f t="shared" si="50"/>
        <v>58</v>
      </c>
      <c r="V64" s="221">
        <f t="shared" si="51"/>
        <v>27</v>
      </c>
      <c r="W64" s="221" t="str">
        <f t="shared" si="52"/>
        <v>010,0-0000000000A0000000000-027</v>
      </c>
      <c r="X64" s="221">
        <f t="shared" si="53"/>
        <v>58</v>
      </c>
      <c r="Y64" s="222">
        <f t="shared" si="54"/>
        <v>10</v>
      </c>
      <c r="Z64" s="223" t="str">
        <f>IFERROR(INDEX('V1'!C$300:C$400,MATCH("*"&amp;L64&amp;"*",'V1'!B$300:B$400,0)),"  ")</f>
        <v xml:space="preserve">  </v>
      </c>
      <c r="AA64" s="223">
        <f>IFERROR(INDEX('V2'!C$300:C$400,MATCH("*"&amp;L64&amp;"*",'V2'!B$300:B$400,0)),"  ")</f>
        <v>10</v>
      </c>
      <c r="AB64" s="223" t="str">
        <f>IFERROR(INDEX('V3'!C$300:C$400,MATCH("*"&amp;L64&amp;"*",'V3'!B$300:B$400,0)),"  ")</f>
        <v xml:space="preserve">  </v>
      </c>
      <c r="AC64" s="223" t="str">
        <f>IFERROR(INDEX('V4'!C$300:C$400,MATCH("*"&amp;L64&amp;"*",'V4'!B$300:B$400,0)),"  ")</f>
        <v xml:space="preserve">  </v>
      </c>
      <c r="AD64" s="223" t="str">
        <f>IFERROR(INDEX('V5'!C$300:C$400,MATCH("*"&amp;L64&amp;"*",'V5'!B$300:B$400,0)),"  ")</f>
        <v xml:space="preserve">  </v>
      </c>
      <c r="AE64" s="223" t="str">
        <f>IFERROR(INDEX('V6'!C$300:C$400,MATCH("*"&amp;L64&amp;"*",'V6'!B$300:B$400,0)),"  ")</f>
        <v xml:space="preserve">  </v>
      </c>
      <c r="AF64" s="223" t="str">
        <f>IFERROR(INDEX('V7'!C$300:C$400,MATCH("*"&amp;L64&amp;"*",'V7'!B$300:B$400,0)),"  ")</f>
        <v xml:space="preserve">  </v>
      </c>
      <c r="AG64" s="223" t="str">
        <f>IFERROR(INDEX('V8'!C$300:C$400,MATCH("*"&amp;L64&amp;"*",'V8'!B$300:B$400,0)),"  ")</f>
        <v xml:space="preserve">  </v>
      </c>
      <c r="AH64" s="223" t="str">
        <f>IFERROR(INDEX('V9'!C$300:C$400,MATCH("*"&amp;L64&amp;"*",'V9'!B$300:B$400,0)),"  ")</f>
        <v xml:space="preserve">  </v>
      </c>
      <c r="AI64" s="223" t="str">
        <f>IFERROR(INDEX('V10'!C$300:C$400,MATCH("*"&amp;L64&amp;"*",'V10'!B$300:B$400,0)),"  ")</f>
        <v xml:space="preserve">  </v>
      </c>
      <c r="AJ64" s="223" t="str">
        <f>IFERROR(INDEX('V11'!C$300:C$400,MATCH("*"&amp;L64&amp;"*",'V11'!B$300:B$400,0)),"  ")</f>
        <v xml:space="preserve">  </v>
      </c>
      <c r="AK64" s="223" t="str">
        <f>IFERROR(INDEX('V12'!C$300:C$400,MATCH("*"&amp;L64&amp;"*",'V12'!B$300:B$400,0)),"  ")</f>
        <v xml:space="preserve">  </v>
      </c>
      <c r="AL64" s="223" t="str">
        <f>IFERROR(INDEX('V13'!C$300:C$400,MATCH("*"&amp;L64&amp;"*",'V13'!B$300:B$400,0)),"  ")</f>
        <v xml:space="preserve">  </v>
      </c>
      <c r="AM64" s="223"/>
      <c r="AN64" s="223"/>
      <c r="AO64" s="224" t="str">
        <f t="shared" si="55"/>
        <v/>
      </c>
      <c r="AP64" s="627">
        <f t="shared" si="56"/>
        <v>10</v>
      </c>
      <c r="AQ64" s="225">
        <f t="shared" si="57"/>
        <v>57</v>
      </c>
      <c r="AR64" s="226" t="str">
        <f>IFERROR(INDEX(#REF!,MATCH("*"&amp;L64&amp;"*",#REF!,0)),"  ")</f>
        <v xml:space="preserve">  </v>
      </c>
      <c r="AS64" s="227">
        <f t="shared" si="58"/>
        <v>1</v>
      </c>
      <c r="AT64" s="228">
        <f t="shared" si="59"/>
        <v>0</v>
      </c>
      <c r="AU64" s="228">
        <f t="shared" si="60"/>
        <v>0</v>
      </c>
      <c r="AV64" s="156"/>
      <c r="AW64" s="229">
        <f t="shared" si="61"/>
        <v>4.0000000000000002E-4</v>
      </c>
      <c r="AX64" s="230">
        <f t="shared" si="62"/>
        <v>1E-4</v>
      </c>
      <c r="AY64" s="230">
        <f t="shared" si="63"/>
        <v>10.0002</v>
      </c>
      <c r="AZ64" s="230">
        <f t="shared" si="64"/>
        <v>2.9999999999999997E-4</v>
      </c>
      <c r="BA64" s="230">
        <f t="shared" si="65"/>
        <v>4.0000000000000002E-4</v>
      </c>
      <c r="BB64" s="230">
        <f t="shared" si="66"/>
        <v>5.0000000000000001E-4</v>
      </c>
      <c r="BC64" s="230">
        <f t="shared" si="67"/>
        <v>5.9999999999999995E-4</v>
      </c>
      <c r="BD64" s="230">
        <f t="shared" si="68"/>
        <v>6.9999999999999999E-4</v>
      </c>
      <c r="BE64" s="230">
        <f t="shared" si="69"/>
        <v>8.0000000000000004E-4</v>
      </c>
      <c r="BF64" s="230">
        <f t="shared" si="70"/>
        <v>8.9999999999999998E-4</v>
      </c>
      <c r="BG64" s="230">
        <f t="shared" si="71"/>
        <v>1E-3</v>
      </c>
      <c r="BH64" s="230">
        <f t="shared" si="72"/>
        <v>1.1000000000000001E-3</v>
      </c>
      <c r="BI64" s="230">
        <f t="shared" si="73"/>
        <v>1.1999999999999999E-3</v>
      </c>
      <c r="BJ64" s="230">
        <f t="shared" si="74"/>
        <v>1.2999999999999999E-3</v>
      </c>
      <c r="BK64" s="156"/>
    </row>
    <row r="65" spans="1:63" x14ac:dyDescent="0.2">
      <c r="A65" s="208" t="str">
        <f t="shared" si="38"/>
        <v/>
      </c>
      <c r="B65" s="209">
        <f t="shared" si="39"/>
        <v>-941</v>
      </c>
      <c r="C65" s="736" t="str">
        <f t="shared" si="40"/>
        <v/>
      </c>
      <c r="D65" s="565">
        <f t="shared" si="41"/>
        <v>-941</v>
      </c>
      <c r="E65" s="210">
        <f t="shared" si="42"/>
        <v>45</v>
      </c>
      <c r="F65" s="209">
        <f t="shared" si="43"/>
        <v>59</v>
      </c>
      <c r="G65" s="211" t="str">
        <f t="shared" si="44"/>
        <v/>
      </c>
      <c r="H65" s="209">
        <f t="shared" si="45"/>
        <v>-941</v>
      </c>
      <c r="I65" s="212">
        <f t="shared" si="46"/>
        <v>8</v>
      </c>
      <c r="J65" s="213">
        <f t="shared" si="47"/>
        <v>59</v>
      </c>
      <c r="K65" s="178">
        <f t="shared" si="48"/>
        <v>59</v>
      </c>
      <c r="L65" s="232" t="s">
        <v>285</v>
      </c>
      <c r="M65" s="215"/>
      <c r="N65" s="216" t="s">
        <v>128</v>
      </c>
      <c r="O65" s="250" t="s">
        <v>142</v>
      </c>
      <c r="P65" s="218"/>
      <c r="Q65" s="219"/>
      <c r="R65" s="220">
        <f t="array" ref="R65">(IF(COUNT(Z65,AA65,AB65,AC65,AD65,AE65,AF65,AG65,AH65,AI65,AJ65,AK65,AL65,AM65,AN65)&lt;11,SUM(Z65,AA65,AB65,AC65,AD65,AE65,AF65,AG65,AH65,AI65,AJ65,AK65,AL65,AM65,AN65),SUM(LARGE((Z65,AA65,AB65,AC65,AD65,AE65,AF65,AG65,AH65,AI65,AJ65,AK65,AL65,AM65,AN65),{1;2;3;4;5;6;7;8;9;10}))))</f>
        <v>9</v>
      </c>
      <c r="S65" s="221" t="str">
        <f>INDEX(ETAPP!B$1:B$32,MATCH(COUNTIF(Z65:AN65,PVO!A$1),ETAPP!A$1:A$32,0))&amp;INDEX(ETAPP!B$1:B$32,MATCH(COUNTIF(Z65:AN65,PVO!A$2),ETAPP!A$1:A$32,0))&amp;INDEX(ETAPP!B$1:B$32,MATCH(COUNTIF(Z65:AN65,PVO!A$3),ETAPP!A$1:A$32,0))&amp;INDEX(ETAPP!B$1:B$32,MATCH(COUNTIF(Z65:AN65,PVO!A$4),ETAPP!A$1:A$32,0))&amp;INDEX(ETAPP!B$1:B$32,MATCH(COUNTIF(Z65:AN65,PVO!A$5),ETAPP!A$1:A$32,0))&amp;INDEX(ETAPP!B$1:B$32,MATCH(COUNTIF(Z65:AN65,PVO!A$6),ETAPP!A$1:A$32,0))&amp;INDEX(ETAPP!B$1:B$32,MATCH(COUNTIF(Z65:AN65,PVO!A$7),ETAPP!A$1:A$32,0))&amp;INDEX(ETAPP!B$1:B$32,MATCH(COUNTIF(Z65:AN65,PVO!A$8),ETAPP!A$1:A$32,0))&amp;INDEX(ETAPP!B$1:B$32,MATCH(COUNTIF(Z65:AN65,PVO!A$9),ETAPP!A$1:A$32,0))&amp;INDEX(ETAPP!B$1:B$32,MATCH(COUNTIF(Z65:AN65,PVO!A$10),ETAPP!A$1:A$32,0))&amp;INDEX(ETAPP!B$1:B$32,MATCH(COUNTIF(Z65:AN65,PVO!A$11),ETAPP!A$1:A$32,0))&amp;INDEX(ETAPP!B$1:B$32,MATCH(COUNTIF(Z65:AN65,PVO!A$12),ETAPP!A$1:A$32,0))&amp;INDEX(ETAPP!B$1:B$32,MATCH(COUNTIF(Z65:AN65,PVO!A$13),ETAPP!A$1:A$32,0))&amp;INDEX(ETAPP!B$1:B$32,MATCH(COUNTIF(Z65:AN65,PVO!A$14),ETAPP!A$1:A$32,0))&amp;INDEX(ETAPP!B$1:B$32,MATCH(COUNTIF(Z65:AN65,PVO!A$15),ETAPP!A$1:A$32,0))&amp;INDEX(ETAPP!B$1:B$32,MATCH(COUNTIF(Z65:AN65,PVO!A$16),ETAPP!A$1:A$32,0))&amp;INDEX(ETAPP!B$1:B$32,MATCH(COUNTIF(Z65:AN65,PVO!A$17),ETAPP!A$1:A$32,0))&amp;INDEX(ETAPP!B$1:B$32,MATCH(COUNTIF(Z65:AN65,PVO!A$18),ETAPP!A$1:A$32,0))&amp;INDEX(ETAPP!B$1:B$32,MATCH(COUNTIF(Z65:AN65,PVO!A$19),ETAPP!A$1:A$32,0))&amp;INDEX(ETAPP!B$1:B$32,MATCH(COUNTIF(Z65:AN65,PVO!A$20),ETAPP!A$1:A$32,0))&amp;INDEX(ETAPP!B$1:B$32,MATCH(COUNTIF(Z65:AN65,PVO!A$21),ETAPP!A$1:A$32,0))</f>
        <v>00000000000000A00A000</v>
      </c>
      <c r="T65" s="221" t="str">
        <f t="shared" si="49"/>
        <v>009,0-00000000000000A00A000</v>
      </c>
      <c r="U65" s="221">
        <f t="shared" si="50"/>
        <v>59</v>
      </c>
      <c r="V65" s="221">
        <f t="shared" si="51"/>
        <v>3</v>
      </c>
      <c r="W65" s="221" t="str">
        <f t="shared" si="52"/>
        <v>009,0-00000000000000A00A000-003</v>
      </c>
      <c r="X65" s="221">
        <f t="shared" si="53"/>
        <v>59</v>
      </c>
      <c r="Y65" s="222">
        <f t="shared" si="54"/>
        <v>9</v>
      </c>
      <c r="Z65" s="223">
        <f>IFERROR(INDEX('V1'!C$300:C$400,MATCH("*"&amp;L65&amp;"*",'V1'!B$300:B$400,0)),"  ")</f>
        <v>6</v>
      </c>
      <c r="AA65" s="223">
        <f>IFERROR(INDEX('V2'!C$300:C$400,MATCH("*"&amp;L65&amp;"*",'V2'!B$300:B$400,0)),"  ")</f>
        <v>3</v>
      </c>
      <c r="AB65" s="223" t="str">
        <f>IFERROR(INDEX('V3'!C$300:C$400,MATCH("*"&amp;L65&amp;"*",'V3'!B$300:B$400,0)),"  ")</f>
        <v xml:space="preserve">  </v>
      </c>
      <c r="AC65" s="223" t="str">
        <f>IFERROR(INDEX('V4'!C$300:C$400,MATCH("*"&amp;L65&amp;"*",'V4'!B$300:B$400,0)),"  ")</f>
        <v xml:space="preserve">  </v>
      </c>
      <c r="AD65" s="223" t="str">
        <f>IFERROR(INDEX('V5'!C$300:C$400,MATCH("*"&amp;L65&amp;"*",'V5'!B$300:B$400,0)),"  ")</f>
        <v xml:space="preserve">  </v>
      </c>
      <c r="AE65" s="223" t="str">
        <f>IFERROR(INDEX('V6'!C$300:C$400,MATCH("*"&amp;L65&amp;"*",'V6'!B$300:B$400,0)),"  ")</f>
        <v xml:space="preserve">  </v>
      </c>
      <c r="AF65" s="223" t="str">
        <f>IFERROR(INDEX('V7'!C$300:C$400,MATCH("*"&amp;L65&amp;"*",'V7'!B$300:B$400,0)),"  ")</f>
        <v xml:space="preserve">  </v>
      </c>
      <c r="AG65" s="223" t="str">
        <f>IFERROR(INDEX('V8'!C$300:C$400,MATCH("*"&amp;L65&amp;"*",'V8'!B$300:B$400,0)),"  ")</f>
        <v xml:space="preserve">  </v>
      </c>
      <c r="AH65" s="223" t="str">
        <f>IFERROR(INDEX('V9'!C$300:C$400,MATCH("*"&amp;L65&amp;"*",'V9'!B$300:B$400,0)),"  ")</f>
        <v xml:space="preserve">  </v>
      </c>
      <c r="AI65" s="223" t="str">
        <f>IFERROR(INDEX('V10'!C$300:C$400,MATCH("*"&amp;L65&amp;"*",'V10'!B$300:B$400,0)),"  ")</f>
        <v xml:space="preserve">  </v>
      </c>
      <c r="AJ65" s="223" t="str">
        <f>IFERROR(INDEX('V11'!C$300:C$400,MATCH("*"&amp;L65&amp;"*",'V11'!B$300:B$400,0)),"  ")</f>
        <v xml:space="preserve">  </v>
      </c>
      <c r="AK65" s="223" t="str">
        <f>IFERROR(INDEX('V12'!C$300:C$400,MATCH("*"&amp;L65&amp;"*",'V12'!B$300:B$400,0)),"  ")</f>
        <v xml:space="preserve">  </v>
      </c>
      <c r="AL65" s="223" t="str">
        <f>IFERROR(INDEX('V13'!C$300:C$400,MATCH("*"&amp;L65&amp;"*",'V13'!B$300:B$400,0)),"  ")</f>
        <v xml:space="preserve">  </v>
      </c>
      <c r="AM65" s="223"/>
      <c r="AN65" s="223"/>
      <c r="AO65" s="224" t="str">
        <f t="shared" si="55"/>
        <v/>
      </c>
      <c r="AP65" s="627">
        <f t="shared" si="56"/>
        <v>9</v>
      </c>
      <c r="AQ65" s="225">
        <f t="shared" si="57"/>
        <v>59</v>
      </c>
      <c r="AR65" s="226" t="str">
        <f>IFERROR(INDEX(#REF!,MATCH("*"&amp;L65&amp;"*",#REF!,0)),"  ")</f>
        <v xml:space="preserve">  </v>
      </c>
      <c r="AS65" s="227">
        <f t="shared" si="58"/>
        <v>2</v>
      </c>
      <c r="AT65" s="228">
        <f t="shared" si="59"/>
        <v>0</v>
      </c>
      <c r="AU65" s="228">
        <f t="shared" si="60"/>
        <v>0</v>
      </c>
      <c r="AV65" s="156"/>
      <c r="AW65" s="229">
        <f t="shared" si="61"/>
        <v>5.0000000000000001E-4</v>
      </c>
      <c r="AX65" s="230">
        <f t="shared" si="62"/>
        <v>6.0000999999999998</v>
      </c>
      <c r="AY65" s="230">
        <f t="shared" si="63"/>
        <v>3.0002</v>
      </c>
      <c r="AZ65" s="230">
        <f t="shared" si="64"/>
        <v>2.9999999999999997E-4</v>
      </c>
      <c r="BA65" s="230">
        <f t="shared" si="65"/>
        <v>4.0000000000000002E-4</v>
      </c>
      <c r="BB65" s="230">
        <f t="shared" si="66"/>
        <v>5.0000000000000001E-4</v>
      </c>
      <c r="BC65" s="230">
        <f t="shared" si="67"/>
        <v>5.9999999999999995E-4</v>
      </c>
      <c r="BD65" s="230">
        <f t="shared" si="68"/>
        <v>6.9999999999999999E-4</v>
      </c>
      <c r="BE65" s="230">
        <f t="shared" si="69"/>
        <v>8.0000000000000004E-4</v>
      </c>
      <c r="BF65" s="230">
        <f t="shared" si="70"/>
        <v>8.9999999999999998E-4</v>
      </c>
      <c r="BG65" s="230">
        <f t="shared" si="71"/>
        <v>1E-3</v>
      </c>
      <c r="BH65" s="230">
        <f t="shared" si="72"/>
        <v>1.1000000000000001E-3</v>
      </c>
      <c r="BI65" s="230">
        <f t="shared" si="73"/>
        <v>1.1999999999999999E-3</v>
      </c>
      <c r="BJ65" s="230">
        <f t="shared" si="74"/>
        <v>1.2999999999999999E-3</v>
      </c>
      <c r="BK65" s="156"/>
    </row>
    <row r="66" spans="1:63" x14ac:dyDescent="0.2">
      <c r="A66" s="208" t="str">
        <f t="shared" si="38"/>
        <v/>
      </c>
      <c r="B66" s="209">
        <f t="shared" si="39"/>
        <v>-940</v>
      </c>
      <c r="C66" s="736" t="str">
        <f t="shared" si="40"/>
        <v/>
      </c>
      <c r="D66" s="565">
        <f t="shared" si="41"/>
        <v>-940</v>
      </c>
      <c r="E66" s="210">
        <f t="shared" si="42"/>
        <v>46</v>
      </c>
      <c r="F66" s="209">
        <f t="shared" si="43"/>
        <v>60</v>
      </c>
      <c r="G66" s="211" t="str">
        <f t="shared" si="44"/>
        <v/>
      </c>
      <c r="H66" s="209">
        <f t="shared" si="45"/>
        <v>-940</v>
      </c>
      <c r="I66" s="212">
        <f t="shared" si="46"/>
        <v>9</v>
      </c>
      <c r="J66" s="213">
        <f t="shared" si="47"/>
        <v>60</v>
      </c>
      <c r="K66" s="178"/>
      <c r="L66" s="1114" t="s">
        <v>601</v>
      </c>
      <c r="M66" s="215"/>
      <c r="N66" s="216" t="s">
        <v>128</v>
      </c>
      <c r="O66" s="250" t="s">
        <v>142</v>
      </c>
      <c r="P66" s="218"/>
      <c r="Q66" s="219"/>
      <c r="R66" s="220">
        <f t="array" ref="R66">(IF(COUNT(Z66,AA66,AB66,AC66,AD66,AE66,AF66,AG66,AH66,AI66,AJ66,AK66,AL66,AM66,AN66)&lt;11,SUM(Z66,AA66,AB66,AC66,AD66,AE66,AF66,AG66,AH66,AI66,AJ66,AK66,AL66,AM66,AN66),SUM(LARGE((Z66,AA66,AB66,AC66,AD66,AE66,AF66,AG66,AH66,AI66,AJ66,AK66,AL66,AM66,AN66),{1;2;3;4;5;6;7;8;9;10}))))</f>
        <v>8</v>
      </c>
      <c r="S66" s="221" t="str">
        <f>INDEX(ETAPP!B$1:B$32,MATCH(COUNTIF(Z66:AN66,PVO!A$1),ETAPP!A$1:A$32,0))&amp;INDEX(ETAPP!B$1:B$32,MATCH(COUNTIF(Z66:AN66,PVO!A$2),ETAPP!A$1:A$32,0))&amp;INDEX(ETAPP!B$1:B$32,MATCH(COUNTIF(Z66:AN66,PVO!A$3),ETAPP!A$1:A$32,0))&amp;INDEX(ETAPP!B$1:B$32,MATCH(COUNTIF(Z66:AN66,PVO!A$4),ETAPP!A$1:A$32,0))&amp;INDEX(ETAPP!B$1:B$32,MATCH(COUNTIF(Z66:AN66,PVO!A$5),ETAPP!A$1:A$32,0))&amp;INDEX(ETAPP!B$1:B$32,MATCH(COUNTIF(Z66:AN66,PVO!A$6),ETAPP!A$1:A$32,0))&amp;INDEX(ETAPP!B$1:B$32,MATCH(COUNTIF(Z66:AN66,PVO!A$7),ETAPP!A$1:A$32,0))&amp;INDEX(ETAPP!B$1:B$32,MATCH(COUNTIF(Z66:AN66,PVO!A$8),ETAPP!A$1:A$32,0))&amp;INDEX(ETAPP!B$1:B$32,MATCH(COUNTIF(Z66:AN66,PVO!A$9),ETAPP!A$1:A$32,0))&amp;INDEX(ETAPP!B$1:B$32,MATCH(COUNTIF(Z66:AN66,PVO!A$10),ETAPP!A$1:A$32,0))&amp;INDEX(ETAPP!B$1:B$32,MATCH(COUNTIF(Z66:AN66,PVO!A$11),ETAPP!A$1:A$32,0))&amp;INDEX(ETAPP!B$1:B$32,MATCH(COUNTIF(Z66:AN66,PVO!A$12),ETAPP!A$1:A$32,0))&amp;INDEX(ETAPP!B$1:B$32,MATCH(COUNTIF(Z66:AN66,PVO!A$13),ETAPP!A$1:A$32,0))&amp;INDEX(ETAPP!B$1:B$32,MATCH(COUNTIF(Z66:AN66,PVO!A$14),ETAPP!A$1:A$32,0))&amp;INDEX(ETAPP!B$1:B$32,MATCH(COUNTIF(Z66:AN66,PVO!A$15),ETAPP!A$1:A$32,0))&amp;INDEX(ETAPP!B$1:B$32,MATCH(COUNTIF(Z66:AN66,PVO!A$16),ETAPP!A$1:A$32,0))&amp;INDEX(ETAPP!B$1:B$32,MATCH(COUNTIF(Z66:AN66,PVO!A$17),ETAPP!A$1:A$32,0))&amp;INDEX(ETAPP!B$1:B$32,MATCH(COUNTIF(Z66:AN66,PVO!A$18),ETAPP!A$1:A$32,0))&amp;INDEX(ETAPP!B$1:B$32,MATCH(COUNTIF(Z66:AN66,PVO!A$19),ETAPP!A$1:A$32,0))&amp;INDEX(ETAPP!B$1:B$32,MATCH(COUNTIF(Z66:AN66,PVO!A$20),ETAPP!A$1:A$32,0))&amp;INDEX(ETAPP!B$1:B$32,MATCH(COUNTIF(Z66:AN66,PVO!A$21),ETAPP!A$1:A$32,0))</f>
        <v>000000000000A00000000</v>
      </c>
      <c r="T66" s="221" t="str">
        <f t="shared" si="49"/>
        <v>008,0-000000000000A00000000</v>
      </c>
      <c r="U66" s="221">
        <f t="shared" si="50"/>
        <v>60</v>
      </c>
      <c r="V66" s="221">
        <f t="shared" si="51"/>
        <v>22</v>
      </c>
      <c r="W66" s="221" t="str">
        <f t="shared" si="52"/>
        <v>008,0-000000000000A00000000-022</v>
      </c>
      <c r="X66" s="221">
        <f t="shared" si="53"/>
        <v>60</v>
      </c>
      <c r="Y66" s="222">
        <f t="shared" si="54"/>
        <v>8</v>
      </c>
      <c r="Z66" s="223" t="str">
        <f>IFERROR(INDEX('V1'!C$300:C$400,MATCH("*"&amp;L66&amp;"*",'V1'!B$300:B$400,0)),"  ")</f>
        <v xml:space="preserve">  </v>
      </c>
      <c r="AA66" s="223" t="str">
        <f>IFERROR(INDEX('V2'!C$300:C$400,MATCH("*"&amp;L66&amp;"*",'V2'!B$300:B$400,0)),"  ")</f>
        <v xml:space="preserve">  </v>
      </c>
      <c r="AB66" s="223" t="str">
        <f>IFERROR(INDEX('V3'!C$300:C$400,MATCH("*"&amp;L66&amp;"*",'V3'!B$300:B$400,0)),"  ")</f>
        <v xml:space="preserve">  </v>
      </c>
      <c r="AC66" s="223" t="str">
        <f>IFERROR(INDEX('V4'!C$300:C$400,MATCH("*"&amp;L66&amp;"*",'V4'!B$300:B$400,0)),"  ")</f>
        <v xml:space="preserve">  </v>
      </c>
      <c r="AD66" s="223" t="str">
        <f>IFERROR(INDEX('V5'!C$300:C$400,MATCH("*"&amp;L66&amp;"*",'V5'!B$300:B$400,0)),"  ")</f>
        <v xml:space="preserve">  </v>
      </c>
      <c r="AE66" s="223" t="str">
        <f>IFERROR(INDEX('V6'!C$300:C$400,MATCH("*"&amp;L66&amp;"*",'V6'!B$300:B$400,0)),"  ")</f>
        <v xml:space="preserve">  </v>
      </c>
      <c r="AF66" s="223" t="str">
        <f>IFERROR(INDEX('V7'!C$300:C$400,MATCH("*"&amp;L66&amp;"*",'V7'!B$300:B$400,0)),"  ")</f>
        <v xml:space="preserve">  </v>
      </c>
      <c r="AG66" s="223" t="str">
        <f>IFERROR(INDEX('V8'!C$300:C$400,MATCH("*"&amp;L66&amp;"*",'V8'!B$300:B$400,0)),"  ")</f>
        <v xml:space="preserve">  </v>
      </c>
      <c r="AH66" s="223" t="str">
        <f>IFERROR(INDEX('V9'!C$300:C$400,MATCH("*"&amp;L66&amp;"*",'V9'!B$300:B$400,0)),"  ")</f>
        <v xml:space="preserve">  </v>
      </c>
      <c r="AI66" s="223">
        <f>IFERROR(INDEX('V10'!C$300:C$400,MATCH("*"&amp;L66&amp;"*",'V10'!B$300:B$400,0)),"  ")</f>
        <v>8</v>
      </c>
      <c r="AJ66" s="223" t="str">
        <f>IFERROR(INDEX('V11'!C$300:C$400,MATCH("*"&amp;L66&amp;"*",'V11'!B$300:B$400,0)),"  ")</f>
        <v xml:space="preserve">  </v>
      </c>
      <c r="AK66" s="223" t="str">
        <f>IFERROR(INDEX('V12'!C$300:C$400,MATCH("*"&amp;L66&amp;"*",'V12'!B$300:B$400,0)),"  ")</f>
        <v xml:space="preserve">  </v>
      </c>
      <c r="AL66" s="223" t="str">
        <f>IFERROR(INDEX('V13'!C$300:C$400,MATCH("*"&amp;L66&amp;"*",'V13'!B$300:B$400,0)),"  ")</f>
        <v xml:space="preserve">  </v>
      </c>
      <c r="AM66" s="223"/>
      <c r="AN66" s="223"/>
      <c r="AO66" s="224" t="str">
        <f t="shared" si="55"/>
        <v/>
      </c>
      <c r="AP66" s="627">
        <f t="shared" si="56"/>
        <v>8</v>
      </c>
      <c r="AQ66" s="225">
        <f t="shared" si="57"/>
        <v>0</v>
      </c>
      <c r="AR66" s="226" t="str">
        <f>IFERROR(INDEX(#REF!,MATCH("*"&amp;L66&amp;"*",#REF!,0)),"  ")</f>
        <v xml:space="preserve">  </v>
      </c>
      <c r="AS66" s="227">
        <f t="shared" si="58"/>
        <v>1</v>
      </c>
      <c r="AT66" s="228">
        <f t="shared" si="59"/>
        <v>0</v>
      </c>
      <c r="AU66" s="228">
        <f t="shared" si="60"/>
        <v>0</v>
      </c>
      <c r="AV66" s="156"/>
      <c r="AW66" s="229">
        <f t="shared" si="61"/>
        <v>2.9999999999999997E-4</v>
      </c>
      <c r="AX66" s="230">
        <f t="shared" si="62"/>
        <v>1E-4</v>
      </c>
      <c r="AY66" s="230">
        <f t="shared" si="63"/>
        <v>2.0000000000000001E-4</v>
      </c>
      <c r="AZ66" s="230">
        <f t="shared" si="64"/>
        <v>2.9999999999999997E-4</v>
      </c>
      <c r="BA66" s="230">
        <f t="shared" si="65"/>
        <v>4.0000000000000002E-4</v>
      </c>
      <c r="BB66" s="230">
        <f t="shared" si="66"/>
        <v>5.0000000000000001E-4</v>
      </c>
      <c r="BC66" s="230">
        <f t="shared" si="67"/>
        <v>5.9999999999999995E-4</v>
      </c>
      <c r="BD66" s="230">
        <f t="shared" si="68"/>
        <v>6.9999999999999999E-4</v>
      </c>
      <c r="BE66" s="230">
        <f t="shared" si="69"/>
        <v>8.0000000000000004E-4</v>
      </c>
      <c r="BF66" s="230">
        <f t="shared" si="70"/>
        <v>8.9999999999999998E-4</v>
      </c>
      <c r="BG66" s="230">
        <f t="shared" si="71"/>
        <v>8.0009999999999994</v>
      </c>
      <c r="BH66" s="230">
        <f t="shared" si="72"/>
        <v>1.1000000000000001E-3</v>
      </c>
      <c r="BI66" s="230">
        <f t="shared" si="73"/>
        <v>1.1999999999999999E-3</v>
      </c>
      <c r="BJ66" s="230">
        <f t="shared" si="74"/>
        <v>1.2999999999999999E-3</v>
      </c>
      <c r="BK66" s="156"/>
    </row>
    <row r="67" spans="1:63" x14ac:dyDescent="0.2">
      <c r="A67" s="208" t="str">
        <f t="shared" si="38"/>
        <v/>
      </c>
      <c r="B67" s="209">
        <f t="shared" si="39"/>
        <v>-937</v>
      </c>
      <c r="C67" s="736" t="str">
        <f t="shared" si="40"/>
        <v/>
      </c>
      <c r="D67" s="565">
        <f t="shared" si="41"/>
        <v>-937</v>
      </c>
      <c r="E67" s="210" t="str">
        <f t="shared" si="42"/>
        <v/>
      </c>
      <c r="F67" s="209">
        <f t="shared" si="43"/>
        <v>-937</v>
      </c>
      <c r="G67" s="211" t="str">
        <f t="shared" si="44"/>
        <v/>
      </c>
      <c r="H67" s="209">
        <f t="shared" si="45"/>
        <v>-937</v>
      </c>
      <c r="I67" s="212" t="str">
        <f t="shared" si="46"/>
        <v/>
      </c>
      <c r="J67" s="213">
        <f t="shared" si="47"/>
        <v>-937</v>
      </c>
      <c r="K67" s="178">
        <f t="shared" ref="K67:K73" si="75">IF(R67&gt;0,RANK(U67,U$7:U$73,1),"")</f>
        <v>61</v>
      </c>
      <c r="L67" s="232" t="s">
        <v>320</v>
      </c>
      <c r="M67" s="215"/>
      <c r="N67" s="216"/>
      <c r="O67" s="250"/>
      <c r="P67" s="218"/>
      <c r="Q67" s="219"/>
      <c r="R67" s="220">
        <f t="array" ref="R67">(IF(COUNT(Z67,AA67,AB67,AC67,AD67,AE67,AF67,AG67,AH67,AI67,AJ67,AK67,AL67,AM67,AN67)&lt;11,SUM(Z67,AA67,AB67,AC67,AD67,AE67,AF67,AG67,AH67,AI67,AJ67,AK67,AL67,AM67,AN67),SUM(LARGE((Z67,AA67,AB67,AC67,AD67,AE67,AF67,AG67,AH67,AI67,AJ67,AK67,AL67,AM67,AN67),{1;2;3;4;5;6;7;8;9;10}))))</f>
        <v>7</v>
      </c>
      <c r="S67" s="221" t="str">
        <f>INDEX(ETAPP!B$1:B$32,MATCH(COUNTIF(Z67:AN67,PVO!A$1),ETAPP!A$1:A$32,0))&amp;INDEX(ETAPP!B$1:B$32,MATCH(COUNTIF(Z67:AN67,PVO!A$2),ETAPP!A$1:A$32,0))&amp;INDEX(ETAPP!B$1:B$32,MATCH(COUNTIF(Z67:AN67,PVO!A$3),ETAPP!A$1:A$32,0))&amp;INDEX(ETAPP!B$1:B$32,MATCH(COUNTIF(Z67:AN67,PVO!A$4),ETAPP!A$1:A$32,0))&amp;INDEX(ETAPP!B$1:B$32,MATCH(COUNTIF(Z67:AN67,PVO!A$5),ETAPP!A$1:A$32,0))&amp;INDEX(ETAPP!B$1:B$32,MATCH(COUNTIF(Z67:AN67,PVO!A$6),ETAPP!A$1:A$32,0))&amp;INDEX(ETAPP!B$1:B$32,MATCH(COUNTIF(Z67:AN67,PVO!A$7),ETAPP!A$1:A$32,0))&amp;INDEX(ETAPP!B$1:B$32,MATCH(COUNTIF(Z67:AN67,PVO!A$8),ETAPP!A$1:A$32,0))&amp;INDEX(ETAPP!B$1:B$32,MATCH(COUNTIF(Z67:AN67,PVO!A$9),ETAPP!A$1:A$32,0))&amp;INDEX(ETAPP!B$1:B$32,MATCH(COUNTIF(Z67:AN67,PVO!A$10),ETAPP!A$1:A$32,0))&amp;INDEX(ETAPP!B$1:B$32,MATCH(COUNTIF(Z67:AN67,PVO!A$11),ETAPP!A$1:A$32,0))&amp;INDEX(ETAPP!B$1:B$32,MATCH(COUNTIF(Z67:AN67,PVO!A$12),ETAPP!A$1:A$32,0))&amp;INDEX(ETAPP!B$1:B$32,MATCH(COUNTIF(Z67:AN67,PVO!A$13),ETAPP!A$1:A$32,0))&amp;INDEX(ETAPP!B$1:B$32,MATCH(COUNTIF(Z67:AN67,PVO!A$14),ETAPP!A$1:A$32,0))&amp;INDEX(ETAPP!B$1:B$32,MATCH(COUNTIF(Z67:AN67,PVO!A$15),ETAPP!A$1:A$32,0))&amp;INDEX(ETAPP!B$1:B$32,MATCH(COUNTIF(Z67:AN67,PVO!A$16),ETAPP!A$1:A$32,0))&amp;INDEX(ETAPP!B$1:B$32,MATCH(COUNTIF(Z67:AN67,PVO!A$17),ETAPP!A$1:A$32,0))&amp;INDEX(ETAPP!B$1:B$32,MATCH(COUNTIF(Z67:AN67,PVO!A$18),ETAPP!A$1:A$32,0))&amp;INDEX(ETAPP!B$1:B$32,MATCH(COUNTIF(Z67:AN67,PVO!A$19),ETAPP!A$1:A$32,0))&amp;INDEX(ETAPP!B$1:B$32,MATCH(COUNTIF(Z67:AN67,PVO!A$20),ETAPP!A$1:A$32,0))&amp;INDEX(ETAPP!B$1:B$32,MATCH(COUNTIF(Z67:AN67,PVO!A$21),ETAPP!A$1:A$32,0))</f>
        <v>0000000000000A0000000</v>
      </c>
      <c r="T67" s="221" t="str">
        <f t="shared" si="49"/>
        <v>007,0-0000000000000A0000000</v>
      </c>
      <c r="U67" s="221">
        <f t="shared" si="50"/>
        <v>63</v>
      </c>
      <c r="V67" s="221">
        <f t="shared" si="51"/>
        <v>65</v>
      </c>
      <c r="W67" s="221" t="str">
        <f t="shared" si="52"/>
        <v>007,0-0000000000000A0000000-065</v>
      </c>
      <c r="X67" s="221">
        <f t="shared" si="53"/>
        <v>61</v>
      </c>
      <c r="Y67" s="222">
        <f t="shared" si="54"/>
        <v>7</v>
      </c>
      <c r="Z67" s="223" t="str">
        <f>IFERROR(INDEX('V1'!C$300:C$400,MATCH("*"&amp;L67&amp;"*",'V1'!B$300:B$400,0)),"  ")</f>
        <v xml:space="preserve">  </v>
      </c>
      <c r="AA67" s="223">
        <f>IFERROR(INDEX('V2'!C$300:C$400,MATCH("*"&amp;L67&amp;"*",'V2'!B$300:B$400,0)),"  ")</f>
        <v>7</v>
      </c>
      <c r="AB67" s="223" t="str">
        <f>IFERROR(INDEX('V3'!C$300:C$400,MATCH("*"&amp;L67&amp;"*",'V3'!B$300:B$400,0)),"  ")</f>
        <v xml:space="preserve">  </v>
      </c>
      <c r="AC67" s="223" t="str">
        <f>IFERROR(INDEX('V4'!C$300:C$400,MATCH("*"&amp;L67&amp;"*",'V4'!B$300:B$400,0)),"  ")</f>
        <v xml:space="preserve">  </v>
      </c>
      <c r="AD67" s="223" t="str">
        <f>IFERROR(INDEX('V5'!C$300:C$400,MATCH("*"&amp;L67&amp;"*",'V5'!B$300:B$400,0)),"  ")</f>
        <v xml:space="preserve">  </v>
      </c>
      <c r="AE67" s="223" t="str">
        <f>IFERROR(INDEX('V6'!C$300:C$400,MATCH("*"&amp;L67&amp;"*",'V6'!B$300:B$400,0)),"  ")</f>
        <v xml:space="preserve">  </v>
      </c>
      <c r="AF67" s="223" t="str">
        <f>IFERROR(INDEX('V7'!C$300:C$400,MATCH("*"&amp;L67&amp;"*",'V7'!B$300:B$400,0)),"  ")</f>
        <v xml:space="preserve">  </v>
      </c>
      <c r="AG67" s="223" t="str">
        <f>IFERROR(INDEX('V8'!C$300:C$400,MATCH("*"&amp;L67&amp;"*",'V8'!B$300:B$400,0)),"  ")</f>
        <v xml:space="preserve">  </v>
      </c>
      <c r="AH67" s="223" t="str">
        <f>IFERROR(INDEX('V9'!C$300:C$400,MATCH("*"&amp;L67&amp;"*",'V9'!B$300:B$400,0)),"  ")</f>
        <v xml:space="preserve">  </v>
      </c>
      <c r="AI67" s="223" t="str">
        <f>IFERROR(INDEX('V10'!C$300:C$400,MATCH("*"&amp;L67&amp;"*",'V10'!B$300:B$400,0)),"  ")</f>
        <v xml:space="preserve">  </v>
      </c>
      <c r="AJ67" s="223" t="str">
        <f>IFERROR(INDEX('V11'!C$300:C$400,MATCH("*"&amp;L67&amp;"*",'V11'!B$300:B$400,0)),"  ")</f>
        <v xml:space="preserve">  </v>
      </c>
      <c r="AK67" s="223" t="str">
        <f>IFERROR(INDEX('V12'!C$300:C$400,MATCH("*"&amp;L67&amp;"*",'V12'!B$300:B$400,0)),"  ")</f>
        <v xml:space="preserve">  </v>
      </c>
      <c r="AL67" s="223" t="str">
        <f>IFERROR(INDEX('V13'!C$300:C$400,MATCH("*"&amp;L67&amp;"*",'V13'!B$300:B$400,0)),"  ")</f>
        <v xml:space="preserve">  </v>
      </c>
      <c r="AM67" s="223"/>
      <c r="AN67" s="223"/>
      <c r="AO67" s="224" t="str">
        <f t="shared" si="55"/>
        <v/>
      </c>
      <c r="AP67" s="627">
        <f t="shared" si="56"/>
        <v>7</v>
      </c>
      <c r="AQ67" s="225">
        <f t="shared" si="57"/>
        <v>61</v>
      </c>
      <c r="AR67" s="226" t="str">
        <f>IFERROR(INDEX(#REF!,MATCH("*"&amp;L67&amp;"*",#REF!,0)),"  ")</f>
        <v xml:space="preserve">  </v>
      </c>
      <c r="AS67" s="227">
        <f t="shared" si="58"/>
        <v>1</v>
      </c>
      <c r="AT67" s="228">
        <f t="shared" si="59"/>
        <v>0</v>
      </c>
      <c r="AU67" s="228">
        <f t="shared" si="60"/>
        <v>0</v>
      </c>
      <c r="AV67" s="156"/>
      <c r="AW67" s="229">
        <f t="shared" si="61"/>
        <v>4.0000000000000002E-4</v>
      </c>
      <c r="AX67" s="230">
        <f t="shared" si="62"/>
        <v>1E-4</v>
      </c>
      <c r="AY67" s="230">
        <f t="shared" si="63"/>
        <v>7.0002000000000004</v>
      </c>
      <c r="AZ67" s="230">
        <f t="shared" si="64"/>
        <v>2.9999999999999997E-4</v>
      </c>
      <c r="BA67" s="230">
        <f t="shared" si="65"/>
        <v>4.0000000000000002E-4</v>
      </c>
      <c r="BB67" s="230">
        <f t="shared" si="66"/>
        <v>5.0000000000000001E-4</v>
      </c>
      <c r="BC67" s="230">
        <f t="shared" si="67"/>
        <v>5.9999999999999995E-4</v>
      </c>
      <c r="BD67" s="230">
        <f t="shared" si="68"/>
        <v>6.9999999999999999E-4</v>
      </c>
      <c r="BE67" s="230">
        <f t="shared" si="69"/>
        <v>8.0000000000000004E-4</v>
      </c>
      <c r="BF67" s="230">
        <f t="shared" si="70"/>
        <v>8.9999999999999998E-4</v>
      </c>
      <c r="BG67" s="230">
        <f t="shared" si="71"/>
        <v>1E-3</v>
      </c>
      <c r="BH67" s="230">
        <f t="shared" si="72"/>
        <v>1.1000000000000001E-3</v>
      </c>
      <c r="BI67" s="230">
        <f t="shared" si="73"/>
        <v>1.1999999999999999E-3</v>
      </c>
      <c r="BJ67" s="230">
        <f t="shared" si="74"/>
        <v>1.2999999999999999E-3</v>
      </c>
      <c r="BK67" s="156"/>
    </row>
    <row r="68" spans="1:63" x14ac:dyDescent="0.2">
      <c r="A68" s="208" t="str">
        <f t="shared" si="38"/>
        <v/>
      </c>
      <c r="B68" s="209">
        <f t="shared" si="39"/>
        <v>-937</v>
      </c>
      <c r="C68" s="736" t="str">
        <f t="shared" si="40"/>
        <v/>
      </c>
      <c r="D68" s="565">
        <f t="shared" si="41"/>
        <v>-937</v>
      </c>
      <c r="E68" s="210">
        <f t="shared" si="42"/>
        <v>47</v>
      </c>
      <c r="F68" s="209">
        <f t="shared" si="43"/>
        <v>63</v>
      </c>
      <c r="G68" s="211" t="str">
        <f t="shared" si="44"/>
        <v/>
      </c>
      <c r="H68" s="209">
        <f t="shared" si="45"/>
        <v>-937</v>
      </c>
      <c r="I68" s="212" t="str">
        <f t="shared" si="46"/>
        <v/>
      </c>
      <c r="J68" s="213">
        <f t="shared" si="47"/>
        <v>-937</v>
      </c>
      <c r="K68" s="178">
        <f t="shared" si="75"/>
        <v>61</v>
      </c>
      <c r="L68" s="588" t="s">
        <v>494</v>
      </c>
      <c r="M68" s="522"/>
      <c r="N68" s="523" t="s">
        <v>128</v>
      </c>
      <c r="O68" s="524"/>
      <c r="P68" s="525"/>
      <c r="Q68" s="526"/>
      <c r="R68" s="220">
        <f t="array" ref="R68">(IF(COUNT(Z68,AA68,AB68,AC68,AD68,AE68,AF68,AG68,AH68,AI68,AJ68,AK68,AL68,AM68,AN68)&lt;11,SUM(Z68,AA68,AB68,AC68,AD68,AE68,AF68,AG68,AH68,AI68,AJ68,AK68,AL68,AM68,AN68),SUM(LARGE((Z68,AA68,AB68,AC68,AD68,AE68,AF68,AG68,AH68,AI68,AJ68,AK68,AL68,AM68,AN68),{1;2;3;4;5;6;7;8;9;10}))))</f>
        <v>7</v>
      </c>
      <c r="S68" s="221" t="str">
        <f>INDEX(ETAPP!B$1:B$32,MATCH(COUNTIF(Z68:AN68,PVO!A$1),ETAPP!A$1:A$32,0))&amp;INDEX(ETAPP!B$1:B$32,MATCH(COUNTIF(Z68:AN68,PVO!A$2),ETAPP!A$1:A$32,0))&amp;INDEX(ETAPP!B$1:B$32,MATCH(COUNTIF(Z68:AN68,PVO!A$3),ETAPP!A$1:A$32,0))&amp;INDEX(ETAPP!B$1:B$32,MATCH(COUNTIF(Z68:AN68,PVO!A$4),ETAPP!A$1:A$32,0))&amp;INDEX(ETAPP!B$1:B$32,MATCH(COUNTIF(Z68:AN68,PVO!A$5),ETAPP!A$1:A$32,0))&amp;INDEX(ETAPP!B$1:B$32,MATCH(COUNTIF(Z68:AN68,PVO!A$6),ETAPP!A$1:A$32,0))&amp;INDEX(ETAPP!B$1:B$32,MATCH(COUNTIF(Z68:AN68,PVO!A$7),ETAPP!A$1:A$32,0))&amp;INDEX(ETAPP!B$1:B$32,MATCH(COUNTIF(Z68:AN68,PVO!A$8),ETAPP!A$1:A$32,0))&amp;INDEX(ETAPP!B$1:B$32,MATCH(COUNTIF(Z68:AN68,PVO!A$9),ETAPP!A$1:A$32,0))&amp;INDEX(ETAPP!B$1:B$32,MATCH(COUNTIF(Z68:AN68,PVO!A$10),ETAPP!A$1:A$32,0))&amp;INDEX(ETAPP!B$1:B$32,MATCH(COUNTIF(Z68:AN68,PVO!A$11),ETAPP!A$1:A$32,0))&amp;INDEX(ETAPP!B$1:B$32,MATCH(COUNTIF(Z68:AN68,PVO!A$12),ETAPP!A$1:A$32,0))&amp;INDEX(ETAPP!B$1:B$32,MATCH(COUNTIF(Z68:AN68,PVO!A$13),ETAPP!A$1:A$32,0))&amp;INDEX(ETAPP!B$1:B$32,MATCH(COUNTIF(Z68:AN68,PVO!A$14),ETAPP!A$1:A$32,0))&amp;INDEX(ETAPP!B$1:B$32,MATCH(COUNTIF(Z68:AN68,PVO!A$15),ETAPP!A$1:A$32,0))&amp;INDEX(ETAPP!B$1:B$32,MATCH(COUNTIF(Z68:AN68,PVO!A$16),ETAPP!A$1:A$32,0))&amp;INDEX(ETAPP!B$1:B$32,MATCH(COUNTIF(Z68:AN68,PVO!A$17),ETAPP!A$1:A$32,0))&amp;INDEX(ETAPP!B$1:B$32,MATCH(COUNTIF(Z68:AN68,PVO!A$18),ETAPP!A$1:A$32,0))&amp;INDEX(ETAPP!B$1:B$32,MATCH(COUNTIF(Z68:AN68,PVO!A$19),ETAPP!A$1:A$32,0))&amp;INDEX(ETAPP!B$1:B$32,MATCH(COUNTIF(Z68:AN68,PVO!A$20),ETAPP!A$1:A$32,0))&amp;INDEX(ETAPP!B$1:B$32,MATCH(COUNTIF(Z68:AN68,PVO!A$21),ETAPP!A$1:A$32,0))</f>
        <v>0000000000000A0000000</v>
      </c>
      <c r="T68" s="221" t="str">
        <f t="shared" si="49"/>
        <v>007,0-0000000000000A0000000</v>
      </c>
      <c r="U68" s="221">
        <f t="shared" si="50"/>
        <v>63</v>
      </c>
      <c r="V68" s="221">
        <f t="shared" si="51"/>
        <v>13</v>
      </c>
      <c r="W68" s="221" t="str">
        <f t="shared" si="52"/>
        <v>007,0-0000000000000A0000000-013</v>
      </c>
      <c r="X68" s="221">
        <f t="shared" si="53"/>
        <v>62</v>
      </c>
      <c r="Y68" s="222">
        <f t="shared" si="54"/>
        <v>6</v>
      </c>
      <c r="Z68" s="223" t="str">
        <f>IFERROR(INDEX('V1'!C$300:C$400,MATCH("*"&amp;L68&amp;"*",'V1'!B$300:B$400,0)),"  ")</f>
        <v xml:space="preserve">  </v>
      </c>
      <c r="AA68" s="223" t="str">
        <f>IFERROR(INDEX('V2'!C$300:C$400,MATCH("*"&amp;L68&amp;"*",'V2'!B$300:B$400,0)),"  ")</f>
        <v xml:space="preserve">  </v>
      </c>
      <c r="AB68" s="223" t="str">
        <f>IFERROR(INDEX('V3'!C$300:C$400,MATCH("*"&amp;L68&amp;"*",'V3'!B$300:B$400,0)),"  ")</f>
        <v xml:space="preserve">  </v>
      </c>
      <c r="AC68" s="223" t="str">
        <f>IFERROR(INDEX('V4'!C$300:C$400,MATCH("*"&amp;L68&amp;"*",'V4'!B$300:B$400,0)),"  ")</f>
        <v xml:space="preserve">  </v>
      </c>
      <c r="AD68" s="223" t="str">
        <f>IFERROR(INDEX('V5'!C$300:C$400,MATCH("*"&amp;L68&amp;"*",'V5'!B$300:B$400,0)),"  ")</f>
        <v xml:space="preserve">  </v>
      </c>
      <c r="AE68" s="223" t="str">
        <f>IFERROR(INDEX('V6'!C$300:C$400,MATCH("*"&amp;L68&amp;"*",'V6'!B$300:B$400,0)),"  ")</f>
        <v xml:space="preserve">  </v>
      </c>
      <c r="AF68" s="223" t="str">
        <f>IFERROR(INDEX('V7'!C$300:C$400,MATCH("*"&amp;L68&amp;"*",'V7'!B$300:B$400,0)),"  ")</f>
        <v xml:space="preserve">  </v>
      </c>
      <c r="AG68" s="223" t="str">
        <f>IFERROR(INDEX('V8'!C$300:C$400,MATCH("*"&amp;L68&amp;"*",'V8'!B$300:B$400,0)),"  ")</f>
        <v xml:space="preserve">  </v>
      </c>
      <c r="AH68" s="223">
        <f>IFERROR(INDEX('V9'!C$300:C$400,MATCH("*"&amp;L68&amp;"*",'V9'!B$300:B$400,0)),"  ")</f>
        <v>7</v>
      </c>
      <c r="AI68" s="223" t="str">
        <f>IFERROR(INDEX('V10'!C$300:C$400,MATCH("*"&amp;L68&amp;"*",'V10'!B$300:B$400,0)),"  ")</f>
        <v xml:space="preserve">  </v>
      </c>
      <c r="AJ68" s="223" t="str">
        <f>IFERROR(INDEX('V11'!C$300:C$400,MATCH("*"&amp;L68&amp;"*",'V11'!B$300:B$400,0)),"  ")</f>
        <v xml:space="preserve">  </v>
      </c>
      <c r="AK68" s="223" t="str">
        <f>IFERROR(INDEX('V12'!C$300:C$400,MATCH("*"&amp;L68&amp;"*",'V12'!B$300:B$400,0)),"  ")</f>
        <v xml:space="preserve">  </v>
      </c>
      <c r="AL68" s="223" t="str">
        <f>IFERROR(INDEX('V13'!C$300:C$400,MATCH("*"&amp;L68&amp;"*",'V13'!B$300:B$400,0)),"  ")</f>
        <v xml:space="preserve">  </v>
      </c>
      <c r="AM68" s="223"/>
      <c r="AN68" s="223"/>
      <c r="AO68" s="224" t="str">
        <f t="shared" si="55"/>
        <v/>
      </c>
      <c r="AP68" s="627">
        <f t="shared" si="56"/>
        <v>7</v>
      </c>
      <c r="AQ68" s="225">
        <f t="shared" si="57"/>
        <v>61</v>
      </c>
      <c r="AR68" s="226" t="str">
        <f>IFERROR(INDEX(#REF!,MATCH("*"&amp;L68&amp;"*",#REF!,0)),"  ")</f>
        <v xml:space="preserve">  </v>
      </c>
      <c r="AS68" s="227">
        <f t="shared" si="58"/>
        <v>1</v>
      </c>
      <c r="AT68" s="228">
        <f t="shared" si="59"/>
        <v>0</v>
      </c>
      <c r="AU68" s="228">
        <f t="shared" si="60"/>
        <v>0</v>
      </c>
      <c r="AV68" s="156"/>
      <c r="AW68" s="229">
        <f t="shared" si="61"/>
        <v>2.9999999999999997E-4</v>
      </c>
      <c r="AX68" s="230">
        <f t="shared" si="62"/>
        <v>1E-4</v>
      </c>
      <c r="AY68" s="230">
        <f t="shared" si="63"/>
        <v>2.0000000000000001E-4</v>
      </c>
      <c r="AZ68" s="230">
        <f t="shared" si="64"/>
        <v>2.9999999999999997E-4</v>
      </c>
      <c r="BA68" s="230">
        <f t="shared" si="65"/>
        <v>4.0000000000000002E-4</v>
      </c>
      <c r="BB68" s="230">
        <f t="shared" si="66"/>
        <v>5.0000000000000001E-4</v>
      </c>
      <c r="BC68" s="230">
        <f t="shared" si="67"/>
        <v>5.9999999999999995E-4</v>
      </c>
      <c r="BD68" s="230">
        <f t="shared" si="68"/>
        <v>6.9999999999999999E-4</v>
      </c>
      <c r="BE68" s="230">
        <f t="shared" si="69"/>
        <v>8.0000000000000004E-4</v>
      </c>
      <c r="BF68" s="230">
        <f t="shared" si="70"/>
        <v>7.0008999999999997</v>
      </c>
      <c r="BG68" s="230">
        <f t="shared" si="71"/>
        <v>1E-3</v>
      </c>
      <c r="BH68" s="230">
        <f t="shared" si="72"/>
        <v>1.1000000000000001E-3</v>
      </c>
      <c r="BI68" s="230">
        <f t="shared" si="73"/>
        <v>1.1999999999999999E-3</v>
      </c>
      <c r="BJ68" s="230">
        <f t="shared" si="74"/>
        <v>1.2999999999999999E-3</v>
      </c>
      <c r="BK68" s="156"/>
    </row>
    <row r="69" spans="1:63" x14ac:dyDescent="0.2">
      <c r="A69" s="208">
        <f t="shared" si="38"/>
        <v>30</v>
      </c>
      <c r="B69" s="209">
        <f t="shared" si="39"/>
        <v>63</v>
      </c>
      <c r="C69" s="736" t="str">
        <f t="shared" si="40"/>
        <v/>
      </c>
      <c r="D69" s="565">
        <f t="shared" si="41"/>
        <v>-937</v>
      </c>
      <c r="E69" s="210" t="str">
        <f t="shared" si="42"/>
        <v/>
      </c>
      <c r="F69" s="209">
        <f t="shared" si="43"/>
        <v>-937</v>
      </c>
      <c r="G69" s="211">
        <f t="shared" si="44"/>
        <v>14</v>
      </c>
      <c r="H69" s="209">
        <f t="shared" si="45"/>
        <v>63</v>
      </c>
      <c r="I69" s="212">
        <f t="shared" si="46"/>
        <v>10</v>
      </c>
      <c r="J69" s="213">
        <f t="shared" si="47"/>
        <v>63</v>
      </c>
      <c r="K69" s="178">
        <f t="shared" si="75"/>
        <v>61</v>
      </c>
      <c r="L69" s="232" t="s">
        <v>158</v>
      </c>
      <c r="M69" s="215" t="s">
        <v>135</v>
      </c>
      <c r="N69" s="216" t="str">
        <f>IF(M69="","m","")</f>
        <v/>
      </c>
      <c r="O69" s="217" t="s">
        <v>142</v>
      </c>
      <c r="P69" s="218"/>
      <c r="Q69" s="219" t="s">
        <v>124</v>
      </c>
      <c r="R69" s="220">
        <f t="array" ref="R69">(IF(COUNT(Z69,AA69,AB69,AC69,AD69,AE69,AF69,AG69,AH69,AI69,AJ69,AK69,AL69,AM69,AN69)&lt;11,SUM(Z69,AA69,AB69,AC69,AD69,AE69,AF69,AG69,AH69,AI69,AJ69,AK69,AL69,AM69,AN69),SUM(LARGE((Z69,AA69,AB69,AC69,AD69,AE69,AF69,AG69,AH69,AI69,AJ69,AK69,AL69,AM69,AN69),{1;2;3;4;5;6;7;8;9;10}))))</f>
        <v>7</v>
      </c>
      <c r="S69" s="221" t="str">
        <f>INDEX(ETAPP!B$1:B$32,MATCH(COUNTIF(Z69:AN69,PVO!A$1),ETAPP!A$1:A$32,0))&amp;INDEX(ETAPP!B$1:B$32,MATCH(COUNTIF(Z69:AN69,PVO!A$2),ETAPP!A$1:A$32,0))&amp;INDEX(ETAPP!B$1:B$32,MATCH(COUNTIF(Z69:AN69,PVO!A$3),ETAPP!A$1:A$32,0))&amp;INDEX(ETAPP!B$1:B$32,MATCH(COUNTIF(Z69:AN69,PVO!A$4),ETAPP!A$1:A$32,0))&amp;INDEX(ETAPP!B$1:B$32,MATCH(COUNTIF(Z69:AN69,PVO!A$5),ETAPP!A$1:A$32,0))&amp;INDEX(ETAPP!B$1:B$32,MATCH(COUNTIF(Z69:AN69,PVO!A$6),ETAPP!A$1:A$32,0))&amp;INDEX(ETAPP!B$1:B$32,MATCH(COUNTIF(Z69:AN69,PVO!A$7),ETAPP!A$1:A$32,0))&amp;INDEX(ETAPP!B$1:B$32,MATCH(COUNTIF(Z69:AN69,PVO!A$8),ETAPP!A$1:A$32,0))&amp;INDEX(ETAPP!B$1:B$32,MATCH(COUNTIF(Z69:AN69,PVO!A$9),ETAPP!A$1:A$32,0))&amp;INDEX(ETAPP!B$1:B$32,MATCH(COUNTIF(Z69:AN69,PVO!A$10),ETAPP!A$1:A$32,0))&amp;INDEX(ETAPP!B$1:B$32,MATCH(COUNTIF(Z69:AN69,PVO!A$11),ETAPP!A$1:A$32,0))&amp;INDEX(ETAPP!B$1:B$32,MATCH(COUNTIF(Z69:AN69,PVO!A$12),ETAPP!A$1:A$32,0))&amp;INDEX(ETAPP!B$1:B$32,MATCH(COUNTIF(Z69:AN69,PVO!A$13),ETAPP!A$1:A$32,0))&amp;INDEX(ETAPP!B$1:B$32,MATCH(COUNTIF(Z69:AN69,PVO!A$14),ETAPP!A$1:A$32,0))&amp;INDEX(ETAPP!B$1:B$32,MATCH(COUNTIF(Z69:AN69,PVO!A$15),ETAPP!A$1:A$32,0))&amp;INDEX(ETAPP!B$1:B$32,MATCH(COUNTIF(Z69:AN69,PVO!A$16),ETAPP!A$1:A$32,0))&amp;INDEX(ETAPP!B$1:B$32,MATCH(COUNTIF(Z69:AN69,PVO!A$17),ETAPP!A$1:A$32,0))&amp;INDEX(ETAPP!B$1:B$32,MATCH(COUNTIF(Z69:AN69,PVO!A$18),ETAPP!A$1:A$32,0))&amp;INDEX(ETAPP!B$1:B$32,MATCH(COUNTIF(Z69:AN69,PVO!A$19),ETAPP!A$1:A$32,0))&amp;INDEX(ETAPP!B$1:B$32,MATCH(COUNTIF(Z69:AN69,PVO!A$20),ETAPP!A$1:A$32,0))&amp;INDEX(ETAPP!B$1:B$32,MATCH(COUNTIF(Z69:AN69,PVO!A$21),ETAPP!A$1:A$32,0))</f>
        <v>0000000000000A0000000</v>
      </c>
      <c r="T69" s="221" t="str">
        <f t="shared" si="49"/>
        <v>007,0-0000000000000A0000000</v>
      </c>
      <c r="U69" s="221">
        <f t="shared" si="50"/>
        <v>63</v>
      </c>
      <c r="V69" s="221">
        <f t="shared" si="51"/>
        <v>5</v>
      </c>
      <c r="W69" s="221" t="str">
        <f t="shared" si="52"/>
        <v>007,0-0000000000000A0000000-005</v>
      </c>
      <c r="X69" s="221">
        <f t="shared" si="53"/>
        <v>63</v>
      </c>
      <c r="Y69" s="222">
        <f t="shared" si="54"/>
        <v>5</v>
      </c>
      <c r="Z69" s="223" t="str">
        <f>IFERROR(INDEX('V1'!C$300:C$400,MATCH("*"&amp;L69&amp;"*",'V1'!B$300:B$400,0)),"  ")</f>
        <v xml:space="preserve">  </v>
      </c>
      <c r="AA69" s="223" t="str">
        <f>IFERROR(INDEX('V2'!C$300:C$400,MATCH("*"&amp;L69&amp;"*",'V2'!B$300:B$400,0)),"  ")</f>
        <v xml:space="preserve">  </v>
      </c>
      <c r="AB69" s="223" t="str">
        <f>IFERROR(INDEX('V3'!C$300:C$400,MATCH("*"&amp;L69&amp;"*",'V3'!B$300:B$400,0)),"  ")</f>
        <v xml:space="preserve">  </v>
      </c>
      <c r="AC69" s="223" t="str">
        <f>IFERROR(INDEX('V4'!C$300:C$400,MATCH("*"&amp;L69&amp;"*",'V4'!B$300:B$400,0)),"  ")</f>
        <v xml:space="preserve">  </v>
      </c>
      <c r="AD69" s="223">
        <f>IFERROR(INDEX('V5'!C$300:C$400,MATCH("*"&amp;L69&amp;"*",'V5'!B$300:B$400,0)),"  ")</f>
        <v>7</v>
      </c>
      <c r="AE69" s="223" t="str">
        <f>IFERROR(INDEX('V6'!C$300:C$400,MATCH("*"&amp;L69&amp;"*",'V6'!B$300:B$400,0)),"  ")</f>
        <v xml:space="preserve">  </v>
      </c>
      <c r="AF69" s="223" t="str">
        <f>IFERROR(INDEX('V7'!C$300:C$400,MATCH("*"&amp;L69&amp;"*",'V7'!B$300:B$400,0)),"  ")</f>
        <v xml:space="preserve">  </v>
      </c>
      <c r="AG69" s="223" t="str">
        <f>IFERROR(INDEX('V8'!C$300:C$400,MATCH("*"&amp;L69&amp;"*",'V8'!B$300:B$400,0)),"  ")</f>
        <v xml:space="preserve">  </v>
      </c>
      <c r="AH69" s="223" t="str">
        <f>IFERROR(INDEX('V9'!C$300:C$400,MATCH("*"&amp;L69&amp;"*",'V9'!B$300:B$400,0)),"  ")</f>
        <v xml:space="preserve">  </v>
      </c>
      <c r="AI69" s="223" t="str">
        <f>IFERROR(INDEX('V10'!C$300:C$400,MATCH("*"&amp;L69&amp;"*",'V10'!B$300:B$400,0)),"  ")</f>
        <v xml:space="preserve">  </v>
      </c>
      <c r="AJ69" s="223" t="str">
        <f>IFERROR(INDEX('V11'!C$300:C$400,MATCH("*"&amp;L69&amp;"*",'V11'!B$300:B$400,0)),"  ")</f>
        <v xml:space="preserve">  </v>
      </c>
      <c r="AK69" s="223" t="str">
        <f>IFERROR(INDEX('V12'!C$300:C$400,MATCH("*"&amp;L69&amp;"*",'V12'!B$300:B$400,0)),"  ")</f>
        <v xml:space="preserve">  </v>
      </c>
      <c r="AL69" s="223" t="str">
        <f>IFERROR(INDEX('V13'!C$300:C$400,MATCH("*"&amp;L69&amp;"*",'V13'!B$300:B$400,0)),"  ")</f>
        <v xml:space="preserve">  </v>
      </c>
      <c r="AM69" s="223"/>
      <c r="AN69" s="223"/>
      <c r="AO69" s="224" t="str">
        <f t="shared" si="55"/>
        <v/>
      </c>
      <c r="AP69" s="627">
        <f t="shared" si="56"/>
        <v>7</v>
      </c>
      <c r="AQ69" s="225">
        <f t="shared" si="57"/>
        <v>61</v>
      </c>
      <c r="AR69" s="226" t="str">
        <f>IFERROR(INDEX(#REF!,MATCH("*"&amp;L69&amp;"*",#REF!,0)),"  ")</f>
        <v xml:space="preserve">  </v>
      </c>
      <c r="AS69" s="227">
        <f t="shared" si="58"/>
        <v>1</v>
      </c>
      <c r="AT69" s="228">
        <f t="shared" si="59"/>
        <v>0</v>
      </c>
      <c r="AU69" s="228">
        <f t="shared" si="60"/>
        <v>0</v>
      </c>
      <c r="AV69" s="156"/>
      <c r="AW69" s="229">
        <f t="shared" si="61"/>
        <v>2.9999999999999997E-4</v>
      </c>
      <c r="AX69" s="230">
        <f t="shared" si="62"/>
        <v>1E-4</v>
      </c>
      <c r="AY69" s="230">
        <f t="shared" si="63"/>
        <v>2.0000000000000001E-4</v>
      </c>
      <c r="AZ69" s="230">
        <f t="shared" si="64"/>
        <v>2.9999999999999997E-4</v>
      </c>
      <c r="BA69" s="230">
        <f t="shared" si="65"/>
        <v>4.0000000000000002E-4</v>
      </c>
      <c r="BB69" s="230">
        <f t="shared" si="66"/>
        <v>7.0004999999999997</v>
      </c>
      <c r="BC69" s="230">
        <f t="shared" si="67"/>
        <v>5.9999999999999995E-4</v>
      </c>
      <c r="BD69" s="230">
        <f t="shared" si="68"/>
        <v>6.9999999999999999E-4</v>
      </c>
      <c r="BE69" s="230">
        <f t="shared" si="69"/>
        <v>8.0000000000000004E-4</v>
      </c>
      <c r="BF69" s="230">
        <f t="shared" si="70"/>
        <v>8.9999999999999998E-4</v>
      </c>
      <c r="BG69" s="230">
        <f t="shared" si="71"/>
        <v>1E-3</v>
      </c>
      <c r="BH69" s="230">
        <f t="shared" si="72"/>
        <v>1.1000000000000001E-3</v>
      </c>
      <c r="BI69" s="230">
        <f t="shared" si="73"/>
        <v>1.1999999999999999E-3</v>
      </c>
      <c r="BJ69" s="230">
        <f t="shared" si="74"/>
        <v>1.2999999999999999E-3</v>
      </c>
      <c r="BK69" s="156"/>
    </row>
    <row r="70" spans="1:63" x14ac:dyDescent="0.2">
      <c r="A70" s="208" t="str">
        <f t="shared" si="38"/>
        <v/>
      </c>
      <c r="B70" s="209">
        <f t="shared" si="39"/>
        <v>-933</v>
      </c>
      <c r="C70" s="736" t="str">
        <f t="shared" si="40"/>
        <v/>
      </c>
      <c r="D70" s="565">
        <f t="shared" si="41"/>
        <v>-933</v>
      </c>
      <c r="E70" s="210">
        <f t="shared" si="42"/>
        <v>48</v>
      </c>
      <c r="F70" s="209">
        <f t="shared" si="43"/>
        <v>67</v>
      </c>
      <c r="G70" s="211" t="str">
        <f t="shared" si="44"/>
        <v/>
      </c>
      <c r="H70" s="209">
        <f t="shared" si="45"/>
        <v>-933</v>
      </c>
      <c r="I70" s="212">
        <f t="shared" si="46"/>
        <v>11</v>
      </c>
      <c r="J70" s="213">
        <f t="shared" si="47"/>
        <v>67</v>
      </c>
      <c r="K70" s="178">
        <f t="shared" si="75"/>
        <v>64</v>
      </c>
      <c r="L70" s="232" t="s">
        <v>508</v>
      </c>
      <c r="M70" s="215"/>
      <c r="N70" s="216" t="s">
        <v>128</v>
      </c>
      <c r="O70" s="250" t="s">
        <v>142</v>
      </c>
      <c r="P70" s="218"/>
      <c r="Q70" s="219"/>
      <c r="R70" s="220">
        <f t="array" ref="R70">(IF(COUNT(Z70,AA70,AB70,AC70,AD70,AE70,AF70,AG70,AH70,AI70,AJ70,AK70,AL70,AM70,AN70)&lt;11,SUM(Z70,AA70,AB70,AC70,AD70,AE70,AF70,AG70,AH70,AI70,AJ70,AK70,AL70,AM70,AN70),SUM(LARGE((Z70,AA70,AB70,AC70,AD70,AE70,AF70,AG70,AH70,AI70,AJ70,AK70,AL70,AM70,AN70),{1;2;3;4;5;6;7;8;9;10}))))</f>
        <v>5</v>
      </c>
      <c r="S70" s="221" t="str">
        <f>INDEX(ETAPP!B$1:B$32,MATCH(COUNTIF(Z70:AN70,PVO!A$1),ETAPP!A$1:A$32,0))&amp;INDEX(ETAPP!B$1:B$32,MATCH(COUNTIF(Z70:AN70,PVO!A$2),ETAPP!A$1:A$32,0))&amp;INDEX(ETAPP!B$1:B$32,MATCH(COUNTIF(Z70:AN70,PVO!A$3),ETAPP!A$1:A$32,0))&amp;INDEX(ETAPP!B$1:B$32,MATCH(COUNTIF(Z70:AN70,PVO!A$4),ETAPP!A$1:A$32,0))&amp;INDEX(ETAPP!B$1:B$32,MATCH(COUNTIF(Z70:AN70,PVO!A$5),ETAPP!A$1:A$32,0))&amp;INDEX(ETAPP!B$1:B$32,MATCH(COUNTIF(Z70:AN70,PVO!A$6),ETAPP!A$1:A$32,0))&amp;INDEX(ETAPP!B$1:B$32,MATCH(COUNTIF(Z70:AN70,PVO!A$7),ETAPP!A$1:A$32,0))&amp;INDEX(ETAPP!B$1:B$32,MATCH(COUNTIF(Z70:AN70,PVO!A$8),ETAPP!A$1:A$32,0))&amp;INDEX(ETAPP!B$1:B$32,MATCH(COUNTIF(Z70:AN70,PVO!A$9),ETAPP!A$1:A$32,0))&amp;INDEX(ETAPP!B$1:B$32,MATCH(COUNTIF(Z70:AN70,PVO!A$10),ETAPP!A$1:A$32,0))&amp;INDEX(ETAPP!B$1:B$32,MATCH(COUNTIF(Z70:AN70,PVO!A$11),ETAPP!A$1:A$32,0))&amp;INDEX(ETAPP!B$1:B$32,MATCH(COUNTIF(Z70:AN70,PVO!A$12),ETAPP!A$1:A$32,0))&amp;INDEX(ETAPP!B$1:B$32,MATCH(COUNTIF(Z70:AN70,PVO!A$13),ETAPP!A$1:A$32,0))&amp;INDEX(ETAPP!B$1:B$32,MATCH(COUNTIF(Z70:AN70,PVO!A$14),ETAPP!A$1:A$32,0))&amp;INDEX(ETAPP!B$1:B$32,MATCH(COUNTIF(Z70:AN70,PVO!A$15),ETAPP!A$1:A$32,0))&amp;INDEX(ETAPP!B$1:B$32,MATCH(COUNTIF(Z70:AN70,PVO!A$16),ETAPP!A$1:A$32,0))&amp;INDEX(ETAPP!B$1:B$32,MATCH(COUNTIF(Z70:AN70,PVO!A$17),ETAPP!A$1:A$32,0))&amp;INDEX(ETAPP!B$1:B$32,MATCH(COUNTIF(Z70:AN70,PVO!A$18),ETAPP!A$1:A$32,0))&amp;INDEX(ETAPP!B$1:B$32,MATCH(COUNTIF(Z70:AN70,PVO!A$19),ETAPP!A$1:A$32,0))&amp;INDEX(ETAPP!B$1:B$32,MATCH(COUNTIF(Z70:AN70,PVO!A$20),ETAPP!A$1:A$32,0))&amp;INDEX(ETAPP!B$1:B$32,MATCH(COUNTIF(Z70:AN70,PVO!A$21),ETAPP!A$1:A$32,0))</f>
        <v>000000000000000A00000</v>
      </c>
      <c r="T70" s="221" t="str">
        <f t="shared" si="49"/>
        <v>005,0-000000000000000A00000</v>
      </c>
      <c r="U70" s="221">
        <f t="shared" si="50"/>
        <v>67</v>
      </c>
      <c r="V70" s="221">
        <f t="shared" si="51"/>
        <v>57</v>
      </c>
      <c r="W70" s="221" t="str">
        <f t="shared" si="52"/>
        <v>005,0-000000000000000A00000-057</v>
      </c>
      <c r="X70" s="221">
        <f t="shared" si="53"/>
        <v>64</v>
      </c>
      <c r="Y70" s="222">
        <f t="shared" si="54"/>
        <v>4</v>
      </c>
      <c r="Z70" s="223" t="str">
        <f>IFERROR(INDEX('V1'!C$300:C$400,MATCH("*"&amp;L70&amp;"*",'V1'!B$300:B$400,0)),"  ")</f>
        <v xml:space="preserve">  </v>
      </c>
      <c r="AA70" s="223" t="str">
        <f>IFERROR(INDEX('V2'!C$300:C$400,MATCH("*"&amp;L70&amp;"*",'V2'!B$300:B$400,0)),"  ")</f>
        <v xml:space="preserve">  </v>
      </c>
      <c r="AB70" s="223" t="str">
        <f>IFERROR(INDEX('V3'!C$300:C$400,MATCH("*"&amp;L70&amp;"*",'V3'!B$300:B$400,0)),"  ")</f>
        <v xml:space="preserve">  </v>
      </c>
      <c r="AC70" s="223" t="str">
        <f>IFERROR(INDEX('V4'!C$300:C$400,MATCH("*"&amp;L70&amp;"*",'V4'!B$300:B$400,0)),"  ")</f>
        <v xml:space="preserve">  </v>
      </c>
      <c r="AD70" s="223" t="str">
        <f>IFERROR(INDEX('V5'!C$300:C$400,MATCH("*"&amp;L70&amp;"*",'V5'!B$300:B$400,0)),"  ")</f>
        <v xml:space="preserve">  </v>
      </c>
      <c r="AE70" s="223" t="str">
        <f>IFERROR(INDEX('V6'!C$300:C$400,MATCH("*"&amp;L70&amp;"*",'V6'!B$300:B$400,0)),"  ")</f>
        <v xml:space="preserve">  </v>
      </c>
      <c r="AF70" s="223" t="str">
        <f>IFERROR(INDEX('V7'!C$300:C$400,MATCH("*"&amp;L70&amp;"*",'V7'!B$300:B$400,0)),"  ")</f>
        <v xml:space="preserve">  </v>
      </c>
      <c r="AG70" s="223" t="str">
        <f>IFERROR(INDEX('V8'!C$300:C$400,MATCH("*"&amp;L70&amp;"*",'V8'!B$300:B$400,0)),"  ")</f>
        <v xml:space="preserve">  </v>
      </c>
      <c r="AH70" s="223">
        <f>IFERROR(INDEX('V9'!C$300:C$400,MATCH("*"&amp;L70&amp;"*",'V9'!B$300:B$400,0)),"  ")</f>
        <v>5</v>
      </c>
      <c r="AI70" s="223" t="str">
        <f>IFERROR(INDEX('V10'!C$300:C$400,MATCH("*"&amp;L70&amp;"*",'V10'!B$300:B$400,0)),"  ")</f>
        <v xml:space="preserve">  </v>
      </c>
      <c r="AJ70" s="223" t="str">
        <f>IFERROR(INDEX('V11'!C$300:C$400,MATCH("*"&amp;L70&amp;"*",'V11'!B$300:B$400,0)),"  ")</f>
        <v xml:space="preserve">  </v>
      </c>
      <c r="AK70" s="223" t="str">
        <f>IFERROR(INDEX('V12'!C$300:C$400,MATCH("*"&amp;L70&amp;"*",'V12'!B$300:B$400,0)),"  ")</f>
        <v xml:space="preserve">  </v>
      </c>
      <c r="AL70" s="223" t="str">
        <f>IFERROR(INDEX('V13'!C$300:C$400,MATCH("*"&amp;L70&amp;"*",'V13'!B$300:B$400,0)),"  ")</f>
        <v xml:space="preserve">  </v>
      </c>
      <c r="AM70" s="223"/>
      <c r="AN70" s="223"/>
      <c r="AO70" s="224" t="str">
        <f t="shared" si="55"/>
        <v/>
      </c>
      <c r="AP70" s="627">
        <f t="shared" si="56"/>
        <v>5</v>
      </c>
      <c r="AQ70" s="225">
        <f t="shared" si="57"/>
        <v>64</v>
      </c>
      <c r="AR70" s="226" t="str">
        <f>IFERROR(INDEX(#REF!,MATCH("*"&amp;L70&amp;"*",#REF!,0)),"  ")</f>
        <v xml:space="preserve">  </v>
      </c>
      <c r="AS70" s="227">
        <f t="shared" si="58"/>
        <v>1</v>
      </c>
      <c r="AT70" s="228">
        <f t="shared" si="59"/>
        <v>0</v>
      </c>
      <c r="AU70" s="228">
        <f t="shared" si="60"/>
        <v>0</v>
      </c>
      <c r="AV70" s="156"/>
      <c r="AW70" s="229">
        <f t="shared" si="61"/>
        <v>2.9999999999999997E-4</v>
      </c>
      <c r="AX70" s="230">
        <f t="shared" si="62"/>
        <v>1E-4</v>
      </c>
      <c r="AY70" s="230">
        <f t="shared" si="63"/>
        <v>2.0000000000000001E-4</v>
      </c>
      <c r="AZ70" s="230">
        <f t="shared" si="64"/>
        <v>2.9999999999999997E-4</v>
      </c>
      <c r="BA70" s="230">
        <f t="shared" si="65"/>
        <v>4.0000000000000002E-4</v>
      </c>
      <c r="BB70" s="230">
        <f t="shared" si="66"/>
        <v>5.0000000000000001E-4</v>
      </c>
      <c r="BC70" s="230">
        <f t="shared" si="67"/>
        <v>5.9999999999999995E-4</v>
      </c>
      <c r="BD70" s="230">
        <f t="shared" si="68"/>
        <v>6.9999999999999999E-4</v>
      </c>
      <c r="BE70" s="230">
        <f t="shared" si="69"/>
        <v>8.0000000000000004E-4</v>
      </c>
      <c r="BF70" s="230">
        <f t="shared" si="70"/>
        <v>5.0008999999999997</v>
      </c>
      <c r="BG70" s="230">
        <f t="shared" si="71"/>
        <v>1E-3</v>
      </c>
      <c r="BH70" s="230">
        <f t="shared" si="72"/>
        <v>1.1000000000000001E-3</v>
      </c>
      <c r="BI70" s="230">
        <f t="shared" si="73"/>
        <v>1.1999999999999999E-3</v>
      </c>
      <c r="BJ70" s="230">
        <f t="shared" si="74"/>
        <v>1.2999999999999999E-3</v>
      </c>
      <c r="BK70" s="156"/>
    </row>
    <row r="71" spans="1:63" x14ac:dyDescent="0.2">
      <c r="A71" s="208" t="str">
        <f t="shared" ref="A71:A102" si="76">IF(R71&gt;0,IF(Q71="v",RANK(B71,B$7:B$73,1)-COUNTBLANK(Q$7:Q$73),""),"")</f>
        <v/>
      </c>
      <c r="B71" s="209">
        <f t="shared" ref="B71:B73" si="77">IF((Q71="v"),U71,U71-1000)</f>
        <v>-933</v>
      </c>
      <c r="C71" s="736" t="str">
        <f t="shared" ref="C71:C102" si="78">IF(R71&gt;0,IF(P71="t",RANK(D71,D$7:D$73,1)-COUNTBLANK(P$7:P$73),""),"")</f>
        <v/>
      </c>
      <c r="D71" s="565">
        <f t="shared" ref="D71:D73" si="79">IF((P71="t"),U71,U71-1000)</f>
        <v>-933</v>
      </c>
      <c r="E71" s="210" t="str">
        <f t="shared" ref="E71:E102" si="80">IF(R71&gt;0,IF(N71="m",RANK(F71,F$7:F$73,1)-COUNTBLANK(N$7:N$73),""),"")</f>
        <v/>
      </c>
      <c r="F71" s="209">
        <f t="shared" ref="F71:F73" si="81">IF((N71="m"),U71,U71-1000)</f>
        <v>-933</v>
      </c>
      <c r="G71" s="211" t="str">
        <f t="shared" ref="G71:G102" si="82">IF(R71&gt;0,IF(M71="n",RANK(H71,H$7:H$73,1)-COUNTBLANK(M$7:M$73),""),"")</f>
        <v/>
      </c>
      <c r="H71" s="209">
        <f t="shared" ref="H71:H73" si="83">IF((M71="n"),U71,U71-1000)</f>
        <v>-933</v>
      </c>
      <c r="I71" s="212" t="str">
        <f t="shared" ref="I71:I102" si="84">IF(R71&gt;0,IF(O71="j",RANK(J71,J$7:J$73,1)-COUNTBLANK(O$7:O$73),""),"")</f>
        <v/>
      </c>
      <c r="J71" s="213">
        <f t="shared" ref="J71:J73" si="85">IF((O71="j"),U71,U71-1000)</f>
        <v>-933</v>
      </c>
      <c r="K71" s="178">
        <f t="shared" si="75"/>
        <v>64</v>
      </c>
      <c r="L71" s="232" t="s">
        <v>322</v>
      </c>
      <c r="M71" s="215"/>
      <c r="N71" s="216"/>
      <c r="O71" s="250"/>
      <c r="P71" s="218"/>
      <c r="Q71" s="219"/>
      <c r="R71" s="220">
        <f t="array" ref="R71">(IF(COUNT(Z71,AA71,AB71,AC71,AD71,AE71,AF71,AG71,AH71,AI71,AJ71,AK71,AL71,AM71,AN71)&lt;11,SUM(Z71,AA71,AB71,AC71,AD71,AE71,AF71,AG71,AH71,AI71,AJ71,AK71,AL71,AM71,AN71),SUM(LARGE((Z71,AA71,AB71,AC71,AD71,AE71,AF71,AG71,AH71,AI71,AJ71,AK71,AL71,AM71,AN71),{1;2;3;4;5;6;7;8;9;10}))))</f>
        <v>5</v>
      </c>
      <c r="S71" s="221" t="str">
        <f>INDEX(ETAPP!B$1:B$32,MATCH(COUNTIF(Z71:AN71,PVO!A$1),ETAPP!A$1:A$32,0))&amp;INDEX(ETAPP!B$1:B$32,MATCH(COUNTIF(Z71:AN71,PVO!A$2),ETAPP!A$1:A$32,0))&amp;INDEX(ETAPP!B$1:B$32,MATCH(COUNTIF(Z71:AN71,PVO!A$3),ETAPP!A$1:A$32,0))&amp;INDEX(ETAPP!B$1:B$32,MATCH(COUNTIF(Z71:AN71,PVO!A$4),ETAPP!A$1:A$32,0))&amp;INDEX(ETAPP!B$1:B$32,MATCH(COUNTIF(Z71:AN71,PVO!A$5),ETAPP!A$1:A$32,0))&amp;INDEX(ETAPP!B$1:B$32,MATCH(COUNTIF(Z71:AN71,PVO!A$6),ETAPP!A$1:A$32,0))&amp;INDEX(ETAPP!B$1:B$32,MATCH(COUNTIF(Z71:AN71,PVO!A$7),ETAPP!A$1:A$32,0))&amp;INDEX(ETAPP!B$1:B$32,MATCH(COUNTIF(Z71:AN71,PVO!A$8),ETAPP!A$1:A$32,0))&amp;INDEX(ETAPP!B$1:B$32,MATCH(COUNTIF(Z71:AN71,PVO!A$9),ETAPP!A$1:A$32,0))&amp;INDEX(ETAPP!B$1:B$32,MATCH(COUNTIF(Z71:AN71,PVO!A$10),ETAPP!A$1:A$32,0))&amp;INDEX(ETAPP!B$1:B$32,MATCH(COUNTIF(Z71:AN71,PVO!A$11),ETAPP!A$1:A$32,0))&amp;INDEX(ETAPP!B$1:B$32,MATCH(COUNTIF(Z71:AN71,PVO!A$12),ETAPP!A$1:A$32,0))&amp;INDEX(ETAPP!B$1:B$32,MATCH(COUNTIF(Z71:AN71,PVO!A$13),ETAPP!A$1:A$32,0))&amp;INDEX(ETAPP!B$1:B$32,MATCH(COUNTIF(Z71:AN71,PVO!A$14),ETAPP!A$1:A$32,0))&amp;INDEX(ETAPP!B$1:B$32,MATCH(COUNTIF(Z71:AN71,PVO!A$15),ETAPP!A$1:A$32,0))&amp;INDEX(ETAPP!B$1:B$32,MATCH(COUNTIF(Z71:AN71,PVO!A$16),ETAPP!A$1:A$32,0))&amp;INDEX(ETAPP!B$1:B$32,MATCH(COUNTIF(Z71:AN71,PVO!A$17),ETAPP!A$1:A$32,0))&amp;INDEX(ETAPP!B$1:B$32,MATCH(COUNTIF(Z71:AN71,PVO!A$18),ETAPP!A$1:A$32,0))&amp;INDEX(ETAPP!B$1:B$32,MATCH(COUNTIF(Z71:AN71,PVO!A$19),ETAPP!A$1:A$32,0))&amp;INDEX(ETAPP!B$1:B$32,MATCH(COUNTIF(Z71:AN71,PVO!A$20),ETAPP!A$1:A$32,0))&amp;INDEX(ETAPP!B$1:B$32,MATCH(COUNTIF(Z71:AN71,PVO!A$21),ETAPP!A$1:A$32,0))</f>
        <v>000000000000000A00000</v>
      </c>
      <c r="T71" s="221" t="str">
        <f t="shared" ref="T71:T73" si="86">TEXT(R71,"000,0")&amp;"-"&amp;S71</f>
        <v>005,0-000000000000000A00000</v>
      </c>
      <c r="U71" s="221">
        <f t="shared" ref="U71:U102" si="87">COUNTIF(T$7:T$73,"&gt;="&amp;T71)</f>
        <v>67</v>
      </c>
      <c r="V71" s="221">
        <f t="shared" si="51"/>
        <v>56</v>
      </c>
      <c r="W71" s="221" t="str">
        <f t="shared" ref="W71:W73" si="88">TEXT(R71,"000,0")&amp;"-"&amp;S71&amp;"-"&amp;TEXT(V71,"000")</f>
        <v>005,0-000000000000000A00000-056</v>
      </c>
      <c r="X71" s="221">
        <f t="shared" ref="X71:X102" si="89">COUNTIF(W$7:W$73,"&gt;="&amp;W71)</f>
        <v>65</v>
      </c>
      <c r="Y71" s="222">
        <f t="shared" ref="Y71:Y102" si="90">RANK(X71,X$7:X$73,0)</f>
        <v>3</v>
      </c>
      <c r="Z71" s="223" t="str">
        <f>IFERROR(INDEX('V1'!C$300:C$400,MATCH("*"&amp;L71&amp;"*",'V1'!B$300:B$400,0)),"  ")</f>
        <v xml:space="preserve">  </v>
      </c>
      <c r="AA71" s="223">
        <f>IFERROR(INDEX('V2'!C$300:C$400,MATCH("*"&amp;L71&amp;"*",'V2'!B$300:B$400,0)),"  ")</f>
        <v>5</v>
      </c>
      <c r="AB71" s="223" t="str">
        <f>IFERROR(INDEX('V3'!C$300:C$400,MATCH("*"&amp;L71&amp;"*",'V3'!B$300:B$400,0)),"  ")</f>
        <v xml:space="preserve">  </v>
      </c>
      <c r="AC71" s="223" t="str">
        <f>IFERROR(INDEX('V4'!C$300:C$400,MATCH("*"&amp;L71&amp;"*",'V4'!B$300:B$400,0)),"  ")</f>
        <v xml:space="preserve">  </v>
      </c>
      <c r="AD71" s="223" t="str">
        <f>IFERROR(INDEX('V5'!C$300:C$400,MATCH("*"&amp;L71&amp;"*",'V5'!B$300:B$400,0)),"  ")</f>
        <v xml:space="preserve">  </v>
      </c>
      <c r="AE71" s="223" t="str">
        <f>IFERROR(INDEX('V6'!C$300:C$400,MATCH("*"&amp;L71&amp;"*",'V6'!B$300:B$400,0)),"  ")</f>
        <v xml:space="preserve">  </v>
      </c>
      <c r="AF71" s="223" t="str">
        <f>IFERROR(INDEX('V7'!C$300:C$400,MATCH("*"&amp;L71&amp;"*",'V7'!B$300:B$400,0)),"  ")</f>
        <v xml:space="preserve">  </v>
      </c>
      <c r="AG71" s="223" t="str">
        <f>IFERROR(INDEX('V8'!C$300:C$400,MATCH("*"&amp;L71&amp;"*",'V8'!B$300:B$400,0)),"  ")</f>
        <v xml:space="preserve">  </v>
      </c>
      <c r="AH71" s="223" t="str">
        <f>IFERROR(INDEX('V9'!C$300:C$400,MATCH("*"&amp;L71&amp;"*",'V9'!B$300:B$400,0)),"  ")</f>
        <v xml:space="preserve">  </v>
      </c>
      <c r="AI71" s="223" t="str">
        <f>IFERROR(INDEX('V10'!C$300:C$400,MATCH("*"&amp;L71&amp;"*",'V10'!B$300:B$400,0)),"  ")</f>
        <v xml:space="preserve">  </v>
      </c>
      <c r="AJ71" s="223" t="str">
        <f>IFERROR(INDEX('V11'!C$300:C$400,MATCH("*"&amp;L71&amp;"*",'V11'!B$300:B$400,0)),"  ")</f>
        <v xml:space="preserve">  </v>
      </c>
      <c r="AK71" s="223" t="str">
        <f>IFERROR(INDEX('V12'!C$300:C$400,MATCH("*"&amp;L71&amp;"*",'V12'!B$300:B$400,0)),"  ")</f>
        <v xml:space="preserve">  </v>
      </c>
      <c r="AL71" s="223" t="str">
        <f>IFERROR(INDEX('V13'!C$300:C$400,MATCH("*"&amp;L71&amp;"*",'V13'!B$300:B$400,0)),"  ")</f>
        <v xml:space="preserve">  </v>
      </c>
      <c r="AM71" s="223"/>
      <c r="AN71" s="223"/>
      <c r="AO71" s="224" t="str">
        <f t="shared" ref="AO71:AO73" si="91">IF(AS71&gt;(AW$2-1),K71,"")</f>
        <v/>
      </c>
      <c r="AP71" s="627">
        <f t="shared" ref="AP71:AP73" si="92">SUM(Z71:AN71)</f>
        <v>5</v>
      </c>
      <c r="AQ71" s="225">
        <f t="shared" si="57"/>
        <v>64</v>
      </c>
      <c r="AR71" s="226" t="str">
        <f>IFERROR(INDEX(#REF!,MATCH("*"&amp;L71&amp;"*",#REF!,0)),"  ")</f>
        <v xml:space="preserve">  </v>
      </c>
      <c r="AS71" s="227">
        <f t="shared" ref="AS71:AS73" si="93">COUNTIF(Z71:AN71,"&gt;=0")</f>
        <v>1</v>
      </c>
      <c r="AT71" s="228">
        <f t="shared" si="59"/>
        <v>0</v>
      </c>
      <c r="AU71" s="228">
        <f t="shared" si="60"/>
        <v>0</v>
      </c>
      <c r="AV71" s="156"/>
      <c r="AW71" s="229">
        <f t="shared" ref="AW71:AW73" si="94">SMALL(AX71:BJ71,AW$3)</f>
        <v>4.0000000000000002E-4</v>
      </c>
      <c r="AX71" s="230">
        <f t="shared" ref="AX71:AX73" si="95">IF(Z71="  ",0+MID(Z$6,FIND("V",Z$6)+1,256)/10000,Z71+MID(Z$6,FIND("V",Z$6)+1,256)/10000)</f>
        <v>1E-4</v>
      </c>
      <c r="AY71" s="230">
        <f t="shared" ref="AY71:AY73" si="96">IF(AA71="  ",0+MID(AA$6,FIND("V",AA$6)+1,256)/10000,AA71+MID(AA$6,FIND("V",AA$6)+1,256)/10000)</f>
        <v>5.0002000000000004</v>
      </c>
      <c r="AZ71" s="230">
        <f t="shared" ref="AZ71:AZ73" si="97">IF(AB71="  ",0+MID(AB$6,FIND("V",AB$6)+1,256)/10000,AB71+MID(AB$6,FIND("V",AB$6)+1,256)/10000)</f>
        <v>2.9999999999999997E-4</v>
      </c>
      <c r="BA71" s="230">
        <f t="shared" ref="BA71:BA73" si="98">IF(AC71="  ",0+MID(AC$6,FIND("V",AC$6)+1,256)/10000,AC71+MID(AC$6,FIND("V",AC$6)+1,256)/10000)</f>
        <v>4.0000000000000002E-4</v>
      </c>
      <c r="BB71" s="230">
        <f t="shared" ref="BB71:BB73" si="99">IF(AD71="  ",0+MID(AD$6,FIND("V",AD$6)+1,256)/10000,AD71+MID(AD$6,FIND("V",AD$6)+1,256)/10000)</f>
        <v>5.0000000000000001E-4</v>
      </c>
      <c r="BC71" s="230">
        <f t="shared" ref="BC71:BC73" si="100">IF(AE71="  ",0+MID(AE$6,FIND("V",AE$6)+1,256)/10000,AE71+MID(AE$6,FIND("V",AE$6)+1,256)/10000)</f>
        <v>5.9999999999999995E-4</v>
      </c>
      <c r="BD71" s="230">
        <f t="shared" ref="BD71:BD73" si="101">IF(AF71="  ",0+MID(AF$6,FIND("V",AF$6)+1,256)/10000,AF71+MID(AF$6,FIND("V",AF$6)+1,256)/10000)</f>
        <v>6.9999999999999999E-4</v>
      </c>
      <c r="BE71" s="230">
        <f t="shared" ref="BE71:BE73" si="102">IF(AG71="  ",0+MID(AG$6,FIND("V",AG$6)+1,256)/10000,AG71+MID(AG$6,FIND("V",AG$6)+1,256)/10000)</f>
        <v>8.0000000000000004E-4</v>
      </c>
      <c r="BF71" s="230">
        <f t="shared" ref="BF71:BF73" si="103">IF(AH71="  ",0+MID(AH$6,FIND("V",AH$6)+1,256)/10000,AH71+MID(AH$6,FIND("V",AH$6)+1,256)/10000)</f>
        <v>8.9999999999999998E-4</v>
      </c>
      <c r="BG71" s="230">
        <f t="shared" ref="BG71:BG73" si="104">IF(AI71="  ",0+MID(AI$6,FIND("V",AI$6)+1,256)/10000,AI71+MID(AI$6,FIND("V",AI$6)+1,256)/10000)</f>
        <v>1E-3</v>
      </c>
      <c r="BH71" s="230">
        <f t="shared" ref="BH71:BH73" si="105">IF(AJ71="  ",0+MID(AJ$6,FIND("V",AJ$6)+1,256)/10000,AJ71+MID(AJ$6,FIND("V",AJ$6)+1,256)/10000)</f>
        <v>1.1000000000000001E-3</v>
      </c>
      <c r="BI71" s="230">
        <f t="shared" ref="BI71:BI73" si="106">IF(AK71="  ",0+MID(AK$6,FIND("V",AK$6)+1,256)/10000,AK71+MID(AK$6,FIND("V",AK$6)+1,256)/10000)</f>
        <v>1.1999999999999999E-3</v>
      </c>
      <c r="BJ71" s="230">
        <f t="shared" ref="BJ71:BJ73" si="107">IF(AL71="  ",0+MID(AL$6,FIND("V",AL$6)+1,256)/10000,AL71+MID(AL$6,FIND("V",AL$6)+1,256)/10000)</f>
        <v>1.2999999999999999E-3</v>
      </c>
      <c r="BK71" s="156"/>
    </row>
    <row r="72" spans="1:63" x14ac:dyDescent="0.2">
      <c r="A72" s="208" t="str">
        <f t="shared" si="76"/>
        <v/>
      </c>
      <c r="B72" s="209">
        <f t="shared" si="77"/>
        <v>-933</v>
      </c>
      <c r="C72" s="736" t="str">
        <f t="shared" si="78"/>
        <v/>
      </c>
      <c r="D72" s="565">
        <f t="shared" si="79"/>
        <v>-933</v>
      </c>
      <c r="E72" s="210" t="str">
        <f t="shared" si="80"/>
        <v/>
      </c>
      <c r="F72" s="209">
        <f t="shared" si="81"/>
        <v>-933</v>
      </c>
      <c r="G72" s="211">
        <f t="shared" si="82"/>
        <v>15</v>
      </c>
      <c r="H72" s="209">
        <f t="shared" si="83"/>
        <v>67</v>
      </c>
      <c r="I72" s="212">
        <f t="shared" si="84"/>
        <v>11</v>
      </c>
      <c r="J72" s="213">
        <f t="shared" si="85"/>
        <v>67</v>
      </c>
      <c r="K72" s="178">
        <f t="shared" si="75"/>
        <v>64</v>
      </c>
      <c r="L72" s="232" t="s">
        <v>323</v>
      </c>
      <c r="M72" s="215" t="s">
        <v>135</v>
      </c>
      <c r="N72" s="216"/>
      <c r="O72" s="250" t="s">
        <v>142</v>
      </c>
      <c r="P72" s="218"/>
      <c r="Q72" s="219"/>
      <c r="R72" s="220">
        <f t="array" ref="R72">(IF(COUNT(Z72,AA72,AB72,AC72,AD72,AE72,AF72,AG72,AH72,AI72,AJ72,AK72,AL72,AM72,AN72)&lt;11,SUM(Z72,AA72,AB72,AC72,AD72,AE72,AF72,AG72,AH72,AI72,AJ72,AK72,AL72,AM72,AN72),SUM(LARGE((Z72,AA72,AB72,AC72,AD72,AE72,AF72,AG72,AH72,AI72,AJ72,AK72,AL72,AM72,AN72),{1;2;3;4;5;6;7;8;9;10}))))</f>
        <v>5</v>
      </c>
      <c r="S72" s="221" t="str">
        <f>INDEX(ETAPP!B$1:B$32,MATCH(COUNTIF(Z72:AN72,PVO!A$1),ETAPP!A$1:A$32,0))&amp;INDEX(ETAPP!B$1:B$32,MATCH(COUNTIF(Z72:AN72,PVO!A$2),ETAPP!A$1:A$32,0))&amp;INDEX(ETAPP!B$1:B$32,MATCH(COUNTIF(Z72:AN72,PVO!A$3),ETAPP!A$1:A$32,0))&amp;INDEX(ETAPP!B$1:B$32,MATCH(COUNTIF(Z72:AN72,PVO!A$4),ETAPP!A$1:A$32,0))&amp;INDEX(ETAPP!B$1:B$32,MATCH(COUNTIF(Z72:AN72,PVO!A$5),ETAPP!A$1:A$32,0))&amp;INDEX(ETAPP!B$1:B$32,MATCH(COUNTIF(Z72:AN72,PVO!A$6),ETAPP!A$1:A$32,0))&amp;INDEX(ETAPP!B$1:B$32,MATCH(COUNTIF(Z72:AN72,PVO!A$7),ETAPP!A$1:A$32,0))&amp;INDEX(ETAPP!B$1:B$32,MATCH(COUNTIF(Z72:AN72,PVO!A$8),ETAPP!A$1:A$32,0))&amp;INDEX(ETAPP!B$1:B$32,MATCH(COUNTIF(Z72:AN72,PVO!A$9),ETAPP!A$1:A$32,0))&amp;INDEX(ETAPP!B$1:B$32,MATCH(COUNTIF(Z72:AN72,PVO!A$10),ETAPP!A$1:A$32,0))&amp;INDEX(ETAPP!B$1:B$32,MATCH(COUNTIF(Z72:AN72,PVO!A$11),ETAPP!A$1:A$32,0))&amp;INDEX(ETAPP!B$1:B$32,MATCH(COUNTIF(Z72:AN72,PVO!A$12),ETAPP!A$1:A$32,0))&amp;INDEX(ETAPP!B$1:B$32,MATCH(COUNTIF(Z72:AN72,PVO!A$13),ETAPP!A$1:A$32,0))&amp;INDEX(ETAPP!B$1:B$32,MATCH(COUNTIF(Z72:AN72,PVO!A$14),ETAPP!A$1:A$32,0))&amp;INDEX(ETAPP!B$1:B$32,MATCH(COUNTIF(Z72:AN72,PVO!A$15),ETAPP!A$1:A$32,0))&amp;INDEX(ETAPP!B$1:B$32,MATCH(COUNTIF(Z72:AN72,PVO!A$16),ETAPP!A$1:A$32,0))&amp;INDEX(ETAPP!B$1:B$32,MATCH(COUNTIF(Z72:AN72,PVO!A$17),ETAPP!A$1:A$32,0))&amp;INDEX(ETAPP!B$1:B$32,MATCH(COUNTIF(Z72:AN72,PVO!A$18),ETAPP!A$1:A$32,0))&amp;INDEX(ETAPP!B$1:B$32,MATCH(COUNTIF(Z72:AN72,PVO!A$19),ETAPP!A$1:A$32,0))&amp;INDEX(ETAPP!B$1:B$32,MATCH(COUNTIF(Z72:AN72,PVO!A$20),ETAPP!A$1:A$32,0))&amp;INDEX(ETAPP!B$1:B$32,MATCH(COUNTIF(Z72:AN72,PVO!A$21),ETAPP!A$1:A$32,0))</f>
        <v>000000000000000A00000</v>
      </c>
      <c r="T72" s="221" t="str">
        <f t="shared" si="86"/>
        <v>005,0-000000000000000A00000</v>
      </c>
      <c r="U72" s="221">
        <f t="shared" si="87"/>
        <v>67</v>
      </c>
      <c r="V72" s="221">
        <f t="shared" si="51"/>
        <v>34</v>
      </c>
      <c r="W72" s="221" t="str">
        <f t="shared" si="88"/>
        <v>005,0-000000000000000A00000-034</v>
      </c>
      <c r="X72" s="221">
        <f t="shared" si="89"/>
        <v>66</v>
      </c>
      <c r="Y72" s="222">
        <f t="shared" si="90"/>
        <v>2</v>
      </c>
      <c r="Z72" s="223" t="str">
        <f>IFERROR(INDEX('V1'!C$300:C$400,MATCH("*"&amp;L72&amp;"*",'V1'!B$300:B$400,0)),"  ")</f>
        <v xml:space="preserve">  </v>
      </c>
      <c r="AA72" s="223">
        <f>IFERROR(INDEX('V2'!C$300:C$400,MATCH("*"&amp;L72&amp;"*",'V2'!B$300:B$400,0)),"  ")</f>
        <v>5</v>
      </c>
      <c r="AB72" s="223" t="str">
        <f>IFERROR(INDEX('V3'!C$300:C$400,MATCH("*"&amp;L72&amp;"*",'V3'!B$300:B$400,0)),"  ")</f>
        <v xml:space="preserve">  </v>
      </c>
      <c r="AC72" s="223" t="str">
        <f>IFERROR(INDEX('V4'!C$300:C$400,MATCH("*"&amp;L72&amp;"*",'V4'!B$300:B$400,0)),"  ")</f>
        <v xml:space="preserve">  </v>
      </c>
      <c r="AD72" s="223" t="str">
        <f>IFERROR(INDEX('V5'!C$300:C$400,MATCH("*"&amp;L72&amp;"*",'V5'!B$300:B$400,0)),"  ")</f>
        <v xml:space="preserve">  </v>
      </c>
      <c r="AE72" s="223" t="str">
        <f>IFERROR(INDEX('V6'!C$300:C$400,MATCH("*"&amp;L72&amp;"*",'V6'!B$300:B$400,0)),"  ")</f>
        <v xml:space="preserve">  </v>
      </c>
      <c r="AF72" s="223" t="str">
        <f>IFERROR(INDEX('V7'!C$300:C$400,MATCH("*"&amp;L72&amp;"*",'V7'!B$300:B$400,0)),"  ")</f>
        <v xml:space="preserve">  </v>
      </c>
      <c r="AG72" s="223" t="str">
        <f>IFERROR(INDEX('V8'!C$300:C$400,MATCH("*"&amp;L72&amp;"*",'V8'!B$300:B$400,0)),"  ")</f>
        <v xml:space="preserve">  </v>
      </c>
      <c r="AH72" s="223" t="str">
        <f>IFERROR(INDEX('V9'!C$300:C$400,MATCH("*"&amp;L72&amp;"*",'V9'!B$300:B$400,0)),"  ")</f>
        <v xml:space="preserve">  </v>
      </c>
      <c r="AI72" s="223" t="str">
        <f>IFERROR(INDEX('V10'!C$300:C$400,MATCH("*"&amp;L72&amp;"*",'V10'!B$300:B$400,0)),"  ")</f>
        <v xml:space="preserve">  </v>
      </c>
      <c r="AJ72" s="223" t="str">
        <f>IFERROR(INDEX('V11'!C$300:C$400,MATCH("*"&amp;L72&amp;"*",'V11'!B$300:B$400,0)),"  ")</f>
        <v xml:space="preserve">  </v>
      </c>
      <c r="AK72" s="223" t="str">
        <f>IFERROR(INDEX('V12'!C$300:C$400,MATCH("*"&amp;L72&amp;"*",'V12'!B$300:B$400,0)),"  ")</f>
        <v xml:space="preserve">  </v>
      </c>
      <c r="AL72" s="223" t="str">
        <f>IFERROR(INDEX('V13'!C$300:C$400,MATCH("*"&amp;L72&amp;"*",'V13'!B$300:B$400,0)),"  ")</f>
        <v xml:space="preserve">  </v>
      </c>
      <c r="AM72" s="223"/>
      <c r="AN72" s="223"/>
      <c r="AO72" s="224" t="str">
        <f t="shared" si="91"/>
        <v/>
      </c>
      <c r="AP72" s="627">
        <f t="shared" si="92"/>
        <v>5</v>
      </c>
      <c r="AQ72" s="225">
        <f t="shared" si="57"/>
        <v>64</v>
      </c>
      <c r="AR72" s="226" t="str">
        <f>IFERROR(INDEX(#REF!,MATCH("*"&amp;L72&amp;"*",#REF!,0)),"  ")</f>
        <v xml:space="preserve">  </v>
      </c>
      <c r="AS72" s="227">
        <f t="shared" si="93"/>
        <v>1</v>
      </c>
      <c r="AT72" s="228">
        <f t="shared" si="59"/>
        <v>0</v>
      </c>
      <c r="AU72" s="228">
        <f t="shared" si="60"/>
        <v>0</v>
      </c>
      <c r="AV72" s="156"/>
      <c r="AW72" s="229">
        <f t="shared" si="94"/>
        <v>4.0000000000000002E-4</v>
      </c>
      <c r="AX72" s="230">
        <f t="shared" si="95"/>
        <v>1E-4</v>
      </c>
      <c r="AY72" s="230">
        <f t="shared" si="96"/>
        <v>5.0002000000000004</v>
      </c>
      <c r="AZ72" s="230">
        <f t="shared" si="97"/>
        <v>2.9999999999999997E-4</v>
      </c>
      <c r="BA72" s="230">
        <f t="shared" si="98"/>
        <v>4.0000000000000002E-4</v>
      </c>
      <c r="BB72" s="230">
        <f t="shared" si="99"/>
        <v>5.0000000000000001E-4</v>
      </c>
      <c r="BC72" s="230">
        <f t="shared" si="100"/>
        <v>5.9999999999999995E-4</v>
      </c>
      <c r="BD72" s="230">
        <f t="shared" si="101"/>
        <v>6.9999999999999999E-4</v>
      </c>
      <c r="BE72" s="230">
        <f t="shared" si="102"/>
        <v>8.0000000000000004E-4</v>
      </c>
      <c r="BF72" s="230">
        <f t="shared" si="103"/>
        <v>8.9999999999999998E-4</v>
      </c>
      <c r="BG72" s="230">
        <f t="shared" si="104"/>
        <v>1E-3</v>
      </c>
      <c r="BH72" s="230">
        <f t="shared" si="105"/>
        <v>1.1000000000000001E-3</v>
      </c>
      <c r="BI72" s="230">
        <f t="shared" si="106"/>
        <v>1.1999999999999999E-3</v>
      </c>
      <c r="BJ72" s="230">
        <f t="shared" si="107"/>
        <v>1.2999999999999999E-3</v>
      </c>
      <c r="BK72" s="156"/>
    </row>
    <row r="73" spans="1:63" x14ac:dyDescent="0.2">
      <c r="A73" s="208" t="str">
        <f t="shared" si="76"/>
        <v/>
      </c>
      <c r="B73" s="209">
        <f t="shared" si="77"/>
        <v>-933</v>
      </c>
      <c r="C73" s="736" t="str">
        <f t="shared" si="78"/>
        <v/>
      </c>
      <c r="D73" s="565">
        <f t="shared" si="79"/>
        <v>-933</v>
      </c>
      <c r="E73" s="210">
        <f t="shared" si="80"/>
        <v>48</v>
      </c>
      <c r="F73" s="209">
        <f t="shared" si="81"/>
        <v>67</v>
      </c>
      <c r="G73" s="211" t="str">
        <f t="shared" si="82"/>
        <v/>
      </c>
      <c r="H73" s="209">
        <f t="shared" si="83"/>
        <v>-933</v>
      </c>
      <c r="I73" s="212">
        <f t="shared" si="84"/>
        <v>11</v>
      </c>
      <c r="J73" s="213">
        <f t="shared" si="85"/>
        <v>67</v>
      </c>
      <c r="K73" s="178">
        <f t="shared" si="75"/>
        <v>64</v>
      </c>
      <c r="L73" s="232" t="s">
        <v>509</v>
      </c>
      <c r="M73" s="215"/>
      <c r="N73" s="216" t="s">
        <v>128</v>
      </c>
      <c r="O73" s="250" t="s">
        <v>142</v>
      </c>
      <c r="P73" s="218"/>
      <c r="Q73" s="219"/>
      <c r="R73" s="220">
        <f t="array" ref="R73">(IF(COUNT(Z73,AA73,AB73,AC73,AD73,AE73,AF73,AG73,AH73,AI73,AJ73,AK73,AL73,AM73,AN73)&lt;11,SUM(Z73,AA73,AB73,AC73,AD73,AE73,AF73,AG73,AH73,AI73,AJ73,AK73,AL73,AM73,AN73),SUM(LARGE((Z73,AA73,AB73,AC73,AD73,AE73,AF73,AG73,AH73,AI73,AJ73,AK73,AL73,AM73,AN73),{1;2;3;4;5;6;7;8;9;10}))))</f>
        <v>5</v>
      </c>
      <c r="S73" s="221" t="str">
        <f>INDEX(ETAPP!B$1:B$32,MATCH(COUNTIF(Z73:AN73,PVO!A$1),ETAPP!A$1:A$32,0))&amp;INDEX(ETAPP!B$1:B$32,MATCH(COUNTIF(Z73:AN73,PVO!A$2),ETAPP!A$1:A$32,0))&amp;INDEX(ETAPP!B$1:B$32,MATCH(COUNTIF(Z73:AN73,PVO!A$3),ETAPP!A$1:A$32,0))&amp;INDEX(ETAPP!B$1:B$32,MATCH(COUNTIF(Z73:AN73,PVO!A$4),ETAPP!A$1:A$32,0))&amp;INDEX(ETAPP!B$1:B$32,MATCH(COUNTIF(Z73:AN73,PVO!A$5),ETAPP!A$1:A$32,0))&amp;INDEX(ETAPP!B$1:B$32,MATCH(COUNTIF(Z73:AN73,PVO!A$6),ETAPP!A$1:A$32,0))&amp;INDEX(ETAPP!B$1:B$32,MATCH(COUNTIF(Z73:AN73,PVO!A$7),ETAPP!A$1:A$32,0))&amp;INDEX(ETAPP!B$1:B$32,MATCH(COUNTIF(Z73:AN73,PVO!A$8),ETAPP!A$1:A$32,0))&amp;INDEX(ETAPP!B$1:B$32,MATCH(COUNTIF(Z73:AN73,PVO!A$9),ETAPP!A$1:A$32,0))&amp;INDEX(ETAPP!B$1:B$32,MATCH(COUNTIF(Z73:AN73,PVO!A$10),ETAPP!A$1:A$32,0))&amp;INDEX(ETAPP!B$1:B$32,MATCH(COUNTIF(Z73:AN73,PVO!A$11),ETAPP!A$1:A$32,0))&amp;INDEX(ETAPP!B$1:B$32,MATCH(COUNTIF(Z73:AN73,PVO!A$12),ETAPP!A$1:A$32,0))&amp;INDEX(ETAPP!B$1:B$32,MATCH(COUNTIF(Z73:AN73,PVO!A$13),ETAPP!A$1:A$32,0))&amp;INDEX(ETAPP!B$1:B$32,MATCH(COUNTIF(Z73:AN73,PVO!A$14),ETAPP!A$1:A$32,0))&amp;INDEX(ETAPP!B$1:B$32,MATCH(COUNTIF(Z73:AN73,PVO!A$15),ETAPP!A$1:A$32,0))&amp;INDEX(ETAPP!B$1:B$32,MATCH(COUNTIF(Z73:AN73,PVO!A$16),ETAPP!A$1:A$32,0))&amp;INDEX(ETAPP!B$1:B$32,MATCH(COUNTIF(Z73:AN73,PVO!A$17),ETAPP!A$1:A$32,0))&amp;INDEX(ETAPP!B$1:B$32,MATCH(COUNTIF(Z73:AN73,PVO!A$18),ETAPP!A$1:A$32,0))&amp;INDEX(ETAPP!B$1:B$32,MATCH(COUNTIF(Z73:AN73,PVO!A$19),ETAPP!A$1:A$32,0))&amp;INDEX(ETAPP!B$1:B$32,MATCH(COUNTIF(Z73:AN73,PVO!A$20),ETAPP!A$1:A$32,0))&amp;INDEX(ETAPP!B$1:B$32,MATCH(COUNTIF(Z73:AN73,PVO!A$21),ETAPP!A$1:A$32,0))</f>
        <v>000000000000000A00000</v>
      </c>
      <c r="T73" s="221" t="str">
        <f t="shared" si="86"/>
        <v>005,0-000000000000000A00000</v>
      </c>
      <c r="U73" s="221">
        <f t="shared" si="87"/>
        <v>67</v>
      </c>
      <c r="V73" s="221">
        <f t="shared" si="51"/>
        <v>20</v>
      </c>
      <c r="W73" s="221" t="str">
        <f t="shared" si="88"/>
        <v>005,0-000000000000000A00000-020</v>
      </c>
      <c r="X73" s="221">
        <f t="shared" si="89"/>
        <v>67</v>
      </c>
      <c r="Y73" s="222">
        <f t="shared" si="90"/>
        <v>1</v>
      </c>
      <c r="Z73" s="223" t="str">
        <f>IFERROR(INDEX('V1'!C$300:C$400,MATCH("*"&amp;L73&amp;"*",'V1'!B$300:B$400,0)),"  ")</f>
        <v xml:space="preserve">  </v>
      </c>
      <c r="AA73" s="223" t="str">
        <f>IFERROR(INDEX('V2'!C$300:C$400,MATCH("*"&amp;L73&amp;"*",'V2'!B$300:B$400,0)),"  ")</f>
        <v xml:space="preserve">  </v>
      </c>
      <c r="AB73" s="223" t="str">
        <f>IFERROR(INDEX('V3'!C$300:C$400,MATCH("*"&amp;L73&amp;"*",'V3'!B$300:B$400,0)),"  ")</f>
        <v xml:space="preserve">  </v>
      </c>
      <c r="AC73" s="223" t="str">
        <f>IFERROR(INDEX('V4'!C$300:C$400,MATCH("*"&amp;L73&amp;"*",'V4'!B$300:B$400,0)),"  ")</f>
        <v xml:space="preserve">  </v>
      </c>
      <c r="AD73" s="223" t="str">
        <f>IFERROR(INDEX('V5'!C$300:C$400,MATCH("*"&amp;L73&amp;"*",'V5'!B$300:B$400,0)),"  ")</f>
        <v xml:space="preserve">  </v>
      </c>
      <c r="AE73" s="223" t="str">
        <f>IFERROR(INDEX('V6'!C$300:C$400,MATCH("*"&amp;L73&amp;"*",'V6'!B$300:B$400,0)),"  ")</f>
        <v xml:space="preserve">  </v>
      </c>
      <c r="AF73" s="223" t="str">
        <f>IFERROR(INDEX('V7'!C$300:C$400,MATCH("*"&amp;L73&amp;"*",'V7'!B$300:B$400,0)),"  ")</f>
        <v xml:space="preserve">  </v>
      </c>
      <c r="AG73" s="223" t="str">
        <f>IFERROR(INDEX('V8'!C$300:C$400,MATCH("*"&amp;L73&amp;"*",'V8'!B$300:B$400,0)),"  ")</f>
        <v xml:space="preserve">  </v>
      </c>
      <c r="AH73" s="223">
        <f>IFERROR(INDEX('V9'!C$300:C$400,MATCH("*"&amp;L73&amp;"*",'V9'!B$300:B$400,0)),"  ")</f>
        <v>5</v>
      </c>
      <c r="AI73" s="223" t="str">
        <f>IFERROR(INDEX('V10'!C$300:C$400,MATCH("*"&amp;L73&amp;"*",'V10'!B$300:B$400,0)),"  ")</f>
        <v xml:space="preserve">  </v>
      </c>
      <c r="AJ73" s="223" t="str">
        <f>IFERROR(INDEX('V11'!C$300:C$400,MATCH("*"&amp;L73&amp;"*",'V11'!B$300:B$400,0)),"  ")</f>
        <v xml:space="preserve">  </v>
      </c>
      <c r="AK73" s="223" t="str">
        <f>IFERROR(INDEX('V12'!C$300:C$400,MATCH("*"&amp;L73&amp;"*",'V12'!B$300:B$400,0)),"  ")</f>
        <v xml:space="preserve">  </v>
      </c>
      <c r="AL73" s="223" t="str">
        <f>IFERROR(INDEX('V13'!C$300:C$400,MATCH("*"&amp;L73&amp;"*",'V13'!B$300:B$400,0)),"  ")</f>
        <v xml:space="preserve">  </v>
      </c>
      <c r="AM73" s="223"/>
      <c r="AN73" s="223"/>
      <c r="AO73" s="224" t="str">
        <f t="shared" si="91"/>
        <v/>
      </c>
      <c r="AP73" s="627">
        <f t="shared" si="92"/>
        <v>5</v>
      </c>
      <c r="AQ73" s="225">
        <f t="shared" si="57"/>
        <v>64</v>
      </c>
      <c r="AR73" s="226" t="str">
        <f>IFERROR(INDEX(#REF!,MATCH("*"&amp;L73&amp;"*",#REF!,0)),"  ")</f>
        <v xml:space="preserve">  </v>
      </c>
      <c r="AS73" s="227">
        <f t="shared" si="93"/>
        <v>1</v>
      </c>
      <c r="AT73" s="228">
        <f t="shared" si="59"/>
        <v>0</v>
      </c>
      <c r="AU73" s="228">
        <f t="shared" si="60"/>
        <v>0</v>
      </c>
      <c r="AV73" s="156"/>
      <c r="AW73" s="229">
        <f t="shared" si="94"/>
        <v>2.9999999999999997E-4</v>
      </c>
      <c r="AX73" s="230">
        <f t="shared" si="95"/>
        <v>1E-4</v>
      </c>
      <c r="AY73" s="230">
        <f t="shared" si="96"/>
        <v>2.0000000000000001E-4</v>
      </c>
      <c r="AZ73" s="230">
        <f t="shared" si="97"/>
        <v>2.9999999999999997E-4</v>
      </c>
      <c r="BA73" s="230">
        <f t="shared" si="98"/>
        <v>4.0000000000000002E-4</v>
      </c>
      <c r="BB73" s="230">
        <f t="shared" si="99"/>
        <v>5.0000000000000001E-4</v>
      </c>
      <c r="BC73" s="230">
        <f t="shared" si="100"/>
        <v>5.9999999999999995E-4</v>
      </c>
      <c r="BD73" s="230">
        <f t="shared" si="101"/>
        <v>6.9999999999999999E-4</v>
      </c>
      <c r="BE73" s="230">
        <f t="shared" si="102"/>
        <v>8.0000000000000004E-4</v>
      </c>
      <c r="BF73" s="230">
        <f t="shared" si="103"/>
        <v>5.0008999999999997</v>
      </c>
      <c r="BG73" s="230">
        <f t="shared" si="104"/>
        <v>1E-3</v>
      </c>
      <c r="BH73" s="230">
        <f t="shared" si="105"/>
        <v>1.1000000000000001E-3</v>
      </c>
      <c r="BI73" s="230">
        <f t="shared" si="106"/>
        <v>1.1999999999999999E-3</v>
      </c>
      <c r="BJ73" s="230">
        <f t="shared" si="107"/>
        <v>1.2999999999999999E-3</v>
      </c>
      <c r="BK73" s="156"/>
    </row>
    <row r="74" spans="1:63" x14ac:dyDescent="0.2">
      <c r="A74" s="251">
        <f>COUNTIF(A7:A73,"&gt;0")</f>
        <v>30</v>
      </c>
      <c r="B74" s="252"/>
      <c r="C74" s="253">
        <f>COUNTIF(C7:C73,"&gt;0")</f>
        <v>19</v>
      </c>
      <c r="D74" s="252"/>
      <c r="E74" s="254">
        <f>COUNTIF(E7:E73,"&gt;0")</f>
        <v>49</v>
      </c>
      <c r="F74" s="252"/>
      <c r="G74" s="255">
        <f>COUNTIF(G7:G73,"&gt;0")</f>
        <v>15</v>
      </c>
      <c r="H74" s="252"/>
      <c r="I74" s="256">
        <f>COUNTIF(I7:I73,"&gt;0")</f>
        <v>13</v>
      </c>
      <c r="J74" s="252"/>
      <c r="K74" s="252">
        <f>COUNT(K7:K73)</f>
        <v>66</v>
      </c>
      <c r="L74" s="257" t="s">
        <v>89</v>
      </c>
      <c r="M74" s="971">
        <f>COUNTIF(M7:M73,"n")</f>
        <v>15</v>
      </c>
      <c r="N74" s="972">
        <f>COUNTIF(N7:N73,"m")</f>
        <v>49</v>
      </c>
      <c r="O74" s="973">
        <f>COUNTIF(O7:O73,"j")</f>
        <v>13</v>
      </c>
      <c r="P74" s="974">
        <f>COUNTIF(P7:P73,"t")</f>
        <v>19</v>
      </c>
      <c r="Q74" s="975">
        <f>COUNTIF(Q7:Q73,"v")</f>
        <v>30</v>
      </c>
      <c r="R74" s="258"/>
      <c r="S74" s="258"/>
      <c r="T74" s="258"/>
      <c r="U74" s="258"/>
      <c r="V74" s="258"/>
      <c r="W74" s="258"/>
      <c r="X74" s="258"/>
      <c r="Y74" s="258"/>
      <c r="Z74" s="259">
        <f t="shared" ref="Z74:AN74" si="108">COUNTIF(Z7:Z73,"&gt;0")</f>
        <v>31</v>
      </c>
      <c r="AA74" s="259">
        <f t="shared" si="108"/>
        <v>39</v>
      </c>
      <c r="AB74" s="259">
        <f t="shared" si="108"/>
        <v>27</v>
      </c>
      <c r="AC74" s="259">
        <f t="shared" si="108"/>
        <v>31</v>
      </c>
      <c r="AD74" s="259">
        <f t="shared" si="108"/>
        <v>32</v>
      </c>
      <c r="AE74" s="259">
        <f t="shared" si="108"/>
        <v>33</v>
      </c>
      <c r="AF74" s="259">
        <f t="shared" si="108"/>
        <v>27</v>
      </c>
      <c r="AG74" s="259">
        <f t="shared" si="108"/>
        <v>28</v>
      </c>
      <c r="AH74" s="259">
        <f t="shared" si="108"/>
        <v>33</v>
      </c>
      <c r="AI74" s="259">
        <f t="shared" si="108"/>
        <v>26</v>
      </c>
      <c r="AJ74" s="259">
        <f t="shared" si="108"/>
        <v>26</v>
      </c>
      <c r="AK74" s="259">
        <f t="shared" si="108"/>
        <v>26</v>
      </c>
      <c r="AL74" s="259">
        <f t="shared" si="108"/>
        <v>22</v>
      </c>
      <c r="AM74" s="259">
        <f t="shared" si="108"/>
        <v>0</v>
      </c>
      <c r="AN74" s="259">
        <f t="shared" si="108"/>
        <v>0</v>
      </c>
      <c r="AO74" s="259"/>
      <c r="AP74" s="259"/>
      <c r="AQ74" s="259"/>
      <c r="AR74" s="260">
        <f>COUNTIF(AR7:AR73,"&gt;0")</f>
        <v>0</v>
      </c>
      <c r="AS74" s="154"/>
      <c r="AT74" s="261"/>
      <c r="AU74" s="261"/>
      <c r="AV74" s="156"/>
      <c r="AW74" s="156"/>
      <c r="AX74" s="156"/>
      <c r="AY74" s="156"/>
      <c r="AZ74" s="156"/>
      <c r="BA74" s="156"/>
      <c r="BB74" s="156"/>
      <c r="BC74" s="156"/>
      <c r="BD74" s="156"/>
      <c r="BE74" s="156"/>
      <c r="BF74" s="156"/>
      <c r="BG74" s="156"/>
      <c r="BH74" s="156"/>
      <c r="BI74" s="156"/>
      <c r="BJ74" s="156"/>
      <c r="BK74" s="156"/>
    </row>
    <row r="75" spans="1:63" x14ac:dyDescent="0.2">
      <c r="A75" s="157"/>
      <c r="B75" s="157"/>
      <c r="C75" s="157"/>
      <c r="D75" s="157"/>
      <c r="E75" s="157"/>
      <c r="F75" s="157"/>
      <c r="G75" s="157"/>
      <c r="H75" s="157"/>
      <c r="I75" s="157"/>
      <c r="J75" s="157"/>
      <c r="K75" s="157"/>
      <c r="L75" s="257" t="s">
        <v>167</v>
      </c>
      <c r="M75" s="258"/>
      <c r="N75" s="258"/>
      <c r="O75" s="258"/>
      <c r="P75" s="258"/>
      <c r="Q75" s="258"/>
      <c r="R75" s="258"/>
      <c r="S75" s="258"/>
      <c r="T75" s="258"/>
      <c r="U75" s="258"/>
      <c r="V75" s="258"/>
      <c r="W75" s="258"/>
      <c r="X75" s="258"/>
      <c r="Y75" s="258"/>
      <c r="Z75" s="262">
        <f>IF((Z74/(LEN(Z5)-LEN(SUBSTITUTE(Z5,"*","")))-0.5)&lt;0,"",Z74/(LEN(Z5)-LEN(SUBSTITUTE(Z5,"*","")))-0.5)</f>
        <v>15</v>
      </c>
      <c r="AA75" s="262">
        <v>18</v>
      </c>
      <c r="AB75" s="262">
        <f t="shared" ref="AB75:AN75" si="109">IF((AB74/(LEN(AB5)-LEN(SUBSTITUTE(AB5,"*","")))-0.5)&lt;0,"",AB74/(LEN(AB5)-LEN(SUBSTITUTE(AB5,"*","")))-0.5)</f>
        <v>13</v>
      </c>
      <c r="AC75" s="262">
        <f t="shared" si="109"/>
        <v>15</v>
      </c>
      <c r="AD75" s="262">
        <f t="shared" si="109"/>
        <v>15.5</v>
      </c>
      <c r="AE75" s="262">
        <f t="shared" si="109"/>
        <v>16</v>
      </c>
      <c r="AF75" s="262">
        <f t="shared" si="109"/>
        <v>13</v>
      </c>
      <c r="AG75" s="262">
        <f t="shared" si="109"/>
        <v>13.5</v>
      </c>
      <c r="AH75" s="262">
        <f t="shared" si="109"/>
        <v>16</v>
      </c>
      <c r="AI75" s="262">
        <f t="shared" si="109"/>
        <v>12.5</v>
      </c>
      <c r="AJ75" s="262">
        <f t="shared" si="109"/>
        <v>12.5</v>
      </c>
      <c r="AK75" s="262">
        <f t="shared" si="109"/>
        <v>12.5</v>
      </c>
      <c r="AL75" s="262">
        <f t="shared" si="109"/>
        <v>10.5</v>
      </c>
      <c r="AM75" s="262" t="str">
        <f t="shared" si="109"/>
        <v/>
      </c>
      <c r="AN75" s="262" t="str">
        <f t="shared" si="109"/>
        <v/>
      </c>
      <c r="AO75" s="262"/>
      <c r="AP75" s="262"/>
      <c r="AQ75" s="262"/>
      <c r="AR75" s="263" t="str">
        <f>IF((AR74/(LEN(AR5)-LEN(SUBSTITUTE(AR5,"*","")))-0.5)&lt;0,"",AR74/(LEN(AR5)-LEN(SUBSTITUTE(AR5,"*","")))-0.5)</f>
        <v/>
      </c>
      <c r="AS75" s="154"/>
      <c r="AT75" s="154"/>
      <c r="AU75" s="154"/>
      <c r="AV75" s="156"/>
      <c r="AW75" s="156"/>
      <c r="AX75" s="156"/>
      <c r="AY75" s="156"/>
      <c r="AZ75" s="156"/>
      <c r="BA75" s="156"/>
      <c r="BB75" s="156"/>
      <c r="BC75" s="156"/>
      <c r="BD75" s="156"/>
      <c r="BE75" s="156"/>
      <c r="BF75" s="156"/>
      <c r="BG75" s="156"/>
      <c r="BH75" s="156"/>
      <c r="BI75" s="156"/>
      <c r="BJ75" s="156"/>
      <c r="BK75" s="156"/>
    </row>
    <row r="76" spans="1:63" x14ac:dyDescent="0.2">
      <c r="A76" s="156"/>
      <c r="B76" s="156"/>
      <c r="C76" s="158"/>
      <c r="D76" s="158"/>
      <c r="E76" s="158"/>
      <c r="F76" s="158"/>
      <c r="G76" s="158"/>
      <c r="H76" s="158"/>
      <c r="I76" s="158"/>
      <c r="J76" s="158"/>
      <c r="K76" s="158"/>
      <c r="M76" s="158"/>
      <c r="N76" s="158"/>
      <c r="O76" s="158"/>
      <c r="P76" s="264"/>
      <c r="Q76" s="264"/>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6"/>
      <c r="AT76" s="156"/>
      <c r="AU76" s="156"/>
      <c r="AV76" s="156"/>
      <c r="AW76" s="156"/>
      <c r="AX76" s="156"/>
      <c r="AY76" s="156"/>
      <c r="AZ76" s="156"/>
      <c r="BA76" s="156"/>
      <c r="BB76" s="156"/>
      <c r="BC76" s="156"/>
      <c r="BD76" s="156"/>
      <c r="BE76" s="156"/>
      <c r="BF76" s="156"/>
      <c r="BG76" s="156"/>
      <c r="BH76" s="156"/>
      <c r="BI76" s="156"/>
      <c r="BJ76" s="156"/>
      <c r="BK76" s="156"/>
    </row>
    <row r="77" spans="1:63" x14ac:dyDescent="0.2">
      <c r="A77" s="156"/>
      <c r="B77" s="156"/>
      <c r="C77" s="158"/>
      <c r="D77" s="158"/>
      <c r="E77" s="158"/>
      <c r="F77" s="158"/>
      <c r="G77" s="158"/>
      <c r="H77" s="158"/>
      <c r="I77" s="158"/>
      <c r="J77" s="158"/>
      <c r="K77" s="158"/>
      <c r="M77" s="158"/>
      <c r="N77" s="158"/>
      <c r="O77" s="158"/>
      <c r="P77" s="264"/>
      <c r="Q77" s="264"/>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6"/>
      <c r="AT77" s="156"/>
      <c r="AU77" s="156"/>
      <c r="AV77" s="156"/>
      <c r="AW77" s="156"/>
      <c r="AX77" s="156"/>
      <c r="AY77" s="156"/>
      <c r="AZ77" s="156"/>
      <c r="BA77" s="156"/>
      <c r="BB77" s="156"/>
      <c r="BC77" s="156"/>
      <c r="BD77" s="156"/>
      <c r="BE77" s="156"/>
      <c r="BF77" s="156"/>
      <c r="BG77" s="156"/>
      <c r="BH77" s="156"/>
      <c r="BI77" s="156"/>
      <c r="BJ77" s="156"/>
      <c r="BK77" s="156"/>
    </row>
    <row r="78" spans="1:63" x14ac:dyDescent="0.2">
      <c r="A78" s="156"/>
      <c r="B78" s="156"/>
      <c r="C78" s="158"/>
      <c r="D78" s="158"/>
      <c r="E78" s="158"/>
      <c r="F78" s="158"/>
      <c r="G78" s="158"/>
      <c r="H78" s="158"/>
      <c r="I78" s="158"/>
      <c r="J78" s="158"/>
      <c r="K78" s="158"/>
      <c r="L78" s="156"/>
      <c r="M78" s="264"/>
      <c r="N78" s="264"/>
      <c r="O78" s="264"/>
      <c r="P78" s="264"/>
      <c r="Q78" s="264"/>
      <c r="R78" s="264"/>
      <c r="S78" s="264"/>
      <c r="T78" s="264"/>
      <c r="U78" s="264"/>
      <c r="V78" s="264"/>
      <c r="W78" s="264"/>
      <c r="X78" s="264"/>
      <c r="Y78" s="264"/>
      <c r="Z78" s="158"/>
      <c r="AA78" s="158"/>
      <c r="AB78" s="158"/>
      <c r="AC78" s="158"/>
      <c r="AD78" s="158"/>
      <c r="AE78" s="158"/>
      <c r="AF78" s="158"/>
      <c r="AG78" s="158"/>
      <c r="AH78" s="158"/>
      <c r="AI78" s="158"/>
      <c r="AJ78" s="158"/>
      <c r="AK78" s="158"/>
      <c r="AL78" s="158"/>
      <c r="AM78" s="158"/>
      <c r="AN78" s="158"/>
      <c r="AO78" s="158"/>
      <c r="AP78" s="158"/>
      <c r="AQ78" s="158"/>
      <c r="AR78" s="158"/>
      <c r="AS78" s="156"/>
      <c r="AT78" s="156"/>
      <c r="AU78" s="156"/>
      <c r="AV78" s="156"/>
      <c r="AW78" s="156"/>
      <c r="AX78" s="156"/>
      <c r="AY78" s="156"/>
      <c r="AZ78" s="156"/>
      <c r="BA78" s="156"/>
      <c r="BB78" s="156"/>
      <c r="BC78" s="156"/>
      <c r="BD78" s="156"/>
      <c r="BE78" s="156"/>
      <c r="BF78" s="156"/>
      <c r="BG78" s="156"/>
      <c r="BH78" s="156"/>
      <c r="BI78" s="156"/>
      <c r="BJ78" s="156"/>
      <c r="BK78" s="156"/>
    </row>
  </sheetData>
  <autoFilter ref="A5:I76"/>
  <sortState ref="A7:BK110">
    <sortCondition descending="1" ref="Y7:Y110"/>
  </sortState>
  <mergeCells count="3">
    <mergeCell ref="AS4:AS6"/>
    <mergeCell ref="AT4:AT6"/>
    <mergeCell ref="AU4:AU6"/>
  </mergeCells>
  <conditionalFormatting sqref="AR7:AR73">
    <cfRule type="expression" dxfId="4839" priority="2">
      <formula>AR7=3</formula>
    </cfRule>
    <cfRule type="expression" dxfId="4838" priority="3">
      <formula>AR7=2</formula>
    </cfRule>
    <cfRule type="expression" dxfId="4837" priority="4">
      <formula>AR7=1</formula>
    </cfRule>
  </conditionalFormatting>
  <conditionalFormatting sqref="K65">
    <cfRule type="duplicateValues" dxfId="4836" priority="22"/>
  </conditionalFormatting>
  <conditionalFormatting sqref="AQ65">
    <cfRule type="containsText" dxfId="4835" priority="21" operator="containsText" text="puudu">
      <formula>NOT(ISERROR(SEARCH("puudu",AQ65)))</formula>
    </cfRule>
  </conditionalFormatting>
  <conditionalFormatting sqref="AQ65">
    <cfRule type="notContainsText" dxfId="4834" priority="20" operator="notContains" text="edasi">
      <formula>ISERROR(SEARCH("edasi",AQ65))</formula>
    </cfRule>
  </conditionalFormatting>
  <conditionalFormatting sqref="Z74:AN74">
    <cfRule type="top10" dxfId="4833" priority="35" stopIfTrue="1" rank="1"/>
  </conditionalFormatting>
  <conditionalFormatting sqref="Z75:AN75">
    <cfRule type="top10" dxfId="4832" priority="6" rank="1"/>
  </conditionalFormatting>
  <conditionalFormatting sqref="AT7:AT73">
    <cfRule type="top10" dxfId="4831" priority="1081" stopIfTrue="1" rank="1"/>
  </conditionalFormatting>
  <conditionalFormatting sqref="AU7:AU73">
    <cfRule type="top10" dxfId="4830" priority="1082" stopIfTrue="1" rank="1"/>
  </conditionalFormatting>
  <conditionalFormatting sqref="R7:R73">
    <cfRule type="duplicateValues" dxfId="4829" priority="1083"/>
  </conditionalFormatting>
  <conditionalFormatting sqref="K7:K64 K66:K73">
    <cfRule type="duplicateValues" dxfId="4828" priority="1084"/>
  </conditionalFormatting>
  <conditionalFormatting sqref="AS7:AS73">
    <cfRule type="cellIs" dxfId="4827" priority="1086" operator="lessThan">
      <formula>3</formula>
    </cfRule>
    <cfRule type="top10" dxfId="4826" priority="1087" stopIfTrue="1" rank="1"/>
  </conditionalFormatting>
  <conditionalFormatting sqref="L7:L73">
    <cfRule type="expression" dxfId="4825" priority="1088">
      <formula>AND(K7=SMALL(K$7:K$73,3),COUNT(AL$7:AL$73)&gt;0)</formula>
    </cfRule>
    <cfRule type="expression" dxfId="4824" priority="1089">
      <formula>AND(K7=SMALL(K$7:K$73,2),COUNT(AL$7:AL$73)&gt;0)</formula>
    </cfRule>
    <cfRule type="expression" dxfId="4823" priority="1090">
      <formula>AND(K7=SMALL(K$7:K$73,1),COUNT(AL$7:AL$73)&gt;0)</formula>
    </cfRule>
    <cfRule type="expression" dxfId="4822" priority="1091">
      <formula>M7="n"</formula>
    </cfRule>
    <cfRule type="expression" dxfId="4821" priority="1092">
      <formula>O7="j"</formula>
    </cfRule>
    <cfRule type="duplicateValues" dxfId="4820" priority="1093" stopIfTrue="1"/>
  </conditionalFormatting>
  <conditionalFormatting sqref="A7:A73">
    <cfRule type="expression" dxfId="4819" priority="1100">
      <formula>AND(A7=SMALL(A$7:A$73,1),COUNT(AL$7:AL$73)&gt;0)</formula>
    </cfRule>
  </conditionalFormatting>
  <conditionalFormatting sqref="C7:C73">
    <cfRule type="expression" dxfId="4818" priority="1102">
      <formula>AND(C7=SMALL(C$7:C$73,1),COUNT(AL$7:AL$73)&gt;0)</formula>
    </cfRule>
  </conditionalFormatting>
  <conditionalFormatting sqref="G7:G73">
    <cfRule type="expression" dxfId="4817" priority="1104">
      <formula>AND(G7=SMALL(G$7:G$73,1),COUNT(AL$7:AL$73)&gt;0)</formula>
    </cfRule>
  </conditionalFormatting>
  <conditionalFormatting sqref="I7:I73">
    <cfRule type="expression" dxfId="4816" priority="1106">
      <formula>AND(I7=SMALL(I$7:I$73,1),COUNT(AL$7:AL$73)&gt;0)</formula>
    </cfRule>
  </conditionalFormatting>
  <conditionalFormatting sqref="AQ7:AQ73">
    <cfRule type="expression" dxfId="4815" priority="1108">
      <formula>0=COUNT($AL$7:$AL$73)</formula>
    </cfRule>
    <cfRule type="duplicateValues" dxfId="4814" priority="1109"/>
    <cfRule type="notContainsText" dxfId="4813" priority="1110" operator="notContains" text="edasi">
      <formula>ISERROR(SEARCH("edasi",AQ7))</formula>
    </cfRule>
  </conditionalFormatting>
  <conditionalFormatting sqref="Z7:AN73">
    <cfRule type="cellIs" dxfId="4812" priority="1111" operator="equal">
      <formula>18</formula>
    </cfRule>
    <cfRule type="cellIs" dxfId="4811" priority="1112" operator="equal">
      <formula>19</formula>
    </cfRule>
    <cfRule type="cellIs" dxfId="4810" priority="1113" operator="equal">
      <formula>20</formula>
    </cfRule>
    <cfRule type="expression" dxfId="4809" priority="1114">
      <formula>IF(COUNT(Z$7:Z$73)=0,TRUE)</formula>
    </cfRule>
    <cfRule type="expression" dxfId="4808" priority="1115">
      <formula>MID(Z$6,FIND("V",Z$6)+1,256)/10000+IF(Z7="  ",FALSE,Z7)&lt;=$AW7</formula>
    </cfRule>
  </conditionalFormatting>
  <pageMargins left="0.78740157480314965" right="0.39370078740157483" top="0.59055118110236227" bottom="0.39370078740157483" header="0.39370078740157483" footer="0"/>
  <pageSetup paperSize="9" fitToHeight="0" orientation="landscape" verticalDpi="1200" r:id="rId1"/>
  <headerFooter>
    <oddHeader>&amp;R&amp;9&amp;P. leht &amp;N&amp; -st</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pageSetUpPr fitToPage="1"/>
  </sheetPr>
  <dimension ref="A1:AP315"/>
  <sheetViews>
    <sheetView showGridLines="0" showRowColHeaders="0" workbookViewId="0">
      <pane ySplit="1" topLeftCell="A2" activePane="bottomLeft" state="frozen"/>
      <selection pane="bottomLeft" activeCell="A5" sqref="A5"/>
    </sheetView>
  </sheetViews>
  <sheetFormatPr defaultRowHeight="12.75" x14ac:dyDescent="0.2"/>
  <cols>
    <col min="1" max="1" width="3.28515625" style="1" customWidth="1"/>
    <col min="2" max="2" width="43.85546875" style="1" bestFit="1" customWidth="1"/>
    <col min="3" max="7" width="7.7109375" style="1" customWidth="1"/>
    <col min="8" max="9" width="6.7109375" style="1" customWidth="1"/>
    <col min="10" max="15" width="5.5703125" style="1" customWidth="1"/>
    <col min="16" max="20" width="0" style="1" hidden="1" customWidth="1"/>
    <col min="21" max="21" width="9.140625" style="1"/>
    <col min="22" max="28" width="0" style="1" hidden="1" customWidth="1"/>
    <col min="29" max="29" width="9.140625" style="1"/>
    <col min="30" max="31" width="9.140625" style="1" hidden="1" customWidth="1"/>
    <col min="32" max="32" width="16.5703125" style="1" hidden="1" customWidth="1"/>
    <col min="33" max="33" width="9.140625" style="1" hidden="1" customWidth="1"/>
    <col min="34" max="34" width="32.28515625" style="1" hidden="1" customWidth="1"/>
    <col min="35" max="35" width="9.140625" style="1" hidden="1" customWidth="1"/>
    <col min="36" max="36" width="17.28515625" style="1" hidden="1" customWidth="1"/>
    <col min="37" max="37" width="9.140625" style="1" hidden="1" customWidth="1"/>
    <col min="38" max="38" width="16" style="1" hidden="1" customWidth="1"/>
    <col min="39" max="39" width="9.140625" style="1" hidden="1" customWidth="1"/>
    <col min="40" max="40" width="17.28515625" style="1" hidden="1" customWidth="1"/>
    <col min="41" max="41" width="9.140625" style="1" hidden="1" customWidth="1"/>
    <col min="42" max="42" width="13.85546875" style="1" hidden="1" customWidth="1"/>
    <col min="43" max="16384" width="9.140625" style="1"/>
  </cols>
  <sheetData>
    <row r="1" spans="1:42" x14ac:dyDescent="0.2">
      <c r="A1" s="400" t="str">
        <f>UPPER((Kalend!E5)&amp;" - "&amp;(Kalend!C5))&amp;" - "&amp;LOWER(Kalend!D5)&amp;" - "&amp;(Kalend!A5)&amp;" kell "&amp;(Kalend!B5)&amp;" - "&amp;(Kalend!F5)</f>
        <v>V1 - VOKA III SISE-KV 1. ETAPP - duo - P, 13.10.2019 kell 11:30 - Voka petangihall</v>
      </c>
      <c r="C1" s="477"/>
      <c r="D1" s="477"/>
      <c r="E1" s="477"/>
      <c r="F1" s="477"/>
      <c r="G1" s="477"/>
      <c r="H1" s="477"/>
      <c r="I1" s="477"/>
      <c r="J1" s="477"/>
      <c r="K1" s="477"/>
      <c r="L1" s="477"/>
      <c r="M1" s="477"/>
      <c r="N1" s="477"/>
      <c r="P1" s="447" t="s">
        <v>94</v>
      </c>
      <c r="Q1" s="448"/>
      <c r="R1" s="448"/>
      <c r="S1" s="448"/>
      <c r="T1" s="448"/>
      <c r="U1" s="70"/>
      <c r="V1" s="70"/>
      <c r="W1" s="271"/>
      <c r="X1" s="291"/>
      <c r="Y1" s="271"/>
      <c r="Z1" s="271"/>
      <c r="AA1" s="271"/>
      <c r="AD1" s="152" t="s">
        <v>94</v>
      </c>
      <c r="AE1" s="402"/>
      <c r="AF1" s="402"/>
      <c r="AG1" s="402"/>
      <c r="AH1" s="402"/>
      <c r="AI1" s="402"/>
      <c r="AJ1" s="402"/>
      <c r="AK1" s="402"/>
      <c r="AL1" s="402"/>
      <c r="AM1" s="402"/>
      <c r="AN1" s="402"/>
      <c r="AO1" s="532"/>
      <c r="AP1" s="532"/>
    </row>
    <row r="2" spans="1:42" ht="12.75" hidden="1" customHeight="1" x14ac:dyDescent="0.2">
      <c r="A2" s="477"/>
      <c r="C2" s="477"/>
      <c r="D2" s="477"/>
      <c r="E2" s="477"/>
      <c r="F2" s="477"/>
      <c r="G2" s="477"/>
      <c r="H2" s="477"/>
      <c r="I2" s="477"/>
      <c r="J2" s="477"/>
      <c r="K2" s="477"/>
      <c r="L2" s="477"/>
      <c r="M2" s="477"/>
      <c r="N2" s="477"/>
      <c r="O2" s="271"/>
      <c r="P2" s="271"/>
      <c r="Q2" s="271"/>
      <c r="R2" s="271"/>
      <c r="S2" s="271"/>
      <c r="T2" s="409"/>
      <c r="U2" s="409"/>
      <c r="V2" s="409"/>
      <c r="W2" s="271"/>
      <c r="X2" s="271"/>
      <c r="Y2" s="271"/>
      <c r="Z2" s="271"/>
      <c r="AD2" s="271"/>
      <c r="AE2" s="271"/>
      <c r="AF2" s="271"/>
      <c r="AG2" s="271"/>
      <c r="AH2" s="271"/>
      <c r="AI2" s="271"/>
      <c r="AJ2" s="412"/>
      <c r="AK2" s="271"/>
      <c r="AL2" s="271"/>
      <c r="AM2" s="271"/>
      <c r="AN2" s="271"/>
    </row>
    <row r="3" spans="1:42" ht="12.75" hidden="1" customHeight="1" x14ac:dyDescent="0.2">
      <c r="A3" s="477"/>
      <c r="C3" s="477"/>
      <c r="D3" s="477"/>
      <c r="E3" s="477"/>
      <c r="F3" s="477"/>
      <c r="G3" s="477"/>
      <c r="H3" s="477"/>
      <c r="I3" s="477"/>
      <c r="J3" s="477"/>
      <c r="K3" s="477"/>
      <c r="L3" s="477"/>
      <c r="M3" s="477"/>
      <c r="N3" s="477"/>
      <c r="O3" s="271"/>
      <c r="P3" s="271"/>
      <c r="Q3" s="271"/>
      <c r="R3" s="271"/>
      <c r="S3" s="271"/>
      <c r="T3" s="409"/>
      <c r="U3" s="409"/>
      <c r="V3" s="409"/>
      <c r="W3" s="271"/>
      <c r="X3" s="271"/>
      <c r="Y3" s="271"/>
      <c r="Z3" s="271"/>
      <c r="AA3" s="271"/>
      <c r="AE3" s="271"/>
      <c r="AG3" s="271"/>
      <c r="AH3" s="271"/>
      <c r="AI3" s="271"/>
      <c r="AJ3" s="271"/>
      <c r="AK3" s="271"/>
      <c r="AL3" s="271"/>
      <c r="AM3" s="271"/>
      <c r="AN3" s="271"/>
    </row>
    <row r="4" spans="1:42" ht="12.75" hidden="1" customHeight="1" x14ac:dyDescent="0.2">
      <c r="A4" s="477"/>
      <c r="F4" s="271"/>
      <c r="G4" s="312"/>
      <c r="H4" s="312"/>
      <c r="I4" s="141"/>
      <c r="J4" s="141"/>
      <c r="K4" s="415"/>
      <c r="L4" s="312"/>
      <c r="M4" s="271"/>
      <c r="N4" s="271"/>
      <c r="O4" s="271"/>
      <c r="P4" s="271"/>
      <c r="Q4" s="271"/>
      <c r="R4" s="271"/>
      <c r="S4" s="271"/>
      <c r="T4" s="271"/>
      <c r="U4" s="271"/>
      <c r="V4" s="271"/>
      <c r="W4" s="271"/>
      <c r="X4" s="271"/>
      <c r="Y4" s="271"/>
      <c r="Z4" s="271"/>
      <c r="AA4" s="271"/>
      <c r="AE4" s="409"/>
      <c r="AF4" s="409"/>
      <c r="AG4" s="409"/>
      <c r="AH4" s="376"/>
      <c r="AI4" s="409"/>
      <c r="AJ4" s="409"/>
      <c r="AK4" s="409"/>
      <c r="AL4" s="409"/>
      <c r="AM4" s="409"/>
      <c r="AN4" s="409"/>
      <c r="AO4" s="409"/>
      <c r="AP4" s="409"/>
    </row>
    <row r="5" spans="1:42" x14ac:dyDescent="0.2">
      <c r="F5" s="271"/>
      <c r="G5" s="53"/>
      <c r="H5" s="53"/>
      <c r="I5" s="53"/>
      <c r="J5" s="53"/>
      <c r="K5" s="53"/>
      <c r="L5" s="312"/>
      <c r="M5" s="271"/>
      <c r="N5" s="967" t="s">
        <v>476</v>
      </c>
      <c r="O5" s="271"/>
      <c r="P5" s="271"/>
      <c r="Q5" s="271"/>
      <c r="R5" s="271"/>
      <c r="S5" s="271"/>
      <c r="T5" s="271"/>
      <c r="U5" s="271"/>
      <c r="V5" s="271"/>
      <c r="W5" s="271"/>
      <c r="X5" s="271"/>
      <c r="Y5" s="271"/>
      <c r="Z5" s="271"/>
      <c r="AA5" s="271"/>
      <c r="AC5" s="271"/>
      <c r="AD5" s="964" t="s">
        <v>214</v>
      </c>
    </row>
    <row r="6" spans="1:42" x14ac:dyDescent="0.2">
      <c r="A6" s="316" t="s">
        <v>0</v>
      </c>
      <c r="B6" s="466"/>
      <c r="C6" s="467">
        <v>1</v>
      </c>
      <c r="D6" s="467">
        <v>2</v>
      </c>
      <c r="E6" s="467">
        <v>3</v>
      </c>
      <c r="F6" s="467"/>
      <c r="G6" s="467"/>
      <c r="H6" s="467" t="s">
        <v>168</v>
      </c>
      <c r="I6" s="275" t="s">
        <v>169</v>
      </c>
      <c r="J6" s="469" t="s">
        <v>257</v>
      </c>
      <c r="K6" s="470" t="s">
        <v>258</v>
      </c>
      <c r="L6" s="471" t="s">
        <v>259</v>
      </c>
      <c r="M6" s="471" t="s">
        <v>260</v>
      </c>
      <c r="N6" s="472" t="s">
        <v>170</v>
      </c>
      <c r="O6" s="472" t="s">
        <v>170</v>
      </c>
      <c r="P6" s="473" t="s">
        <v>261</v>
      </c>
      <c r="Q6" s="474" t="s">
        <v>21</v>
      </c>
      <c r="R6" s="474" t="b">
        <f>OR(AND(COUNTA(B7:B11)=3,COUNTA(C7:G11)=6),AND(COUNTA(B7:B11)=4,COUNTA(C7:G11)=12),AND(COUNTA(B7:B11)=5,COUNTA(C7:G11)=20))</f>
        <v>1</v>
      </c>
      <c r="S6" s="475" t="s">
        <v>262</v>
      </c>
      <c r="T6" s="476" t="s">
        <v>263</v>
      </c>
      <c r="U6" s="477"/>
      <c r="V6" s="477"/>
      <c r="W6" s="477"/>
      <c r="X6" s="477"/>
      <c r="Y6" s="477"/>
      <c r="Z6" s="477"/>
      <c r="AA6" s="477"/>
      <c r="AB6" s="477"/>
      <c r="AC6" s="478"/>
      <c r="AD6" s="272" t="s">
        <v>370</v>
      </c>
      <c r="AE6" s="273"/>
      <c r="AF6" s="273" t="s">
        <v>249</v>
      </c>
      <c r="AG6" s="273"/>
      <c r="AH6" s="403" t="s">
        <v>250</v>
      </c>
      <c r="AI6" s="273"/>
      <c r="AJ6" s="273" t="s">
        <v>251</v>
      </c>
      <c r="AK6" s="274"/>
      <c r="AL6" s="273" t="s">
        <v>252</v>
      </c>
      <c r="AM6" s="274"/>
      <c r="AN6" s="274" t="s">
        <v>472</v>
      </c>
      <c r="AO6" s="945"/>
      <c r="AP6" s="274" t="s">
        <v>473</v>
      </c>
    </row>
    <row r="7" spans="1:42" x14ac:dyDescent="0.2">
      <c r="A7" s="316">
        <v>1</v>
      </c>
      <c r="B7" s="479" t="s">
        <v>270</v>
      </c>
      <c r="C7" s="319"/>
      <c r="D7" s="318">
        <v>13</v>
      </c>
      <c r="E7" s="318">
        <v>13</v>
      </c>
      <c r="F7" s="318"/>
      <c r="G7" s="318"/>
      <c r="H7" s="317" t="str">
        <f>(IF(D7-C8&gt;0,1)+IF(E7-C9&gt;0,1)+IF(F7-C10&gt;0,1)+IF(G7-C11&gt;0,1))&amp;"-"&amp;(IF(D7-C8&lt;0,1)+IF(E7-C9&lt;0,1)+IF(F7-C10&lt;0,1)+IF(G7-C11&lt;0,1))</f>
        <v>2-0</v>
      </c>
      <c r="I7" s="318" t="str">
        <f>IF(AND(B7&lt;&gt;"",R$6=TRUE),A$6&amp;RANK(S7,S$7:S$11,0)," ")</f>
        <v>A1</v>
      </c>
      <c r="J7" s="480">
        <f>IF(AND(Q7=1,Q8=1,D7&gt;C8),1)+IF(AND(Q7=1,Q9=1,E7&gt;C9),1)+IF(AND(Q7=1,Q10=1,F7&gt;C10),1)+IF(AND(Q7=1,Q11=1,G7&gt;C11),1)+IF(AND(Q7=2,Q8=2,D7&gt;C8),1)+IF(AND(Q7=2,Q9=2,E7&gt;C9),1)+IF(AND(Q7=2,Q10=2,F7&gt;C10),1)+IF(AND(Q7=2,Q11=2,G7&gt;C11),1)+IF(AND(Q7=3,Q8=3,D7&gt;C8),1)+IF(AND(Q7=3,Q9=3,E7&gt;C9),1)+IF(AND(Q7=3,Q10=3,F7&gt;C10),1)+IF(AND(Q7=3,Q11=3,G7&gt;C11),1)</f>
        <v>0</v>
      </c>
      <c r="K7" s="481">
        <f>SUM(AND(T7=T8,D7&gt;C8),AND(T7=T9,E7&gt;C9),AND(T7=T10,F7&gt;C10),AND(T7=T11,G7&gt;C11))</f>
        <v>0</v>
      </c>
      <c r="L7" s="482">
        <f>IF(AND(Q7=1,Q8=1),D7-C8)+IF(AND(Q7=1,Q9=1),E7-C9)+IF(AND(Q7=1,Q10=1),F7-C10)+IF(AND(Q7=1,Q11=1),G7-C11)+IF(AND(Q7=2,Q8=2),D7-C8)+IF(AND(Q7=2,Q9=2),E7-C9)+IF(AND(Q7=2,Q10=2),F7-C10)+IF(AND(Q7=2,Q11=2),G7-C11)+IF(AND(Q7=3,Q8=3),D7-C8)+IF(AND(Q7=3,Q9=3),E7-C9)+IF(AND(Q7=3,Q10=3),F7-C10)+IF(AND(Q7=3,Q11=3),G7-C11)+IF(AND(Q7=4,Q8=4),D7-C8)+IF(AND(Q7=4,Q9=4),E7-C9)+IF(AND(Q7=4,Q10=4),F7-C10)+IF(AND(Q7=4,Q11=4),G7-C11)</f>
        <v>0</v>
      </c>
      <c r="M7" s="483">
        <f>SUM(AND(R7=R8,D7&gt;C8),AND(R7=R9,E7&gt;C9),AND(R7=R10,F7&gt;C10),AND(R7=R11,G7&gt;C11))</f>
        <v>0</v>
      </c>
      <c r="N7" s="537" t="str">
        <f>SUM(C7:G7)&amp;"-"&amp;SUM(C7:C11)</f>
        <v>26-13</v>
      </c>
      <c r="O7" s="538">
        <f>D7+E7+F7+G7-C8-C9-C10-C11</f>
        <v>13</v>
      </c>
      <c r="P7" s="485">
        <f>SUM(C7:G7,C7:C11)/SUM(C7:C11)</f>
        <v>3</v>
      </c>
      <c r="Q7" s="320">
        <f>VALUE(LEFT(H7,1))</f>
        <v>2</v>
      </c>
      <c r="R7" s="321">
        <f>Q7*100000+J7*10000+K7*1000+100*L7</f>
        <v>200000</v>
      </c>
      <c r="S7" s="486">
        <f>R7+M7*0.1+IF(ISNONTEXT(B7),0,0.01)+0.0001*O7</f>
        <v>200000.01130000001</v>
      </c>
      <c r="T7" s="487" t="str">
        <f>Q7&amp;J7</f>
        <v>20</v>
      </c>
      <c r="U7" s="477"/>
      <c r="V7" s="477"/>
      <c r="W7" s="477"/>
      <c r="X7" s="477"/>
      <c r="Y7" s="477"/>
      <c r="Z7" s="477"/>
      <c r="AA7" s="477"/>
      <c r="AB7" s="477"/>
      <c r="AC7" s="477"/>
      <c r="AD7" s="405">
        <f>SUM(AE7:AP7)</f>
        <v>302</v>
      </c>
      <c r="AE7" s="406">
        <f>IFERROR(INDEX(V!$R:$R,MATCH(AF7,V!$L:$L,0)),"")</f>
        <v>164</v>
      </c>
      <c r="AF7" s="407" t="str">
        <f>IFERROR(LEFT($B7,(FIND(",",$B7,1)-1)),"")</f>
        <v>Kaspar Mänd</v>
      </c>
      <c r="AG7" s="406">
        <f>IFERROR(INDEX(V!$R:$R,MATCH(AH7,V!$L:$L,0)),"")</f>
        <v>138</v>
      </c>
      <c r="AH7" s="407" t="str">
        <f>IFERROR(MID($B7,FIND(", ",$B7)+2,256),"")</f>
        <v>Urmas Randlaine</v>
      </c>
      <c r="AI7" s="406" t="str">
        <f>IFERROR(INDEX(V!$R:$R,MATCH(AJ7,V!$L:$L,0)),"")</f>
        <v/>
      </c>
      <c r="AJ7" s="407" t="str">
        <f>IFERROR(MID($B7,FIND("^",SUBSTITUTE($B7,", ","^",1))+2,FIND("^",SUBSTITUTE($B7,", ","^",2))-FIND("^",SUBSTITUTE($B7,", ","^",1))-2),"")</f>
        <v/>
      </c>
      <c r="AK7" s="406" t="str">
        <f>IFERROR(INDEX(V!$R:$R,MATCH(AL7,V!$L:$L,0)),"")</f>
        <v/>
      </c>
      <c r="AL7" s="407" t="str">
        <f>IFERROR(MID($B7,FIND(", ",$B7,FIND(", ",$B7,FIND(", ",$B7))+1)+2,30000),"")</f>
        <v/>
      </c>
      <c r="AM7" s="406" t="str">
        <f>IFERROR(INDEX(V!$R:$R,MATCH(AN7,V!$L:$L,0)),"")</f>
        <v/>
      </c>
      <c r="AN7" s="407" t="str">
        <f>IFERROR(MID($B7,FIND(", ",$B7,FIND(", ",$B7)+1)+2,FIND(", ",$B7,FIND(", ",$B7,FIND(", ",$B7)+1)+1)-FIND(", ",$B7,FIND(", ",$B7)+1)-2),"")</f>
        <v/>
      </c>
      <c r="AO7" s="406" t="str">
        <f>IFERROR(INDEX(V!$R:$R,MATCH(AP7,V!$L:$L,0)),"")</f>
        <v/>
      </c>
      <c r="AP7" s="407" t="str">
        <f>IFERROR(MID($B7,FIND(", ",$B7,FIND(", ",$B7,FIND(", ",$B7)+1)+1)+2,30000),"")</f>
        <v/>
      </c>
    </row>
    <row r="8" spans="1:42" x14ac:dyDescent="0.2">
      <c r="A8" s="316">
        <v>2</v>
      </c>
      <c r="B8" s="488" t="s">
        <v>271</v>
      </c>
      <c r="C8" s="318">
        <v>4</v>
      </c>
      <c r="D8" s="319"/>
      <c r="E8" s="318">
        <v>1</v>
      </c>
      <c r="F8" s="318"/>
      <c r="G8" s="318"/>
      <c r="H8" s="317" t="str">
        <f>(IF(C8-D7&gt;0,1)+IF(E8-D9&gt;0,1)+IF(F8-D10&gt;0,1)+IF(G8-D11&gt;0,1))&amp;"-"&amp;(IF(C8-D7&lt;0,1)+IF(E8-D9&lt;0,1)+IF(F8-D10&lt;0,1)+IF(G8-D11&lt;0,1))</f>
        <v>0-2</v>
      </c>
      <c r="I8" s="318" t="str">
        <f>IF(AND(B8&lt;&gt;"",R$6=TRUE),A$6&amp;RANK(S8,S$7:S$11,0)," ")</f>
        <v>A3</v>
      </c>
      <c r="J8" s="489">
        <f>IF(AND(Q8=1,Q7=1,C8&gt;D7),1)+IF(AND(Q8=1,Q9=1,E8&gt;D9),1)+IF(AND(Q8=1,Q10=1,F8&gt;D10),1)+IF(AND(Q8=1,Q11=1,G8&gt;D11),1)+IF(AND(Q8=2,Q7=2,C8&gt;D7),1)+IF(AND(Q8=2,Q9=2,E8&gt;D9),1)+IF(AND(Q8=2,Q10=2,F8&gt;D10),1)+IF(AND(Q8=2,Q11=2,G8&gt;D11),1)+IF(AND(Q8=3,Q7=3,C8&gt;D7),1)+IF(AND(Q8=3,Q9=3,E8&gt;D9),1)+IF(AND(Q8=3,Q10=3,F8&gt;D10),1)+IF(AND(Q8=3,Q11=3,G8&gt;D11),1)</f>
        <v>0</v>
      </c>
      <c r="K8" s="483">
        <f>SUM(AND(T8=T7,C8&gt;D7),AND(T8=T9,E8&gt;D9),AND(T8=T10,F8&gt;D10),AND(T8=T11,G8&gt;D11))</f>
        <v>0</v>
      </c>
      <c r="L8" s="490">
        <f>IF(AND(Q8=1,Q7=1),C8-D7)+IF(AND(Q8=1,Q9=1),E8-D9)+IF(AND(Q8=1,Q10=1),F8-D10)+IF(AND(Q8=1,Q11=1),G8-D11)+IF(AND(Q8=2,Q7=2),C8-D7)+IF(AND(Q8=2,Q9=2),E8-D9)+IF(AND(Q8=2,Q10=2),F8-D10)+IF(AND(Q8=2,Q11=2),G8-D11)+IF(AND(Q8=3,Q7=3),C8-D7)+IF(AND(Q8=3,Q9=3),E8-D9)+IF(AND(Q8=3,Q10=3),F8-D10)+IF(AND(Q8=3,Q11=3),G8-D11)+IF(AND(Q8=4,Q7=4),C8-D7)+IF(AND(Q8=4,Q9=4),E8-D9)+IF(AND(Q8=4,Q10=4),F8-D10)+IF(AND(Q8=4,Q11=4),G8-D11)</f>
        <v>0</v>
      </c>
      <c r="M8" s="483">
        <f>SUM(AND(R8=R7,C8&gt;D7),AND(R8=R9,E8&gt;D9),AND(R8=R10,F8&gt;D10),AND(R8=R11,G8&gt;D11))</f>
        <v>0</v>
      </c>
      <c r="N8" s="537" t="str">
        <f>SUM(C8:G8)&amp;"-"&amp;SUM(D7:D11)</f>
        <v>5-26</v>
      </c>
      <c r="O8" s="538">
        <f>C8+E8+F8+G8-D7-D9-D10-D11</f>
        <v>-21</v>
      </c>
      <c r="P8" s="485">
        <f>SUM(C8:G8,D7:D11)/SUM(D7:D11)</f>
        <v>1.1923076923076923</v>
      </c>
      <c r="Q8" s="491">
        <f>VALUE(LEFT(H8,1))</f>
        <v>0</v>
      </c>
      <c r="R8" s="321">
        <f>Q8*100000+J8*10000+K8*1000+100*L8</f>
        <v>0</v>
      </c>
      <c r="S8" s="486">
        <f>R8+M8*0.1+IF(ISNONTEXT(B8),0,0.01)+0.0001*O8</f>
        <v>7.9000000000000008E-3</v>
      </c>
      <c r="T8" s="487" t="str">
        <f>Q8&amp;J8</f>
        <v>00</v>
      </c>
      <c r="U8" s="477"/>
      <c r="V8" s="477"/>
      <c r="W8" s="477"/>
      <c r="X8" s="477"/>
      <c r="Y8" s="477"/>
      <c r="Z8" s="477"/>
      <c r="AA8" s="477"/>
      <c r="AB8" s="477"/>
      <c r="AC8" s="485"/>
      <c r="AD8" s="405">
        <f t="shared" ref="AD8:AD31" si="0">SUM(AE8:AP8)</f>
        <v>196</v>
      </c>
      <c r="AE8" s="406">
        <f>IFERROR(INDEX(V!$R:$R,MATCH(AF8,V!$L:$L,0)),"")</f>
        <v>65</v>
      </c>
      <c r="AF8" s="407" t="str">
        <f t="shared" ref="AF8:AF31" si="1">IFERROR(LEFT($B8,(FIND(",",$B8,1)-1)),"")</f>
        <v>Illar Tõnurist</v>
      </c>
      <c r="AG8" s="406" t="str">
        <f>IFERROR(INDEX(V!$R:$R,MATCH(AH8,V!$L:$L,0)),"")</f>
        <v/>
      </c>
      <c r="AH8" s="407" t="str">
        <f t="shared" ref="AH8:AH60" si="2">IFERROR(MID($B8,FIND(", ",$B8)+2,256),"")</f>
        <v>Johannes Neiland, Vladimir Mihhailov</v>
      </c>
      <c r="AI8" s="406">
        <f>IFERROR(INDEX(V!$R:$R,MATCH(AJ8,V!$L:$L,0)),"")</f>
        <v>122</v>
      </c>
      <c r="AJ8" s="407" t="str">
        <f t="shared" ref="AJ8:AJ31" si="3">IFERROR(MID($B8,FIND("^",SUBSTITUTE($B8,", ","^",1))+2,FIND("^",SUBSTITUTE($B8,", ","^",2))-FIND("^",SUBSTITUTE($B8,", ","^",1))-2),"")</f>
        <v>Johannes Neiland</v>
      </c>
      <c r="AK8" s="406">
        <f>IFERROR(INDEX(V!$R:$R,MATCH(AL8,V!$L:$L,0)),"")</f>
        <v>9</v>
      </c>
      <c r="AL8" s="407" t="str">
        <f t="shared" ref="AL8:AL31" si="4">IFERROR(MID($B8,FIND(", ",$B8,FIND(", ",$B8,FIND(", ",$B8))+1)+2,30000),"")</f>
        <v>Vladimir Mihhailov</v>
      </c>
      <c r="AM8" s="406" t="str">
        <f>IFERROR(INDEX(V!$R:$R,MATCH(AN8,V!$L:$L,0)),"")</f>
        <v/>
      </c>
      <c r="AN8" s="407" t="str">
        <f t="shared" ref="AN8:AN31" si="5">IFERROR(MID($B8,FIND(", ",$B8,FIND(", ",$B8)+1)+2,FIND(", ",$B8,FIND(", ",$B8,FIND(", ",$B8)+1)+1)-FIND(", ",$B8,FIND(", ",$B8)+1)-2),"")</f>
        <v/>
      </c>
      <c r="AO8" s="406" t="str">
        <f>IFERROR(INDEX(V!$R:$R,MATCH(AP8,V!$L:$L,0)),"")</f>
        <v/>
      </c>
      <c r="AP8" s="407" t="str">
        <f t="shared" ref="AP8:AP31" si="6">IFERROR(MID($B8,FIND(", ",$B8,FIND(", ",$B8,FIND(", ",$B8)+1)+1)+2,30000),"")</f>
        <v/>
      </c>
    </row>
    <row r="9" spans="1:42" x14ac:dyDescent="0.2">
      <c r="A9" s="316">
        <v>3</v>
      </c>
      <c r="B9" s="488" t="s">
        <v>272</v>
      </c>
      <c r="C9" s="318">
        <v>9</v>
      </c>
      <c r="D9" s="492">
        <v>13</v>
      </c>
      <c r="E9" s="319"/>
      <c r="F9" s="318"/>
      <c r="G9" s="318"/>
      <c r="H9" s="317" t="str">
        <f>(IF(C9-E7&gt;0,1)+IF(D9-E8&gt;0,1)+IF(F9-E10&gt;0,1)+IF(G9-E11&gt;0,1))&amp;"-"&amp;(IF(C9-E7&lt;0,1)+IF(D9-E8&lt;0,1)+IF(F9-E10&lt;0,1)+IF(G9-E11&lt;0,1))</f>
        <v>1-1</v>
      </c>
      <c r="I9" s="318" t="str">
        <f>IF(AND(B9&lt;&gt;"",R$6=TRUE),A$6&amp;RANK(S9,S$7:S$11,0)," ")</f>
        <v>A2</v>
      </c>
      <c r="J9" s="489">
        <f>IF(AND(Q9=1,Q7=1,C9&gt;E7),1)+IF(AND(Q9=1,Q8=1,D9&gt;E8),1)+IF(AND(Q9=1,Q10=1,F9&gt;E10),1)+IF(AND(Q9=1,Q11=1,G9&gt;E11),1)+IF(AND(Q9=2,Q7=2,C9&gt;E7),1)+IF(AND(Q9=2,Q8=2,D9&gt;E8),1)+IF(AND(Q9=2,Q10=2,F9&gt;E10),1)+IF(AND(Q9=2,Q11=2,G9&gt;E11),1)+IF(AND(Q9=3,Q7=3,C9&gt;E7),1)+IF(AND(Q9=3,Q8=3,D9&gt;E8),1)+IF(AND(Q9=3,Q10=3,F9&gt;E10),1)+IF(AND(Q9=3,Q11=3,G9&gt;E11),1)</f>
        <v>0</v>
      </c>
      <c r="K9" s="483">
        <f>SUM(AND(T9=T7,C9&gt;E7),AND(T9=T8,D9&gt;E8),AND(T9=T10,F9&gt;E10),AND(T9=T11,G9&gt;E11))</f>
        <v>0</v>
      </c>
      <c r="L9" s="490">
        <f>IF(AND(Q9=1,Q7=1),C9-E7)+IF(AND(Q9=1,Q8=1),D9-E8)+IF(AND(Q9=1,Q10=1),F9-E10)+IF(AND(Q9=1,Q11=1),G9-E11)+IF(AND(Q9=2,Q7=2),C9-E7)+IF(AND(Q9=2,Q8=2),D9-E8)+IF(AND(Q9=2,Q10=2),F9-E10)+IF(AND(Q9=2,Q11=2),G9-E11)+IF(AND(Q9=3,Q7=3),C9-E7)+IF(AND(Q9=3,Q8=3),D9-E8)+IF(AND(Q9=3,Q10=3),F9-E10)+IF(AND(Q9=3,Q11=3),G9-E11)+IF(AND(Q9=4,Q7=4),C9-E7)+IF(AND(Q9=4,Q8=4),D9-E8)+IF(AND(Q9=4,Q10=4),F9-E10)+IF(AND(Q9=4,Q11=4),G9-E11)</f>
        <v>0</v>
      </c>
      <c r="M9" s="483">
        <f>SUM(AND(R9=R7,C9&gt;E7),AND(R9=R8,D9&gt;E8),AND(R9=R10,F9&gt;E10),AND(R9=R11,G9&gt;E11))</f>
        <v>0</v>
      </c>
      <c r="N9" s="537" t="str">
        <f>SUM(C9:G9)&amp;"-"&amp;SUM(E7:E11)</f>
        <v>22-14</v>
      </c>
      <c r="O9" s="538">
        <f>C9+D9+F9+G9-E7-E8-E10-E11</f>
        <v>8</v>
      </c>
      <c r="P9" s="485">
        <f>SUM(C9:G9,E7:E11)/SUM(E7:E11)</f>
        <v>2.5714285714285716</v>
      </c>
      <c r="Q9" s="491">
        <f>VALUE(LEFT(H9,1))</f>
        <v>1</v>
      </c>
      <c r="R9" s="321">
        <f>Q9*100000+J9*10000+K9*1000+100*L9</f>
        <v>100000</v>
      </c>
      <c r="S9" s="486">
        <f>R9+M9*0.1+IF(ISNONTEXT(B9),0,0.01)+0.0001*O9</f>
        <v>100000.01079999999</v>
      </c>
      <c r="T9" s="487" t="str">
        <f>Q9&amp;J9</f>
        <v>10</v>
      </c>
      <c r="U9" s="477"/>
      <c r="V9" s="477"/>
      <c r="W9" s="477"/>
      <c r="X9" s="477"/>
      <c r="Y9" s="477"/>
      <c r="Z9" s="477"/>
      <c r="AA9" s="477"/>
      <c r="AB9" s="477"/>
      <c r="AC9" s="485"/>
      <c r="AD9" s="405">
        <f t="shared" si="0"/>
        <v>272</v>
      </c>
      <c r="AE9" s="406">
        <f>IFERROR(INDEX(V!$R:$R,MATCH(AF9,V!$L:$L,0)),"")</f>
        <v>148</v>
      </c>
      <c r="AF9" s="407" t="str">
        <f t="shared" si="1"/>
        <v>Andrei Grintšak</v>
      </c>
      <c r="AG9" s="406">
        <f>IFERROR(INDEX(V!$R:$R,MATCH(AH9,V!$L:$L,0)),"")</f>
        <v>124</v>
      </c>
      <c r="AH9" s="407" t="str">
        <f t="shared" si="2"/>
        <v>Boriss Klubov</v>
      </c>
      <c r="AI9" s="406" t="str">
        <f>IFERROR(INDEX(V!$R:$R,MATCH(AJ9,V!$L:$L,0)),"")</f>
        <v/>
      </c>
      <c r="AJ9" s="407" t="str">
        <f t="shared" si="3"/>
        <v/>
      </c>
      <c r="AK9" s="406" t="str">
        <f>IFERROR(INDEX(V!$R:$R,MATCH(AL9,V!$L:$L,0)),"")</f>
        <v/>
      </c>
      <c r="AL9" s="407" t="str">
        <f t="shared" si="4"/>
        <v/>
      </c>
      <c r="AM9" s="406" t="str">
        <f>IFERROR(INDEX(V!$R:$R,MATCH(AN9,V!$L:$L,0)),"")</f>
        <v/>
      </c>
      <c r="AN9" s="407" t="str">
        <f t="shared" si="5"/>
        <v/>
      </c>
      <c r="AO9" s="406" t="str">
        <f>IFERROR(INDEX(V!$R:$R,MATCH(AP9,V!$L:$L,0)),"")</f>
        <v/>
      </c>
      <c r="AP9" s="407" t="str">
        <f t="shared" si="6"/>
        <v/>
      </c>
    </row>
    <row r="10" spans="1:42" hidden="1" x14ac:dyDescent="0.2">
      <c r="A10" s="316">
        <v>4</v>
      </c>
      <c r="B10" s="493"/>
      <c r="C10" s="318"/>
      <c r="D10" s="492"/>
      <c r="E10" s="318"/>
      <c r="F10" s="319"/>
      <c r="G10" s="318"/>
      <c r="H10" s="317" t="str">
        <f>(IF(C10-F7&gt;0,1)+IF(D10-F8&gt;0,1)+IF(E10-F9&gt;0,1)+IF(G10-F11&gt;0,1))&amp;"-"&amp;(IF(C10-F7&lt;0,1)+IF(D10-F8&lt;0,1)+IF(E10-F9&lt;0,1)+IF(G10-F11&lt;0,1))</f>
        <v>0-0</v>
      </c>
      <c r="I10" s="318" t="str">
        <f>IF(AND(B10&lt;&gt;"",R$6=TRUE),A$6&amp;RANK(S10,S$7:S$11,0)," ")</f>
        <v xml:space="preserve"> </v>
      </c>
      <c r="J10" s="489">
        <f>IF(AND(Q10=1,Q7=1,C10&gt;F7),1)+IF(AND(Q10=1,Q8=1,D10&gt;F8),1)+IF(AND(Q10=1,Q9=1,E10&gt;F9),1)+IF(AND(Q10=1,Q11=1,G10&gt;F11),1)+IF(AND(Q10=2,Q7=2,C10&gt;F7),1)+IF(AND(Q10=2,Q8=2,D10&gt;F8),1)+IF(AND(Q10=2,Q9=2,E10&gt;F9),1)+IF(AND(Q10=2,Q11=2,G10&gt;F11),1)+IF(AND(Q10=3,Q7=3,C10&gt;F7),1)+IF(AND(Q10=3,Q8=3,D10&gt;F8),1)+IF(AND(Q10=3,Q9=3,E10&gt;F9),1)+IF(AND(Q10=3,Q11=3,G10&gt;F11),1)</f>
        <v>0</v>
      </c>
      <c r="K10" s="483">
        <f>SUM(AND(T10=T7,C10&gt;F7),AND(T10=T8,D10&gt;F8),AND(T10=T9,E10&gt;F9),AND(T10=T11,G10&gt;F11))</f>
        <v>0</v>
      </c>
      <c r="L10" s="490">
        <f>IF(AND(Q10=1,Q7=1),C10-F7)+IF(AND(Q10=1,Q8=1),D10-F8)+IF(AND(Q10=1,Q9=1),E10-F9)+IF(AND(Q10=1,Q11=1),G10-F11)+IF(AND(Q10=2,Q7=2),C10-F7)+IF(AND(Q10=2,Q8=2),D10-F8)+IF(AND(Q10=2,Q9=2),E10-F9)+IF(AND(Q10=2,Q11=2),G10-F11)+IF(AND(Q10=3,Q7=3),C10-F7)+IF(AND(Q10=3,Q8=3),D10-F8)+IF(AND(Q10=3,Q9=3),E10-F9)+IF(AND(Q10=3,Q11=3),G10-F11)+IF(AND(Q10=4,Q7=4),C10-F7)+IF(AND(Q10=4,Q8=4),D10-F8)+IF(AND(Q10=4,Q9=4),E10-F9)+IF(AND(Q10=4,Q11=4),G10-F11)</f>
        <v>0</v>
      </c>
      <c r="M10" s="483">
        <f>SUM(AND(R10=R7,C10&gt;F7),AND(R10=R8,D10&gt;F8),AND(R10=R9,E10&gt;F9),AND(R10=R11,G10&gt;F11))</f>
        <v>0</v>
      </c>
      <c r="N10" s="537" t="str">
        <f>SUM(C10:G10)&amp;"-"&amp;SUM(F7:F11)</f>
        <v>0-0</v>
      </c>
      <c r="O10" s="538">
        <f>C10+D10+E10+G10-F7-F8-F9-F11</f>
        <v>0</v>
      </c>
      <c r="P10" s="485" t="e">
        <f>SUM(C10:G10,F7:F11)/SUM(F7:F11)</f>
        <v>#DIV/0!</v>
      </c>
      <c r="Q10" s="491">
        <f>VALUE(LEFT(H10,1))</f>
        <v>0</v>
      </c>
      <c r="R10" s="321">
        <f>Q10*100000+J10*10000+K10*1000+100*L10</f>
        <v>0</v>
      </c>
      <c r="S10" s="486">
        <f>R10+M10*0.1+IF(ISNONTEXT(B10),0,0.01)+0.0001*O10</f>
        <v>0</v>
      </c>
      <c r="T10" s="487" t="str">
        <f>Q10&amp;J10</f>
        <v>00</v>
      </c>
      <c r="U10" s="477"/>
      <c r="V10" s="477"/>
      <c r="W10" s="477"/>
      <c r="X10" s="477"/>
      <c r="Y10" s="477"/>
      <c r="Z10" s="477"/>
      <c r="AA10" s="477"/>
      <c r="AB10" s="477"/>
      <c r="AC10" s="485"/>
      <c r="AD10" s="405">
        <f t="shared" si="0"/>
        <v>0</v>
      </c>
      <c r="AE10" s="406" t="str">
        <f>IFERROR(INDEX(V!$R:$R,MATCH(AF10,V!$L:$L,0)),"")</f>
        <v/>
      </c>
      <c r="AF10" s="407" t="str">
        <f t="shared" si="1"/>
        <v/>
      </c>
      <c r="AG10" s="406" t="str">
        <f>IFERROR(INDEX(V!$R:$R,MATCH(AH10,V!$L:$L,0)),"")</f>
        <v/>
      </c>
      <c r="AH10" s="407" t="str">
        <f t="shared" si="2"/>
        <v/>
      </c>
      <c r="AI10" s="406" t="str">
        <f>IFERROR(INDEX(V!$R:$R,MATCH(AJ10,V!$L:$L,0)),"")</f>
        <v/>
      </c>
      <c r="AJ10" s="407" t="str">
        <f t="shared" si="3"/>
        <v/>
      </c>
      <c r="AK10" s="406" t="str">
        <f>IFERROR(INDEX(V!$R:$R,MATCH(AL10,V!$L:$L,0)),"")</f>
        <v/>
      </c>
      <c r="AL10" s="407" t="str">
        <f t="shared" si="4"/>
        <v/>
      </c>
      <c r="AM10" s="406" t="str">
        <f>IFERROR(INDEX(V!$R:$R,MATCH(AN10,V!$L:$L,0)),"")</f>
        <v/>
      </c>
      <c r="AN10" s="407" t="str">
        <f t="shared" si="5"/>
        <v/>
      </c>
      <c r="AO10" s="406" t="str">
        <f>IFERROR(INDEX(V!$R:$R,MATCH(AP10,V!$L:$L,0)),"")</f>
        <v/>
      </c>
      <c r="AP10" s="407" t="str">
        <f t="shared" si="6"/>
        <v/>
      </c>
    </row>
    <row r="11" spans="1:42" hidden="1" x14ac:dyDescent="0.2">
      <c r="A11" s="316">
        <v>5</v>
      </c>
      <c r="B11" s="493"/>
      <c r="C11" s="318"/>
      <c r="D11" s="318"/>
      <c r="E11" s="318"/>
      <c r="F11" s="318"/>
      <c r="G11" s="319"/>
      <c r="H11" s="317" t="str">
        <f>(IF(C11-G7&gt;0,1)+IF(D11-G8&gt;0,1)+IF(E11-G9&gt;0,1)+IF(F11-G10&gt;0,1))&amp;"-"&amp;(IF(C11-G7&lt;0,1)+IF(D11-G8&lt;0,1)+IF(E11-G9&lt;0,1)+IF(F11-G10&lt;0,1))</f>
        <v>0-0</v>
      </c>
      <c r="I11" s="318" t="str">
        <f>IF(AND(B11&lt;&gt;"",R$6=TRUE),A$6&amp;RANK(S11,S$7:S$11,0)," ")</f>
        <v xml:space="preserve"> </v>
      </c>
      <c r="J11" s="489">
        <f>IF(AND(Q11=1,Q7=1,C11&gt;G7),1)+IF(AND(Q11=1,Q8=1,D11&gt;G8),1)+IF(AND(Q11=1,Q9=1,E11&gt;G9),1)+IF(AND(Q11=1,Q10=1,F11&gt;G10),1)+IF(AND(Q11=2,Q7=2,C11&gt;G7),1)+IF(AND(Q11=2,Q8=2,D11&gt;G8),1)+IF(AND(Q11=2,Q9=2,E11&gt;G9),1)+IF(AND(Q11=2,Q10=2,F11&gt;G10),1)+IF(AND(Q11=3,Q7=3,C11&gt;G7),1)+IF(AND(Q11=3,Q8=3,D11&gt;G8),1)+IF(AND(Q11=3,Q9=3,E11&gt;G9),1)+IF(AND(Q11=3,Q10=3,F11&gt;G10),1)</f>
        <v>0</v>
      </c>
      <c r="K11" s="483">
        <f>SUM(AND(T11=T7,C11&gt;G7),AND(T11=T8,D11&gt;G8),AND(T11=T9,E11&gt;G9),AND(T11=T10,F11&gt;G10))</f>
        <v>0</v>
      </c>
      <c r="L11" s="490">
        <f>IF(AND(Q11=1,Q7=1),C11-G7)+IF(AND(Q11=1,Q8=1),D11-G8)+IF(AND(Q11=1,Q9=1),E11-G9)+IF(AND(Q11=1,Q10=1),F11-G10)+IF(AND(Q11=2,Q7=2),C11-G7)+IF(AND(Q11=2,Q8=2),D11-G8)+IF(AND(Q11=2,Q9=2),E11-G9)+IF(AND(Q11=2,Q10=2),F11-G10)+IF(AND(Q11=3,Q7=3),C11-G7)+IF(AND(Q11=3,Q8=3),D11-G8)+IF(AND(Q11=3,Q9=3),E11-G9)+IF(AND(Q11=3,Q10=3),F11-G10)+IF(AND(Q11=4,Q7=4),C11-G7)+IF(AND(Q11=4,Q8=4),D11-G8)+IF(AND(Q11=4,Q9=4),E11-G9)+IF(AND(Q11=4,Q10=4),F11-G10)</f>
        <v>0</v>
      </c>
      <c r="M11" s="483">
        <f>SUM(AND(R11=R7,C11&gt;G7),AND(R11=R8,D11&gt;G8),AND(R11=R9,E11&gt;G9),AND(R11=R10,F11&gt;G10))</f>
        <v>0</v>
      </c>
      <c r="N11" s="537" t="str">
        <f>SUM(C11:G11)&amp;"-"&amp;SUM(G7:G11)</f>
        <v>0-0</v>
      </c>
      <c r="O11" s="538">
        <f>C11+D11+E11+F11-G7-G8-G9-G10</f>
        <v>0</v>
      </c>
      <c r="P11" s="485" t="e">
        <f>SUM(C11:G11,G7:G11)/SUM(G7:G11)</f>
        <v>#DIV/0!</v>
      </c>
      <c r="Q11" s="491">
        <f>VALUE(LEFT(H11,1))</f>
        <v>0</v>
      </c>
      <c r="R11" s="321">
        <f>Q11*100000+J11*10000+K11*1000+100*L11</f>
        <v>0</v>
      </c>
      <c r="S11" s="486">
        <f>R11+M11*0.1+IF(ISNONTEXT(B11),0,0.01)+0.0001*O11</f>
        <v>0</v>
      </c>
      <c r="T11" s="487" t="str">
        <f>Q11&amp;J11</f>
        <v>00</v>
      </c>
      <c r="U11" s="477"/>
      <c r="V11" s="477"/>
      <c r="W11" s="477"/>
      <c r="X11" s="477"/>
      <c r="Y11" s="477"/>
      <c r="Z11" s="477"/>
      <c r="AA11" s="477"/>
      <c r="AB11" s="477"/>
      <c r="AC11" s="485"/>
      <c r="AD11" s="405">
        <f t="shared" si="0"/>
        <v>0</v>
      </c>
      <c r="AE11" s="406" t="str">
        <f>IFERROR(INDEX(V!$R:$R,MATCH(AF11,V!$L:$L,0)),"")</f>
        <v/>
      </c>
      <c r="AF11" s="407" t="str">
        <f t="shared" si="1"/>
        <v/>
      </c>
      <c r="AG11" s="406" t="str">
        <f>IFERROR(INDEX(V!$R:$R,MATCH(AH11,V!$L:$L,0)),"")</f>
        <v/>
      </c>
      <c r="AH11" s="407" t="str">
        <f t="shared" si="2"/>
        <v/>
      </c>
      <c r="AI11" s="406" t="str">
        <f>IFERROR(INDEX(V!$R:$R,MATCH(AJ11,V!$L:$L,0)),"")</f>
        <v/>
      </c>
      <c r="AJ11" s="407" t="str">
        <f t="shared" si="3"/>
        <v/>
      </c>
      <c r="AK11" s="406" t="str">
        <f>IFERROR(INDEX(V!$R:$R,MATCH(AL11,V!$L:$L,0)),"")</f>
        <v/>
      </c>
      <c r="AL11" s="407" t="str">
        <f t="shared" si="4"/>
        <v/>
      </c>
      <c r="AM11" s="406" t="str">
        <f>IFERROR(INDEX(V!$R:$R,MATCH(AN11,V!$L:$L,0)),"")</f>
        <v/>
      </c>
      <c r="AN11" s="407" t="str">
        <f t="shared" si="5"/>
        <v/>
      </c>
      <c r="AO11" s="406" t="str">
        <f>IFERROR(INDEX(V!$R:$R,MATCH(AP11,V!$L:$L,0)),"")</f>
        <v/>
      </c>
      <c r="AP11" s="407" t="str">
        <f t="shared" si="6"/>
        <v/>
      </c>
    </row>
    <row r="12" spans="1:42" x14ac:dyDescent="0.2">
      <c r="A12" s="494"/>
      <c r="B12" s="495"/>
      <c r="C12" s="496"/>
      <c r="D12" s="497"/>
      <c r="E12" s="498"/>
      <c r="F12" s="498"/>
      <c r="G12" s="499"/>
      <c r="H12" s="500"/>
      <c r="I12" s="501"/>
      <c r="J12" s="477"/>
      <c r="K12" s="477"/>
      <c r="L12" s="477"/>
      <c r="M12" s="477"/>
      <c r="N12" s="539"/>
      <c r="O12" s="539"/>
      <c r="P12" s="477"/>
      <c r="Q12" s="477"/>
      <c r="R12" s="502" t="s">
        <v>264</v>
      </c>
      <c r="S12" s="477"/>
      <c r="T12" s="477"/>
      <c r="U12" s="477"/>
      <c r="V12" s="477"/>
      <c r="W12" s="477"/>
      <c r="X12" s="477"/>
      <c r="Y12" s="477"/>
      <c r="Z12" s="477"/>
      <c r="AA12" s="477"/>
      <c r="AB12" s="477"/>
      <c r="AC12" s="485"/>
      <c r="AD12" s="405">
        <f t="shared" si="0"/>
        <v>0</v>
      </c>
      <c r="AE12" s="406" t="str">
        <f>IFERROR(INDEX(V!$R:$R,MATCH(AF12,V!$L:$L,0)),"")</f>
        <v/>
      </c>
      <c r="AF12" s="407" t="str">
        <f t="shared" si="1"/>
        <v/>
      </c>
      <c r="AG12" s="406" t="str">
        <f>IFERROR(INDEX(V!$R:$R,MATCH(AH12,V!$L:$L,0)),"")</f>
        <v/>
      </c>
      <c r="AH12" s="407" t="str">
        <f t="shared" si="2"/>
        <v/>
      </c>
      <c r="AI12" s="406" t="str">
        <f>IFERROR(INDEX(V!$R:$R,MATCH(AJ12,V!$L:$L,0)),"")</f>
        <v/>
      </c>
      <c r="AJ12" s="407" t="str">
        <f t="shared" si="3"/>
        <v/>
      </c>
      <c r="AK12" s="406" t="str">
        <f>IFERROR(INDEX(V!$R:$R,MATCH(AL12,V!$L:$L,0)),"")</f>
        <v/>
      </c>
      <c r="AL12" s="407" t="str">
        <f t="shared" si="4"/>
        <v/>
      </c>
      <c r="AM12" s="406" t="str">
        <f>IFERROR(INDEX(V!$R:$R,MATCH(AN12,V!$L:$L,0)),"")</f>
        <v/>
      </c>
      <c r="AN12" s="407" t="str">
        <f t="shared" si="5"/>
        <v/>
      </c>
      <c r="AO12" s="406" t="str">
        <f>IFERROR(INDEX(V!$R:$R,MATCH(AP12,V!$L:$L,0)),"")</f>
        <v/>
      </c>
      <c r="AP12" s="407" t="str">
        <f t="shared" si="6"/>
        <v/>
      </c>
    </row>
    <row r="13" spans="1:42" x14ac:dyDescent="0.2">
      <c r="A13" s="316" t="s">
        <v>1</v>
      </c>
      <c r="B13" s="503"/>
      <c r="C13" s="467">
        <v>1</v>
      </c>
      <c r="D13" s="467">
        <v>2</v>
      </c>
      <c r="E13" s="467">
        <v>3</v>
      </c>
      <c r="F13" s="467">
        <v>4</v>
      </c>
      <c r="G13" s="467"/>
      <c r="H13" s="468" t="s">
        <v>168</v>
      </c>
      <c r="I13" s="468" t="s">
        <v>169</v>
      </c>
      <c r="J13" s="504" t="s">
        <v>257</v>
      </c>
      <c r="K13" s="505" t="s">
        <v>258</v>
      </c>
      <c r="L13" s="506" t="s">
        <v>259</v>
      </c>
      <c r="M13" s="506" t="s">
        <v>260</v>
      </c>
      <c r="N13" s="472" t="s">
        <v>170</v>
      </c>
      <c r="O13" s="472" t="s">
        <v>170</v>
      </c>
      <c r="P13" s="473" t="s">
        <v>261</v>
      </c>
      <c r="Q13" s="507" t="s">
        <v>21</v>
      </c>
      <c r="R13" s="507" t="b">
        <f>OR(AND(COUNTA(B14:B18)=3,COUNTA(C14:G18)=6),AND(COUNTA(B14:B18)=4,COUNTA(C14:G18)=12),AND(COUNTA(B14:B18)=5,COUNTA(C14:G18)=20))</f>
        <v>1</v>
      </c>
      <c r="S13" s="508" t="s">
        <v>262</v>
      </c>
      <c r="T13" s="509" t="s">
        <v>263</v>
      </c>
      <c r="U13" s="477"/>
      <c r="V13" s="477"/>
      <c r="W13" s="477"/>
      <c r="X13" s="477"/>
      <c r="Y13" s="477"/>
      <c r="Z13" s="477"/>
      <c r="AA13" s="477"/>
      <c r="AB13" s="477"/>
      <c r="AC13" s="485"/>
      <c r="AD13" s="405">
        <f t="shared" si="0"/>
        <v>0</v>
      </c>
      <c r="AE13" s="406" t="str">
        <f>IFERROR(INDEX(V!$R:$R,MATCH(AF13,V!$L:$L,0)),"")</f>
        <v/>
      </c>
      <c r="AF13" s="407" t="str">
        <f t="shared" si="1"/>
        <v/>
      </c>
      <c r="AG13" s="406" t="str">
        <f>IFERROR(INDEX(V!$R:$R,MATCH(AH13,V!$L:$L,0)),"")</f>
        <v/>
      </c>
      <c r="AH13" s="407" t="str">
        <f t="shared" si="2"/>
        <v/>
      </c>
      <c r="AI13" s="406" t="str">
        <f>IFERROR(INDEX(V!$R:$R,MATCH(AJ13,V!$L:$L,0)),"")</f>
        <v/>
      </c>
      <c r="AJ13" s="407" t="str">
        <f t="shared" si="3"/>
        <v/>
      </c>
      <c r="AK13" s="406" t="str">
        <f>IFERROR(INDEX(V!$R:$R,MATCH(AL13,V!$L:$L,0)),"")</f>
        <v/>
      </c>
      <c r="AL13" s="407" t="str">
        <f t="shared" si="4"/>
        <v/>
      </c>
      <c r="AM13" s="406" t="str">
        <f>IFERROR(INDEX(V!$R:$R,MATCH(AN13,V!$L:$L,0)),"")</f>
        <v/>
      </c>
      <c r="AN13" s="407" t="str">
        <f t="shared" si="5"/>
        <v/>
      </c>
      <c r="AO13" s="406" t="str">
        <f>IFERROR(INDEX(V!$R:$R,MATCH(AP13,V!$L:$L,0)),"")</f>
        <v/>
      </c>
      <c r="AP13" s="407" t="str">
        <f t="shared" si="6"/>
        <v/>
      </c>
    </row>
    <row r="14" spans="1:42" x14ac:dyDescent="0.2">
      <c r="A14" s="316">
        <v>1</v>
      </c>
      <c r="B14" s="510" t="s">
        <v>273</v>
      </c>
      <c r="C14" s="319"/>
      <c r="D14" s="318">
        <v>5</v>
      </c>
      <c r="E14" s="318">
        <v>8</v>
      </c>
      <c r="F14" s="318">
        <v>2</v>
      </c>
      <c r="G14" s="318"/>
      <c r="H14" s="317" t="str">
        <f>(IF(D14-C15&gt;0,1)+IF(E14-C16&gt;0,1)+IF(F14-C17&gt;0,1)+IF(G14-C18&gt;0,1))&amp;"-"&amp;(IF(D14-C15&lt;0,1)+IF(E14-C16&lt;0,1)+IF(F14-C17&lt;0,1)+IF(G14-C18&lt;0,1))</f>
        <v>0-3</v>
      </c>
      <c r="I14" s="318" t="str">
        <f>IF(AND(B14&lt;&gt;"",R$6=TRUE),A$13&amp;RANK(S14,S$14:S$18,0)," ")</f>
        <v>B4</v>
      </c>
      <c r="J14" s="480">
        <f>IF(AND(Q14=1,Q15=1,D14&gt;C15),1)+IF(AND(Q14=1,Q16=1,E14&gt;C16),1)+IF(AND(Q14=1,Q17=1,F14&gt;C17),1)+IF(AND(Q14=1,Q18=1,G14&gt;C18),1)+IF(AND(Q14=2,Q15=2,D14&gt;C15),1)+IF(AND(Q14=2,Q16=2,E14&gt;C16),1)+IF(AND(Q14=2,Q17=2,F14&gt;C17),1)+IF(AND(Q14=2,Q18=2,G14&gt;C18),1)+IF(AND(Q14=3,Q15=3,D14&gt;C15),1)+IF(AND(Q14=3,Q16=3,E14&gt;C16),1)+IF(AND(Q14=3,Q17=3,F14&gt;C17),1)+IF(AND(Q14=3,Q18=3,G14&gt;C18),1)</f>
        <v>0</v>
      </c>
      <c r="K14" s="481">
        <f>SUM(AND(T14=T15,D14&gt;C15),AND(T14=T16,E14&gt;C16),AND(T14=T17,F14&gt;C17),AND(T14=T18,G14&gt;C18))</f>
        <v>0</v>
      </c>
      <c r="L14" s="482">
        <f>IF(AND(Q14=1,Q15=1),D14-C15)+IF(AND(Q14=1,Q16=1),E14-C16)+IF(AND(Q14=1,Q17=1),F14-C17)+IF(AND(Q14=1,Q18=1),G14-C18)+IF(AND(Q14=2,Q15=2),D14-C15)+IF(AND(Q14=2,Q16=2),E14-C16)+IF(AND(Q14=2,Q17=2),F14-C17)+IF(AND(Q14=2,Q18=2),G14-C18)+IF(AND(Q14=3,Q15=3),D14-C15)+IF(AND(Q14=3,Q16=3),E14-C16)+IF(AND(Q14=3,Q17=3),F14-C17)+IF(AND(Q14=3,Q18=3),G14-C18)+IF(AND(Q14=4,Q15=4),D14-C15)+IF(AND(Q14=4,Q16=4),E14-C16)+IF(AND(Q14=4,Q17=4),F14-C17)+IF(AND(Q14=4,Q18=4),G14-C18)</f>
        <v>0</v>
      </c>
      <c r="M14" s="483">
        <f>SUM(AND(R14=R15,D14&gt;C15),AND(R14=R16,E14&gt;C16),AND(R14=R17,F14&gt;C17),AND(R14=R18,G14&gt;C18))</f>
        <v>0</v>
      </c>
      <c r="N14" s="537" t="str">
        <f>SUM(C14:G14)&amp;"-"&amp;SUM(C14:C18)</f>
        <v>15-39</v>
      </c>
      <c r="O14" s="538">
        <f>D14+E14+F14+G14-C15-C16-C17-C18</f>
        <v>-24</v>
      </c>
      <c r="P14" s="485">
        <f>SUM(C14:G14,C14:C18)/SUM(C14:C18)</f>
        <v>1.3846153846153846</v>
      </c>
      <c r="Q14" s="320">
        <f>VALUE(LEFT(H14,1))</f>
        <v>0</v>
      </c>
      <c r="R14" s="321">
        <f>Q14*100000+J14*10000+K14*1000+100*L14</f>
        <v>0</v>
      </c>
      <c r="S14" s="486">
        <f>R14+M14*0.1+IF(ISNONTEXT(B14),0,0.01)+0.0001*O14</f>
        <v>7.6E-3</v>
      </c>
      <c r="T14" s="487" t="str">
        <f>Q14&amp;J14</f>
        <v>00</v>
      </c>
      <c r="U14" s="477"/>
      <c r="V14" s="477"/>
      <c r="W14" s="477"/>
      <c r="X14" s="477"/>
      <c r="Y14" s="477"/>
      <c r="Z14" s="477"/>
      <c r="AA14" s="477"/>
      <c r="AB14" s="477"/>
      <c r="AC14" s="485"/>
      <c r="AD14" s="405">
        <f t="shared" si="0"/>
        <v>233.5</v>
      </c>
      <c r="AE14" s="406">
        <f>IFERROR(INDEX(V!$R:$R,MATCH(AF14,V!$L:$L,0)),"")</f>
        <v>100</v>
      </c>
      <c r="AF14" s="407" t="str">
        <f t="shared" si="1"/>
        <v>Elmo Lageda</v>
      </c>
      <c r="AG14" s="406">
        <f>IFERROR(INDEX(V!$R:$R,MATCH(AH14,V!$L:$L,0)),"")</f>
        <v>133.5</v>
      </c>
      <c r="AH14" s="407" t="str">
        <f t="shared" si="2"/>
        <v>Tõnu Piik</v>
      </c>
      <c r="AI14" s="406" t="str">
        <f>IFERROR(INDEX(V!$R:$R,MATCH(AJ14,V!$L:$L,0)),"")</f>
        <v/>
      </c>
      <c r="AJ14" s="407" t="str">
        <f t="shared" si="3"/>
        <v/>
      </c>
      <c r="AK14" s="406" t="str">
        <f>IFERROR(INDEX(V!$R:$R,MATCH(AL14,V!$L:$L,0)),"")</f>
        <v/>
      </c>
      <c r="AL14" s="407" t="str">
        <f t="shared" si="4"/>
        <v/>
      </c>
      <c r="AM14" s="406" t="str">
        <f>IFERROR(INDEX(V!$R:$R,MATCH(AN14,V!$L:$L,0)),"")</f>
        <v/>
      </c>
      <c r="AN14" s="407" t="str">
        <f t="shared" si="5"/>
        <v/>
      </c>
      <c r="AO14" s="406" t="str">
        <f>IFERROR(INDEX(V!$R:$R,MATCH(AP14,V!$L:$L,0)),"")</f>
        <v/>
      </c>
      <c r="AP14" s="407" t="str">
        <f t="shared" si="6"/>
        <v/>
      </c>
    </row>
    <row r="15" spans="1:42" x14ac:dyDescent="0.2">
      <c r="A15" s="316">
        <v>2</v>
      </c>
      <c r="B15" s="479" t="s">
        <v>274</v>
      </c>
      <c r="C15" s="318">
        <v>13</v>
      </c>
      <c r="D15" s="319"/>
      <c r="E15" s="318">
        <v>4</v>
      </c>
      <c r="F15" s="318">
        <v>8</v>
      </c>
      <c r="G15" s="318"/>
      <c r="H15" s="317" t="str">
        <f>(IF(C15-D14&gt;0,1)+IF(E15-D16&gt;0,1)+IF(F15-D17&gt;0,1)+IF(G15-D18&gt;0,1))&amp;"-"&amp;(IF(C15-D14&lt;0,1)+IF(E15-D16&lt;0,1)+IF(F15-D17&lt;0,1)+IF(G15-D18&lt;0,1))</f>
        <v>1-2</v>
      </c>
      <c r="I15" s="318" t="str">
        <f>IF(AND(B15&lt;&gt;"",R$6=TRUE),A$13&amp;RANK(S15,S$14:S$18,0)," ")</f>
        <v>B3</v>
      </c>
      <c r="J15" s="489">
        <f>IF(AND(Q15=1,Q14=1,C15&gt;D14),1)+IF(AND(Q15=1,Q16=1,E15&gt;D16),1)+IF(AND(Q15=1,Q17=1,F15&gt;D17),1)+IF(AND(Q15=1,Q18=1,G15&gt;D18),1)+IF(AND(Q15=2,Q14=2,C15&gt;D14),1)+IF(AND(Q15=2,Q16=2,E15&gt;D16),1)+IF(AND(Q15=2,Q17=2,F15&gt;D17),1)+IF(AND(Q15=2,Q18=2,G15&gt;D18),1)+IF(AND(Q15=3,Q14=3,C15&gt;D14),1)+IF(AND(Q15=3,Q16=3,E15&gt;D16),1)+IF(AND(Q15=3,Q17=3,F15&gt;D17),1)+IF(AND(Q15=3,Q18=3,G15&gt;D18),1)</f>
        <v>0</v>
      </c>
      <c r="K15" s="483">
        <f>SUM(AND(T15=T14,C15&gt;D14),AND(T15=T16,E15&gt;D16),AND(T15=T17,F15&gt;D17),AND(T15=T18,G15&gt;D18))</f>
        <v>0</v>
      </c>
      <c r="L15" s="490">
        <f>IF(AND(Q15=1,Q14=1),C15-D14)+IF(AND(Q15=1,Q16=1),E15-D16)+IF(AND(Q15=1,Q17=1),F15-D17)+IF(AND(Q15=1,Q18=1),G15-D18)+IF(AND(Q15=2,Q14=2),C15-D14)+IF(AND(Q15=2,Q16=2),E15-D16)+IF(AND(Q15=2,Q17=2),F15-D17)+IF(AND(Q15=2,Q18=2),G15-D18)+IF(AND(Q15=3,Q14=3),C15-D14)+IF(AND(Q15=3,Q16=3),E15-D16)+IF(AND(Q15=3,Q17=3),F15-D17)+IF(AND(Q15=3,Q18=3),G15-D18)+IF(AND(Q15=4,Q14=4),C15-D14)+IF(AND(Q15=4,Q16=4),E15-D16)+IF(AND(Q15=4,Q17=4),F15-D17)+IF(AND(Q15=4,Q18=4),G15-D18)</f>
        <v>0</v>
      </c>
      <c r="M15" s="483">
        <f>SUM(AND(R15=R14,C15&gt;D14),AND(R15=R16,E15&gt;D16),AND(R15=R17,F15&gt;D17),AND(R15=R18,G15&gt;D18))</f>
        <v>0</v>
      </c>
      <c r="N15" s="537" t="str">
        <f>SUM(C15:G15)&amp;"-"&amp;SUM(D14:D18)</f>
        <v>25-31</v>
      </c>
      <c r="O15" s="538">
        <f>C15+E15+F15+G15-D14-D16-D17-D18</f>
        <v>-6</v>
      </c>
      <c r="P15" s="485">
        <f>SUM(C15:G15,D14:D18)/SUM(D14:D18)</f>
        <v>1.8064516129032258</v>
      </c>
      <c r="Q15" s="491">
        <f>VALUE(LEFT(H15,1))</f>
        <v>1</v>
      </c>
      <c r="R15" s="321">
        <f>Q15*100000+J15*10000+K15*1000+100*L15</f>
        <v>100000</v>
      </c>
      <c r="S15" s="486">
        <f>R15+M15*0.1+IF(ISNONTEXT(B15),0,0.01)+0.0001*O15</f>
        <v>100000.0094</v>
      </c>
      <c r="T15" s="487" t="str">
        <f>Q15&amp;J15</f>
        <v>10</v>
      </c>
      <c r="U15" s="477"/>
      <c r="V15" s="477"/>
      <c r="W15" s="477"/>
      <c r="X15" s="477"/>
      <c r="Y15" s="477"/>
      <c r="Z15" s="477"/>
      <c r="AA15" s="477"/>
      <c r="AB15" s="477"/>
      <c r="AC15" s="485"/>
      <c r="AD15" s="405">
        <f t="shared" si="0"/>
        <v>276</v>
      </c>
      <c r="AE15" s="406">
        <f>IFERROR(INDEX(V!$R:$R,MATCH(AF15,V!$L:$L,0)),"")</f>
        <v>150.5</v>
      </c>
      <c r="AF15" s="407" t="str">
        <f t="shared" si="1"/>
        <v>Karla Purgats</v>
      </c>
      <c r="AG15" s="406">
        <f>IFERROR(INDEX(V!$R:$R,MATCH(AH15,V!$L:$L,0)),"")</f>
        <v>125.5</v>
      </c>
      <c r="AH15" s="407" t="str">
        <f t="shared" si="2"/>
        <v>Lemmit Toomra</v>
      </c>
      <c r="AI15" s="406" t="str">
        <f>IFERROR(INDEX(V!$R:$R,MATCH(AJ15,V!$L:$L,0)),"")</f>
        <v/>
      </c>
      <c r="AJ15" s="407" t="str">
        <f t="shared" si="3"/>
        <v/>
      </c>
      <c r="AK15" s="406" t="str">
        <f>IFERROR(INDEX(V!$R:$R,MATCH(AL15,V!$L:$L,0)),"")</f>
        <v/>
      </c>
      <c r="AL15" s="407" t="str">
        <f t="shared" si="4"/>
        <v/>
      </c>
      <c r="AM15" s="406" t="str">
        <f>IFERROR(INDEX(V!$R:$R,MATCH(AN15,V!$L:$L,0)),"")</f>
        <v/>
      </c>
      <c r="AN15" s="407" t="str">
        <f t="shared" si="5"/>
        <v/>
      </c>
      <c r="AO15" s="406" t="str">
        <f>IFERROR(INDEX(V!$R:$R,MATCH(AP15,V!$L:$L,0)),"")</f>
        <v/>
      </c>
      <c r="AP15" s="407" t="str">
        <f t="shared" si="6"/>
        <v/>
      </c>
    </row>
    <row r="16" spans="1:42" x14ac:dyDescent="0.2">
      <c r="A16" s="316">
        <v>3</v>
      </c>
      <c r="B16" s="488" t="s">
        <v>275</v>
      </c>
      <c r="C16" s="318">
        <v>13</v>
      </c>
      <c r="D16" s="492">
        <v>13</v>
      </c>
      <c r="E16" s="319"/>
      <c r="F16" s="318">
        <v>13</v>
      </c>
      <c r="G16" s="318"/>
      <c r="H16" s="317" t="str">
        <f>(IF(C16-E14&gt;0,1)+IF(D16-E15&gt;0,1)+IF(F16-E17&gt;0,1)+IF(G16-E18&gt;0,1))&amp;"-"&amp;(IF(C16-E14&lt;0,1)+IF(D16-E15&lt;0,1)+IF(F16-E17&lt;0,1)+IF(G16-E18&lt;0,1))</f>
        <v>3-0</v>
      </c>
      <c r="I16" s="318" t="str">
        <f>IF(AND(B16&lt;&gt;"",R$6=TRUE),A$13&amp;RANK(S16,S$14:S$18,0)," ")</f>
        <v>B1</v>
      </c>
      <c r="J16" s="489">
        <f>IF(AND(Q16=1,Q14=1,C16&gt;E14),1)+IF(AND(Q16=1,Q15=1,D16&gt;E15),1)+IF(AND(Q16=1,Q17=1,F16&gt;E17),1)+IF(AND(Q16=1,Q18=1,G16&gt;E18),1)+IF(AND(Q16=2,Q14=2,C16&gt;E14),1)+IF(AND(Q16=2,Q15=2,D16&gt;E15),1)+IF(AND(Q16=2,Q17=2,F16&gt;E17),1)+IF(AND(Q16=2,Q18=2,G16&gt;E18),1)+IF(AND(Q16=3,Q14=3,C16&gt;E14),1)+IF(AND(Q16=3,Q15=3,D16&gt;E15),1)+IF(AND(Q16=3,Q17=3,F16&gt;E17),1)+IF(AND(Q16=3,Q18=3,G16&gt;E18),1)</f>
        <v>0</v>
      </c>
      <c r="K16" s="483">
        <f>SUM(AND(T16=T14,C16&gt;E14),AND(T16=T15,D16&gt;E15),AND(T16=T17,F16&gt;E17),AND(T16=T18,G16&gt;E18))</f>
        <v>0</v>
      </c>
      <c r="L16" s="490">
        <f>IF(AND(Q16=1,Q14=1),C16-E14)+IF(AND(Q16=1,Q15=1),D16-E15)+IF(AND(Q16=1,Q17=1),F16-E17)+IF(AND(Q16=1,Q18=1),G16-E18)+IF(AND(Q16=2,Q14=2),C16-E14)+IF(AND(Q16=2,Q15=2),D16-E15)+IF(AND(Q16=2,Q17=2),F16-E17)+IF(AND(Q16=2,Q18=2),G16-E18)+IF(AND(Q16=3,Q14=3),C16-E14)+IF(AND(Q16=3,Q15=3),D16-E15)+IF(AND(Q16=3,Q17=3),F16-E17)+IF(AND(Q16=3,Q18=3),G16-E18)+IF(AND(Q16=4,Q14=4),C16-E14)+IF(AND(Q16=4,Q15=4),D16-E15)+IF(AND(Q16=4,Q17=4),F16-E17)+IF(AND(Q16=4,Q18=4),G16-E18)</f>
        <v>0</v>
      </c>
      <c r="M16" s="483">
        <f>SUM(AND(R16=R14,C16&gt;E14),AND(R16=R15,D16&gt;E15),AND(R16=R17,F16&gt;E17),AND(R16=R18,G16&gt;E18))</f>
        <v>0</v>
      </c>
      <c r="N16" s="537" t="str">
        <f>SUM(C16:G16)&amp;"-"&amp;SUM(E14:E18)</f>
        <v>39-24</v>
      </c>
      <c r="O16" s="538">
        <f>C16+D16+F16+G16-E14-E15-E17-E18</f>
        <v>15</v>
      </c>
      <c r="P16" s="485">
        <f>SUM(C16:G16,E14:E18)/SUM(E14:E18)</f>
        <v>2.625</v>
      </c>
      <c r="Q16" s="491">
        <f>VALUE(LEFT(H16,1))</f>
        <v>3</v>
      </c>
      <c r="R16" s="321">
        <f>Q16*100000+J16*10000+K16*1000+100*L16</f>
        <v>300000</v>
      </c>
      <c r="S16" s="486">
        <f>R16+M16*0.1+IF(ISNONTEXT(B16),0,0.01)+0.0001*O16</f>
        <v>300000.01150000002</v>
      </c>
      <c r="T16" s="487" t="str">
        <f>Q16&amp;J16</f>
        <v>30</v>
      </c>
      <c r="U16" s="477"/>
      <c r="V16" s="477"/>
      <c r="W16" s="477"/>
      <c r="X16" s="477"/>
      <c r="Y16" s="477"/>
      <c r="Z16" s="477"/>
      <c r="AA16" s="477"/>
      <c r="AB16" s="477"/>
      <c r="AC16" s="485"/>
      <c r="AD16" s="405">
        <f t="shared" si="0"/>
        <v>174</v>
      </c>
      <c r="AE16" s="406">
        <f>IFERROR(INDEX(V!$R:$R,MATCH(AF16,V!$L:$L,0)),"")</f>
        <v>84</v>
      </c>
      <c r="AF16" s="407" t="str">
        <f t="shared" si="1"/>
        <v>Aarne Välja</v>
      </c>
      <c r="AG16" s="406">
        <f>IFERROR(INDEX(V!$R:$R,MATCH(AH16,V!$L:$L,0)),"")</f>
        <v>90</v>
      </c>
      <c r="AH16" s="407" t="str">
        <f t="shared" si="2"/>
        <v>Janek Tarto</v>
      </c>
      <c r="AI16" s="406" t="str">
        <f>IFERROR(INDEX(V!$R:$R,MATCH(AJ16,V!$L:$L,0)),"")</f>
        <v/>
      </c>
      <c r="AJ16" s="407" t="str">
        <f t="shared" si="3"/>
        <v/>
      </c>
      <c r="AK16" s="406" t="str">
        <f>IFERROR(INDEX(V!$R:$R,MATCH(AL16,V!$L:$L,0)),"")</f>
        <v/>
      </c>
      <c r="AL16" s="407" t="str">
        <f t="shared" si="4"/>
        <v/>
      </c>
      <c r="AM16" s="406" t="str">
        <f>IFERROR(INDEX(V!$R:$R,MATCH(AN16,V!$L:$L,0)),"")</f>
        <v/>
      </c>
      <c r="AN16" s="407" t="str">
        <f t="shared" si="5"/>
        <v/>
      </c>
      <c r="AO16" s="406" t="str">
        <f>IFERROR(INDEX(V!$R:$R,MATCH(AP16,V!$L:$L,0)),"")</f>
        <v/>
      </c>
      <c r="AP16" s="407" t="str">
        <f t="shared" si="6"/>
        <v/>
      </c>
    </row>
    <row r="17" spans="1:42" x14ac:dyDescent="0.2">
      <c r="A17" s="316">
        <v>4</v>
      </c>
      <c r="B17" s="493" t="s">
        <v>276</v>
      </c>
      <c r="C17" s="318">
        <v>13</v>
      </c>
      <c r="D17" s="492">
        <v>13</v>
      </c>
      <c r="E17" s="318">
        <v>12</v>
      </c>
      <c r="F17" s="319"/>
      <c r="G17" s="511"/>
      <c r="H17" s="317" t="str">
        <f>(IF(C17-F14&gt;0,1)+IF(D17-F15&gt;0,1)+IF(E17-F16&gt;0,1)+IF(G17-F18&gt;0,1))&amp;"-"&amp;(IF(C17-F14&lt;0,1)+IF(D17-F15&lt;0,1)+IF(E17-F16&lt;0,1)+IF(G17-F18&lt;0,1))</f>
        <v>2-1</v>
      </c>
      <c r="I17" s="318" t="str">
        <f>IF(AND(B17&lt;&gt;"",R$6=TRUE),A$13&amp;RANK(S17,S$14:S$18,0)," ")</f>
        <v>B2</v>
      </c>
      <c r="J17" s="489">
        <f>IF(AND(Q17=1,Q14=1,C17&gt;F14),1)+IF(AND(Q17=1,Q15=1,D17&gt;F15),1)+IF(AND(Q17=1,Q16=1,E17&gt;F16),1)+IF(AND(Q17=1,Q18=1,G17&gt;F18),1)+IF(AND(Q17=2,Q14=2,C17&gt;F14),1)+IF(AND(Q17=2,Q15=2,D17&gt;F15),1)+IF(AND(Q17=2,Q16=2,E17&gt;F16),1)+IF(AND(Q17=2,Q18=2,G17&gt;F18),1)+IF(AND(Q17=3,Q14=3,C17&gt;F14),1)+IF(AND(Q17=3,Q15=3,D17&gt;F15),1)+IF(AND(Q17=3,Q16=3,E17&gt;F16),1)+IF(AND(Q17=3,Q18=3,G17&gt;F18),1)</f>
        <v>0</v>
      </c>
      <c r="K17" s="483">
        <f>SUM(AND(T17=T14,C17&gt;F14),AND(T17=T15,D17&gt;F15),AND(T17=T16,E17&gt;F16),AND(T17=T18,G17&gt;F18))</f>
        <v>0</v>
      </c>
      <c r="L17" s="490">
        <f>IF(AND(Q17=1,Q14=1),C17-F14)+IF(AND(Q17=1,Q15=1),D17-F15)+IF(AND(Q17=1,Q16=1),E17-F16)+IF(AND(Q17=1,Q18=1),G17-F18)+IF(AND(Q17=2,Q14=2),C17-F14)+IF(AND(Q17=2,Q15=2),D17-F15)+IF(AND(Q17=2,Q16=2),E17-F16)+IF(AND(Q17=2,Q18=2),G17-F18)+IF(AND(Q17=3,Q14=3),C17-F14)+IF(AND(Q17=3,Q15=3),D17-F15)+IF(AND(Q17=3,Q16=3),E17-F16)+IF(AND(Q17=3,Q18=3),G17-F18)+IF(AND(Q17=4,Q14=4),C17-F14)+IF(AND(Q17=4,Q15=4),D17-F15)+IF(AND(Q17=4,Q16=4),E17-F16)+IF(AND(Q17=4,Q18=4),G17-F18)</f>
        <v>0</v>
      </c>
      <c r="M17" s="483">
        <f>SUM(AND(R17=R14,C17&gt;F14),AND(R17=R15,D17&gt;F15),AND(R17=R16,E17&gt;F16),AND(R17=R18,G17&gt;F18))</f>
        <v>0</v>
      </c>
      <c r="N17" s="537" t="str">
        <f>SUM(C17:G17)&amp;"-"&amp;SUM(F14:F18)</f>
        <v>38-23</v>
      </c>
      <c r="O17" s="538">
        <f>C17+D17+E17+G17-F14-F15-F16-F18</f>
        <v>15</v>
      </c>
      <c r="P17" s="485">
        <f>SUM(C17:G17,F14:F18)/SUM(F14:F18)</f>
        <v>2.652173913043478</v>
      </c>
      <c r="Q17" s="491">
        <f>VALUE(LEFT(H17,1))</f>
        <v>2</v>
      </c>
      <c r="R17" s="321">
        <f>Q17*100000+J17*10000+K17*1000+100*L17</f>
        <v>200000</v>
      </c>
      <c r="S17" s="486">
        <f>R17+M17*0.1+IF(ISNONTEXT(B17),0,0.01)+0.0001*O17</f>
        <v>200000.01150000002</v>
      </c>
      <c r="T17" s="487" t="str">
        <f>Q17&amp;J17</f>
        <v>20</v>
      </c>
      <c r="U17" s="477"/>
      <c r="V17" s="477"/>
      <c r="W17" s="477"/>
      <c r="X17" s="477"/>
      <c r="Y17" s="477"/>
      <c r="Z17" s="477"/>
      <c r="AA17" s="477"/>
      <c r="AB17" s="477"/>
      <c r="AC17" s="485"/>
      <c r="AD17" s="405">
        <f t="shared" si="0"/>
        <v>356</v>
      </c>
      <c r="AE17" s="406">
        <f>IFERROR(INDEX(V!$R:$R,MATCH(AF17,V!$L:$L,0)),"")</f>
        <v>178</v>
      </c>
      <c r="AF17" s="407" t="str">
        <f t="shared" si="1"/>
        <v>Jaan Sepp</v>
      </c>
      <c r="AG17" s="406">
        <f>IFERROR(INDEX(V!$R:$R,MATCH(AH17,V!$L:$L,0)),"")</f>
        <v>178</v>
      </c>
      <c r="AH17" s="407" t="str">
        <f t="shared" si="2"/>
        <v>Oskar Sepp</v>
      </c>
      <c r="AI17" s="406" t="str">
        <f>IFERROR(INDEX(V!$R:$R,MATCH(AJ17,V!$L:$L,0)),"")</f>
        <v/>
      </c>
      <c r="AJ17" s="407" t="str">
        <f t="shared" si="3"/>
        <v/>
      </c>
      <c r="AK17" s="406" t="str">
        <f>IFERROR(INDEX(V!$R:$R,MATCH(AL17,V!$L:$L,0)),"")</f>
        <v/>
      </c>
      <c r="AL17" s="407" t="str">
        <f t="shared" si="4"/>
        <v/>
      </c>
      <c r="AM17" s="406" t="str">
        <f>IFERROR(INDEX(V!$R:$R,MATCH(AN17,V!$L:$L,0)),"")</f>
        <v/>
      </c>
      <c r="AN17" s="407" t="str">
        <f t="shared" si="5"/>
        <v/>
      </c>
      <c r="AO17" s="406" t="str">
        <f>IFERROR(INDEX(V!$R:$R,MATCH(AP17,V!$L:$L,0)),"")</f>
        <v/>
      </c>
      <c r="AP17" s="407" t="str">
        <f t="shared" si="6"/>
        <v/>
      </c>
    </row>
    <row r="18" spans="1:42" hidden="1" x14ac:dyDescent="0.2">
      <c r="A18" s="316">
        <v>5</v>
      </c>
      <c r="B18" s="493"/>
      <c r="C18" s="318"/>
      <c r="D18" s="318"/>
      <c r="E18" s="318"/>
      <c r="F18" s="318"/>
      <c r="G18" s="319"/>
      <c r="H18" s="317" t="str">
        <f>(IF(C18-G14&gt;0,1)+IF(D18-G15&gt;0,1)+IF(E18-G16&gt;0,1)+IF(F18-G17&gt;0,1))&amp;"-"&amp;(IF(C18-G14&lt;0,1)+IF(D18-G15&lt;0,1)+IF(E18-G16&lt;0,1)+IF(F18-G17&lt;0,1))</f>
        <v>0-0</v>
      </c>
      <c r="I18" s="318" t="str">
        <f>IF(AND(B18&lt;&gt;"",R$6=TRUE),A$13&amp;RANK(S18,S$14:S$18,0)," ")</f>
        <v xml:space="preserve"> </v>
      </c>
      <c r="J18" s="489">
        <f>IF(AND(Q18=1,Q14=1,C18&gt;G14),1)+IF(AND(Q18=1,Q15=1,D18&gt;G15),1)+IF(AND(Q18=1,Q16=1,E18&gt;G16),1)+IF(AND(Q18=1,Q17=1,F18&gt;G17),1)+IF(AND(Q18=2,Q14=2,C18&gt;G14),1)+IF(AND(Q18=2,Q15=2,D18&gt;G15),1)+IF(AND(Q18=2,Q16=2,E18&gt;G16),1)+IF(AND(Q18=2,Q17=2,F18&gt;G17),1)+IF(AND(Q18=3,Q14=3,C18&gt;G14),1)+IF(AND(Q18=3,Q15=3,D18&gt;G15),1)+IF(AND(Q18=3,Q16=3,E18&gt;G16),1)+IF(AND(Q18=3,Q17=3,F18&gt;G17),1)</f>
        <v>0</v>
      </c>
      <c r="K18" s="483">
        <f>SUM(AND(T18=T14,C18&gt;G14),AND(T18=T15,D18&gt;G15),AND(T18=T16,E18&gt;G16),AND(T18=T17,F18&gt;G17))</f>
        <v>0</v>
      </c>
      <c r="L18" s="490">
        <f>IF(AND(Q18=1,Q14=1),C18-G14)+IF(AND(Q18=1,Q15=1),D18-G15)+IF(AND(Q18=1,Q16=1),E18-G16)+IF(AND(Q18=1,Q17=1),F18-G17)+IF(AND(Q18=2,Q14=2),C18-G14)+IF(AND(Q18=2,Q15=2),D18-G15)+IF(AND(Q18=2,Q16=2),E18-G16)+IF(AND(Q18=2,Q17=2),F18-G17)+IF(AND(Q18=3,Q14=3),C18-G14)+IF(AND(Q18=3,Q15=3),D18-G15)+IF(AND(Q18=3,Q16=3),E18-G16)+IF(AND(Q18=3,Q17=3),F18-G17)+IF(AND(Q18=4,Q14=4),C18-G14)+IF(AND(Q18=4,Q15=4),D18-G15)+IF(AND(Q18=4,Q16=4),E18-G16)+IF(AND(Q18=4,Q17=4),F18-G17)</f>
        <v>0</v>
      </c>
      <c r="M18" s="483">
        <f>SUM(AND(R18=R14,C18&gt;G14),AND(R18=R15,D18&gt;G15),AND(R18=R16,E18&gt;G16),AND(R18=R17,F18&gt;G17))</f>
        <v>0</v>
      </c>
      <c r="N18" s="537" t="str">
        <f>SUM(C18:G18)&amp;"-"&amp;SUM(G14:G18)</f>
        <v>0-0</v>
      </c>
      <c r="O18" s="538">
        <f>C18+D18+E18+F18-G14-G15-G16-G17</f>
        <v>0</v>
      </c>
      <c r="P18" s="485" t="e">
        <f>SUM(C18:G18,G14:G18)/SUM(G14:G18)</f>
        <v>#DIV/0!</v>
      </c>
      <c r="Q18" s="491">
        <f>VALUE(LEFT(H18,1))</f>
        <v>0</v>
      </c>
      <c r="R18" s="321">
        <f>Q18*100000+J18*10000+K18*1000+100*L18</f>
        <v>0</v>
      </c>
      <c r="S18" s="486">
        <f>R18+M18*0.1+IF(ISNONTEXT(B18),0,0.01)+0.0001*O18</f>
        <v>0</v>
      </c>
      <c r="T18" s="487" t="str">
        <f>Q18&amp;J18</f>
        <v>00</v>
      </c>
      <c r="U18" s="477"/>
      <c r="V18" s="477"/>
      <c r="W18" s="477"/>
      <c r="X18" s="477"/>
      <c r="Y18" s="477"/>
      <c r="Z18" s="477"/>
      <c r="AA18" s="477"/>
      <c r="AB18" s="477"/>
      <c r="AC18" s="485"/>
      <c r="AD18" s="405">
        <f t="shared" si="0"/>
        <v>0</v>
      </c>
      <c r="AE18" s="406" t="str">
        <f>IFERROR(INDEX(V!$R:$R,MATCH(AF18,V!$L:$L,0)),"")</f>
        <v/>
      </c>
      <c r="AF18" s="407" t="str">
        <f t="shared" si="1"/>
        <v/>
      </c>
      <c r="AG18" s="406" t="str">
        <f>IFERROR(INDEX(V!$R:$R,MATCH(AH18,V!$L:$L,0)),"")</f>
        <v/>
      </c>
      <c r="AH18" s="407" t="str">
        <f t="shared" si="2"/>
        <v/>
      </c>
      <c r="AI18" s="406" t="str">
        <f>IFERROR(INDEX(V!$R:$R,MATCH(AJ18,V!$L:$L,0)),"")</f>
        <v/>
      </c>
      <c r="AJ18" s="407" t="str">
        <f t="shared" si="3"/>
        <v/>
      </c>
      <c r="AK18" s="406" t="str">
        <f>IFERROR(INDEX(V!$R:$R,MATCH(AL18,V!$L:$L,0)),"")</f>
        <v/>
      </c>
      <c r="AL18" s="407" t="str">
        <f t="shared" si="4"/>
        <v/>
      </c>
      <c r="AM18" s="406" t="str">
        <f>IFERROR(INDEX(V!$R:$R,MATCH(AN18,V!$L:$L,0)),"")</f>
        <v/>
      </c>
      <c r="AN18" s="407" t="str">
        <f t="shared" si="5"/>
        <v/>
      </c>
      <c r="AO18" s="406" t="str">
        <f>IFERROR(INDEX(V!$R:$R,MATCH(AP18,V!$L:$L,0)),"")</f>
        <v/>
      </c>
      <c r="AP18" s="407" t="str">
        <f t="shared" si="6"/>
        <v/>
      </c>
    </row>
    <row r="19" spans="1:42" x14ac:dyDescent="0.2">
      <c r="A19" s="494"/>
      <c r="B19" s="495"/>
      <c r="C19" s="496"/>
      <c r="D19" s="497"/>
      <c r="E19" s="496"/>
      <c r="F19" s="498"/>
      <c r="G19" s="499"/>
      <c r="H19" s="500"/>
      <c r="I19" s="512"/>
      <c r="J19" s="477"/>
      <c r="K19" s="477"/>
      <c r="L19" s="477"/>
      <c r="M19" s="477"/>
      <c r="N19" s="539"/>
      <c r="O19" s="539"/>
      <c r="P19" s="477"/>
      <c r="Q19" s="477"/>
      <c r="R19" s="502" t="s">
        <v>264</v>
      </c>
      <c r="S19" s="477"/>
      <c r="T19" s="477"/>
      <c r="U19" s="477"/>
      <c r="V19" s="477"/>
      <c r="W19" s="477"/>
      <c r="X19" s="477"/>
      <c r="Y19" s="477"/>
      <c r="Z19" s="477"/>
      <c r="AA19" s="477"/>
      <c r="AB19" s="477"/>
      <c r="AC19" s="485"/>
      <c r="AD19" s="405">
        <f t="shared" si="0"/>
        <v>0</v>
      </c>
      <c r="AE19" s="406" t="str">
        <f>IFERROR(INDEX(V!$R:$R,MATCH(AF19,V!$L:$L,0)),"")</f>
        <v/>
      </c>
      <c r="AF19" s="407" t="str">
        <f t="shared" si="1"/>
        <v/>
      </c>
      <c r="AG19" s="406" t="str">
        <f>IFERROR(INDEX(V!$R:$R,MATCH(AH19,V!$L:$L,0)),"")</f>
        <v/>
      </c>
      <c r="AH19" s="407" t="str">
        <f t="shared" si="2"/>
        <v/>
      </c>
      <c r="AI19" s="406" t="str">
        <f>IFERROR(INDEX(V!$R:$R,MATCH(AJ19,V!$L:$L,0)),"")</f>
        <v/>
      </c>
      <c r="AJ19" s="407" t="str">
        <f t="shared" si="3"/>
        <v/>
      </c>
      <c r="AK19" s="406" t="str">
        <f>IFERROR(INDEX(V!$R:$R,MATCH(AL19,V!$L:$L,0)),"")</f>
        <v/>
      </c>
      <c r="AL19" s="407" t="str">
        <f t="shared" si="4"/>
        <v/>
      </c>
      <c r="AM19" s="406" t="str">
        <f>IFERROR(INDEX(V!$R:$R,MATCH(AN19,V!$L:$L,0)),"")</f>
        <v/>
      </c>
      <c r="AN19" s="407" t="str">
        <f t="shared" si="5"/>
        <v/>
      </c>
      <c r="AO19" s="406" t="str">
        <f>IFERROR(INDEX(V!$R:$R,MATCH(AP19,V!$L:$L,0)),"")</f>
        <v/>
      </c>
      <c r="AP19" s="407" t="str">
        <f t="shared" si="6"/>
        <v/>
      </c>
    </row>
    <row r="20" spans="1:42" x14ac:dyDescent="0.2">
      <c r="A20" s="316" t="s">
        <v>2</v>
      </c>
      <c r="B20" s="503"/>
      <c r="C20" s="467">
        <v>1</v>
      </c>
      <c r="D20" s="467">
        <v>2</v>
      </c>
      <c r="E20" s="467">
        <v>3</v>
      </c>
      <c r="F20" s="467">
        <v>4</v>
      </c>
      <c r="G20" s="467"/>
      <c r="H20" s="468" t="s">
        <v>168</v>
      </c>
      <c r="I20" s="468" t="s">
        <v>169</v>
      </c>
      <c r="J20" s="504" t="s">
        <v>257</v>
      </c>
      <c r="K20" s="505" t="s">
        <v>258</v>
      </c>
      <c r="L20" s="506" t="s">
        <v>259</v>
      </c>
      <c r="M20" s="506" t="s">
        <v>260</v>
      </c>
      <c r="N20" s="472" t="s">
        <v>170</v>
      </c>
      <c r="O20" s="472" t="s">
        <v>170</v>
      </c>
      <c r="P20" s="473" t="s">
        <v>261</v>
      </c>
      <c r="Q20" s="507" t="s">
        <v>21</v>
      </c>
      <c r="R20" s="507" t="b">
        <f>OR(AND(COUNTA(B21:B25)=3,COUNTA(C21:G25)=6),AND(COUNTA(B21:B25)=4,COUNTA(C21:G25)=12),AND(COUNTA(B21:B25)=5,COUNTA(C21:G25)=20))</f>
        <v>1</v>
      </c>
      <c r="S20" s="508" t="s">
        <v>262</v>
      </c>
      <c r="T20" s="509" t="s">
        <v>263</v>
      </c>
      <c r="U20" s="477"/>
      <c r="V20" s="477"/>
      <c r="W20" s="477"/>
      <c r="X20" s="477"/>
      <c r="Y20" s="477"/>
      <c r="Z20" s="477"/>
      <c r="AA20" s="477"/>
      <c r="AB20" s="477"/>
      <c r="AC20" s="477"/>
      <c r="AD20" s="405">
        <f t="shared" si="0"/>
        <v>0</v>
      </c>
      <c r="AE20" s="406" t="str">
        <f>IFERROR(INDEX(V!$R:$R,MATCH(AF20,V!$L:$L,0)),"")</f>
        <v/>
      </c>
      <c r="AF20" s="407" t="str">
        <f t="shared" si="1"/>
        <v/>
      </c>
      <c r="AG20" s="406" t="str">
        <f>IFERROR(INDEX(V!$R:$R,MATCH(AH20,V!$L:$L,0)),"")</f>
        <v/>
      </c>
      <c r="AH20" s="407" t="str">
        <f t="shared" si="2"/>
        <v/>
      </c>
      <c r="AI20" s="406" t="str">
        <f>IFERROR(INDEX(V!$R:$R,MATCH(AJ20,V!$L:$L,0)),"")</f>
        <v/>
      </c>
      <c r="AJ20" s="407" t="str">
        <f t="shared" si="3"/>
        <v/>
      </c>
      <c r="AK20" s="406" t="str">
        <f>IFERROR(INDEX(V!$R:$R,MATCH(AL20,V!$L:$L,0)),"")</f>
        <v/>
      </c>
      <c r="AL20" s="407" t="str">
        <f t="shared" si="4"/>
        <v/>
      </c>
      <c r="AM20" s="406" t="str">
        <f>IFERROR(INDEX(V!$R:$R,MATCH(AN20,V!$L:$L,0)),"")</f>
        <v/>
      </c>
      <c r="AN20" s="407" t="str">
        <f t="shared" si="5"/>
        <v/>
      </c>
      <c r="AO20" s="406" t="str">
        <f>IFERROR(INDEX(V!$R:$R,MATCH(AP20,V!$L:$L,0)),"")</f>
        <v/>
      </c>
      <c r="AP20" s="407" t="str">
        <f t="shared" si="6"/>
        <v/>
      </c>
    </row>
    <row r="21" spans="1:42" x14ac:dyDescent="0.2">
      <c r="A21" s="316">
        <v>1</v>
      </c>
      <c r="B21" s="479" t="s">
        <v>277</v>
      </c>
      <c r="C21" s="319"/>
      <c r="D21" s="318">
        <v>13</v>
      </c>
      <c r="E21" s="318">
        <v>13</v>
      </c>
      <c r="F21" s="318">
        <v>13</v>
      </c>
      <c r="G21" s="318"/>
      <c r="H21" s="317" t="str">
        <f>(IF(D21-C22&gt;0,1)+IF(E21-C23&gt;0,1)+IF(F21-C24&gt;0,1)+IF(G21-C25&gt;0,1))&amp;"-"&amp;(IF(D21-C22&lt;0,1)+IF(E21-C23&lt;0,1)+IF(F21-C24&lt;0,1)+IF(G21-C25&lt;0,1))</f>
        <v>3-0</v>
      </c>
      <c r="I21" s="318" t="str">
        <f>IF(AND(B21&lt;&gt;"",R$20=TRUE),A$20&amp;RANK(S21,S$21:S$25,0)," ")</f>
        <v>C1</v>
      </c>
      <c r="J21" s="480">
        <f>IF(AND(Q21=1,Q22=1,D21&gt;C22),1)+IF(AND(Q21=1,Q23=1,E21&gt;C23),1)+IF(AND(Q21=1,Q24=1,F21&gt;C24),1)+IF(AND(Q21=1,Q25=1,G21&gt;C25),1)+IF(AND(Q21=2,Q22=2,D21&gt;C22),1)+IF(AND(Q21=2,Q23=2,E21&gt;C23),1)+IF(AND(Q21=2,Q24=2,F21&gt;C24),1)+IF(AND(Q21=2,Q25=2,G21&gt;C25),1)+IF(AND(Q21=3,Q22=3,D21&gt;C22),1)+IF(AND(Q21=3,Q23=3,E21&gt;C23),1)+IF(AND(Q21=3,Q24=3,F21&gt;C24),1)+IF(AND(Q21=3,Q25=3,G21&gt;C25),1)</f>
        <v>0</v>
      </c>
      <c r="K21" s="481">
        <f>SUM(AND(T21=T22,D21&gt;C22),AND(T21=T23,E21&gt;C23),AND(T21=T24,F21&gt;C24),AND(T21=T25,G21&gt;C25))</f>
        <v>0</v>
      </c>
      <c r="L21" s="482">
        <f>IF(AND(Q21=1,Q22=1),D21-C22)+IF(AND(Q21=1,Q23=1),E21-C23)+IF(AND(Q21=1,Q24=1),F21-C24)+IF(AND(Q21=1,Q25=1),G21-C25)+IF(AND(Q21=2,Q22=2),D21-C22)+IF(AND(Q21=2,Q23=2),E21-C23)+IF(AND(Q21=2,Q24=2),F21-C24)+IF(AND(Q21=2,Q25=2),G21-C25)+IF(AND(Q21=3,Q22=3),D21-C22)+IF(AND(Q21=3,Q23=3),E21-C23)+IF(AND(Q21=3,Q24=3),F21-C24)+IF(AND(Q21=3,Q25=3),G21-C25)+IF(AND(Q21=4,Q22=4),D21-C22)+IF(AND(Q21=4,Q23=4),E21-C23)+IF(AND(Q21=4,Q24=4),F21-C24)+IF(AND(Q21=4,Q25=4),G21-C25)</f>
        <v>0</v>
      </c>
      <c r="M21" s="483">
        <f>SUM(AND(R21=R22,D21&gt;C22),AND(R21=R23,E21&gt;C23),AND(R21=R24,F21&gt;C24),AND(R21=R25,G21&gt;C25))</f>
        <v>0</v>
      </c>
      <c r="N21" s="537" t="str">
        <f>SUM(C21:G21)&amp;"-"&amp;SUM(C21:C25)</f>
        <v>39-24</v>
      </c>
      <c r="O21" s="538">
        <f>D21+E21+F21+G21-C22-C23-C24-C25</f>
        <v>15</v>
      </c>
      <c r="P21" s="485">
        <f>SUM(C21:G21,C21:C25)/SUM(C21:C25)</f>
        <v>2.625</v>
      </c>
      <c r="Q21" s="320">
        <f>VALUE(LEFT(H21,1))</f>
        <v>3</v>
      </c>
      <c r="R21" s="321">
        <f>Q21*100000+J21*10000+K21*1000+100*L21</f>
        <v>300000</v>
      </c>
      <c r="S21" s="486">
        <f>R21+M21*0.1+IF(ISNONTEXT(B21),0,0.01)+0.0001*O21</f>
        <v>300000.01150000002</v>
      </c>
      <c r="T21" s="487" t="str">
        <f>Q21&amp;J21</f>
        <v>30</v>
      </c>
      <c r="U21" s="477"/>
      <c r="V21" s="477"/>
      <c r="W21" s="477"/>
      <c r="X21" s="477"/>
      <c r="Y21" s="477"/>
      <c r="Z21" s="477"/>
      <c r="AA21" s="477"/>
      <c r="AB21" s="477"/>
      <c r="AC21" s="477"/>
      <c r="AD21" s="405">
        <f t="shared" si="0"/>
        <v>168.5</v>
      </c>
      <c r="AE21" s="406">
        <f>IFERROR(INDEX(V!$R:$R,MATCH(AF21,V!$L:$L,0)),"")</f>
        <v>57</v>
      </c>
      <c r="AF21" s="407" t="str">
        <f t="shared" si="1"/>
        <v>Klavdia Piik</v>
      </c>
      <c r="AG21" s="406">
        <f>IFERROR(INDEX(V!$R:$R,MATCH(AH21,V!$L:$L,0)),"")</f>
        <v>111.5</v>
      </c>
      <c r="AH21" s="407" t="str">
        <f t="shared" si="2"/>
        <v>Ülo Piik</v>
      </c>
      <c r="AI21" s="406" t="str">
        <f>IFERROR(INDEX(V!$R:$R,MATCH(AJ21,V!$L:$L,0)),"")</f>
        <v/>
      </c>
      <c r="AJ21" s="407" t="str">
        <f t="shared" si="3"/>
        <v/>
      </c>
      <c r="AK21" s="406" t="str">
        <f>IFERROR(INDEX(V!$R:$R,MATCH(AL21,V!$L:$L,0)),"")</f>
        <v/>
      </c>
      <c r="AL21" s="407" t="str">
        <f t="shared" si="4"/>
        <v/>
      </c>
      <c r="AM21" s="406" t="str">
        <f>IFERROR(INDEX(V!$R:$R,MATCH(AN21,V!$L:$L,0)),"")</f>
        <v/>
      </c>
      <c r="AN21" s="407" t="str">
        <f t="shared" si="5"/>
        <v/>
      </c>
      <c r="AO21" s="406" t="str">
        <f>IFERROR(INDEX(V!$R:$R,MATCH(AP21,V!$L:$L,0)),"")</f>
        <v/>
      </c>
      <c r="AP21" s="407" t="str">
        <f t="shared" si="6"/>
        <v/>
      </c>
    </row>
    <row r="22" spans="1:42" x14ac:dyDescent="0.2">
      <c r="A22" s="316">
        <v>2</v>
      </c>
      <c r="B22" s="488" t="s">
        <v>278</v>
      </c>
      <c r="C22" s="318">
        <v>11</v>
      </c>
      <c r="D22" s="319"/>
      <c r="E22" s="318">
        <v>13</v>
      </c>
      <c r="F22" s="318">
        <v>13</v>
      </c>
      <c r="G22" s="318"/>
      <c r="H22" s="317" t="str">
        <f>(IF(C22-D21&gt;0,1)+IF(E22-D23&gt;0,1)+IF(F22-D24&gt;0,1)+IF(G22-D25&gt;0,1))&amp;"-"&amp;(IF(C22-D21&lt;0,1)+IF(E22-D23&lt;0,1)+IF(F22-D24&lt;0,1)+IF(G22-D25&lt;0,1))</f>
        <v>2-1</v>
      </c>
      <c r="I22" s="318" t="str">
        <f t="shared" ref="I22:I25" si="7">IF(AND(B22&lt;&gt;"",R$20=TRUE),A$20&amp;RANK(S22,S$21:S$25,0)," ")</f>
        <v>C2</v>
      </c>
      <c r="J22" s="489">
        <f>IF(AND(Q22=1,Q21=1,C22&gt;D21),1)+IF(AND(Q22=1,Q23=1,E22&gt;D23),1)+IF(AND(Q22=1,Q24=1,F22&gt;D24),1)+IF(AND(Q22=1,Q25=1,G22&gt;D25),1)+IF(AND(Q22=2,Q21=2,C22&gt;D21),1)+IF(AND(Q22=2,Q23=2,E22&gt;D23),1)+IF(AND(Q22=2,Q24=2,F22&gt;D24),1)+IF(AND(Q22=2,Q25=2,G22&gt;D25),1)+IF(AND(Q22=3,Q21=3,C22&gt;D21),1)+IF(AND(Q22=3,Q23=3,E22&gt;D23),1)+IF(AND(Q22=3,Q24=3,F22&gt;D24),1)+IF(AND(Q22=3,Q25=3,G22&gt;D25),1)</f>
        <v>0</v>
      </c>
      <c r="K22" s="483">
        <f>SUM(AND(T22=T21,C22&gt;D21),AND(T22=T23,E22&gt;D23),AND(T22=T24,F22&gt;D24),AND(T22=T25,G22&gt;D25))</f>
        <v>0</v>
      </c>
      <c r="L22" s="490">
        <f>IF(AND(Q22=1,Q21=1),C22-D21)+IF(AND(Q22=1,Q23=1),E22-D23)+IF(AND(Q22=1,Q24=1),F22-D24)+IF(AND(Q22=1,Q25=1),G22-D25)+IF(AND(Q22=2,Q21=2),C22-D21)+IF(AND(Q22=2,Q23=2),E22-D23)+IF(AND(Q22=2,Q24=2),F22-D24)+IF(AND(Q22=2,Q25=2),G22-D25)+IF(AND(Q22=3,Q21=3),C22-D21)+IF(AND(Q22=3,Q23=3),E22-D23)+IF(AND(Q22=3,Q24=3),F22-D24)+IF(AND(Q22=3,Q25=3),G22-D25)+IF(AND(Q22=4,Q21=4),C22-D21)+IF(AND(Q22=4,Q23=4),E22-D23)+IF(AND(Q22=4,Q24=4),F22-D24)+IF(AND(Q22=4,Q25=4),G22-D25)</f>
        <v>0</v>
      </c>
      <c r="M22" s="483">
        <f>SUM(AND(R22=R21,C22&gt;D21),AND(R22=R23,E22&gt;D23),AND(R22=R24,F22&gt;D24),AND(R22=R25,G22&gt;D25))</f>
        <v>0</v>
      </c>
      <c r="N22" s="537" t="str">
        <f>SUM(C22:G22)&amp;"-"&amp;SUM(D21:D25)</f>
        <v>37-17</v>
      </c>
      <c r="O22" s="538">
        <f>C22+E22+F22+G22-D21-D23-D24-D25</f>
        <v>20</v>
      </c>
      <c r="P22" s="485">
        <f>SUM(C22:G22,D21:D25)/SUM(D21:D25)</f>
        <v>3.1764705882352939</v>
      </c>
      <c r="Q22" s="491">
        <f>VALUE(LEFT(H22,1))</f>
        <v>2</v>
      </c>
      <c r="R22" s="321">
        <f>Q22*100000+J22*10000+K22*1000+100*L22</f>
        <v>200000</v>
      </c>
      <c r="S22" s="486">
        <f>R22+M22*0.1+IF(ISNONTEXT(B22),0,0.01)+0.0001*O22</f>
        <v>200000.01200000002</v>
      </c>
      <c r="T22" s="487" t="str">
        <f>Q22&amp;J22</f>
        <v>20</v>
      </c>
      <c r="U22" s="477"/>
      <c r="V22" s="477"/>
      <c r="W22" s="477"/>
      <c r="X22" s="477"/>
      <c r="Y22" s="477"/>
      <c r="Z22" s="477"/>
      <c r="AA22" s="477"/>
      <c r="AB22" s="477"/>
      <c r="AC22" s="477"/>
      <c r="AD22" s="405">
        <f t="shared" si="0"/>
        <v>365</v>
      </c>
      <c r="AE22" s="406">
        <f>IFERROR(INDEX(V!$R:$R,MATCH(AF22,V!$L:$L,0)),"")</f>
        <v>187</v>
      </c>
      <c r="AF22" s="407" t="str">
        <f t="shared" si="1"/>
        <v>Kenneth Muusikus</v>
      </c>
      <c r="AG22" s="406">
        <f>IFERROR(INDEX(V!$R:$R,MATCH(AH22,V!$L:$L,0)),"")</f>
        <v>178</v>
      </c>
      <c r="AH22" s="407" t="str">
        <f t="shared" si="2"/>
        <v>Mait Metsla</v>
      </c>
      <c r="AI22" s="406" t="str">
        <f>IFERROR(INDEX(V!$R:$R,MATCH(AJ22,V!$L:$L,0)),"")</f>
        <v/>
      </c>
      <c r="AJ22" s="407" t="str">
        <f t="shared" si="3"/>
        <v/>
      </c>
      <c r="AK22" s="406" t="str">
        <f>IFERROR(INDEX(V!$R:$R,MATCH(AL22,V!$L:$L,0)),"")</f>
        <v/>
      </c>
      <c r="AL22" s="407" t="str">
        <f t="shared" si="4"/>
        <v/>
      </c>
      <c r="AM22" s="406" t="str">
        <f>IFERROR(INDEX(V!$R:$R,MATCH(AN22,V!$L:$L,0)),"")</f>
        <v/>
      </c>
      <c r="AN22" s="407" t="str">
        <f t="shared" si="5"/>
        <v/>
      </c>
      <c r="AO22" s="406" t="str">
        <f>IFERROR(INDEX(V!$R:$R,MATCH(AP22,V!$L:$L,0)),"")</f>
        <v/>
      </c>
      <c r="AP22" s="407" t="str">
        <f t="shared" si="6"/>
        <v/>
      </c>
    </row>
    <row r="23" spans="1:42" x14ac:dyDescent="0.2">
      <c r="A23" s="316">
        <v>3</v>
      </c>
      <c r="B23" s="488" t="s">
        <v>279</v>
      </c>
      <c r="C23" s="318">
        <v>7</v>
      </c>
      <c r="D23" s="492">
        <v>2</v>
      </c>
      <c r="E23" s="319"/>
      <c r="F23" s="318">
        <v>13</v>
      </c>
      <c r="G23" s="318"/>
      <c r="H23" s="317" t="str">
        <f>(IF(C23-E21&gt;0,1)+IF(D23-E22&gt;0,1)+IF(F23-E24&gt;0,1)+IF(G23-E25&gt;0,1))&amp;"-"&amp;(IF(C23-E21&lt;0,1)+IF(D23-E22&lt;0,1)+IF(F23-E24&lt;0,1)+IF(G23-E25&lt;0,1))</f>
        <v>1-2</v>
      </c>
      <c r="I23" s="318" t="str">
        <f t="shared" si="7"/>
        <v>C3</v>
      </c>
      <c r="J23" s="489">
        <f>IF(AND(Q23=1,Q21=1,C23&gt;E21),1)+IF(AND(Q23=1,Q22=1,D23&gt;E22),1)+IF(AND(Q23=1,Q24=1,F23&gt;E24),1)+IF(AND(Q23=1,Q25=1,G23&gt;E25),1)+IF(AND(Q23=2,Q21=2,C23&gt;E21),1)+IF(AND(Q23=2,Q22=2,D23&gt;E22),1)+IF(AND(Q23=2,Q24=2,F23&gt;E24),1)+IF(AND(Q23=2,Q25=2,G23&gt;E25),1)+IF(AND(Q23=3,Q21=3,C23&gt;E21),1)+IF(AND(Q23=3,Q22=3,D23&gt;E22),1)+IF(AND(Q23=3,Q24=3,F23&gt;E24),1)+IF(AND(Q23=3,Q25=3,G23&gt;E25),1)</f>
        <v>0</v>
      </c>
      <c r="K23" s="483">
        <f>SUM(AND(T23=T21,C23&gt;E21),AND(T23=T22,D23&gt;E22),AND(T23=T24,F23&gt;E24),AND(T23=T25,G23&gt;E25))</f>
        <v>0</v>
      </c>
      <c r="L23" s="490">
        <f>IF(AND(Q23=1,Q21=1),C23-E21)+IF(AND(Q23=1,Q22=1),D23-E22)+IF(AND(Q23=1,Q24=1),F23-E24)+IF(AND(Q23=1,Q25=1),G23-E25)+IF(AND(Q23=2,Q21=2),C23-E21)+IF(AND(Q23=2,Q22=2),D23-E22)+IF(AND(Q23=2,Q24=2),F23-E24)+IF(AND(Q23=2,Q25=2),G23-E25)+IF(AND(Q23=3,Q21=3),C23-E21)+IF(AND(Q23=3,Q22=3),D23-E22)+IF(AND(Q23=3,Q24=3),F23-E24)+IF(AND(Q23=3,Q25=3),G23-E25)+IF(AND(Q23=4,Q21=4),C23-E21)+IF(AND(Q23=4,Q22=4),D23-E22)+IF(AND(Q23=4,Q24=4),F23-E24)+IF(AND(Q23=4,Q25=4),G23-E25)</f>
        <v>0</v>
      </c>
      <c r="M23" s="483">
        <f>SUM(AND(R23=R21,C23&gt;E21),AND(R23=R22,D23&gt;E22),AND(R23=R24,F23&gt;E24),AND(R23=R25,G23&gt;E25))</f>
        <v>0</v>
      </c>
      <c r="N23" s="537" t="str">
        <f>SUM(C23:G23)&amp;"-"&amp;SUM(E21:E25)</f>
        <v>22-38</v>
      </c>
      <c r="O23" s="538">
        <f>C23+D23+F23+G23-E21-E22-E24-E25</f>
        <v>-16</v>
      </c>
      <c r="P23" s="485">
        <f>SUM(C23:G23,E21:E25)/SUM(E21:E25)</f>
        <v>1.5789473684210527</v>
      </c>
      <c r="Q23" s="491">
        <f>VALUE(LEFT(H23,1))</f>
        <v>1</v>
      </c>
      <c r="R23" s="321">
        <f>Q23*100000+J23*10000+K23*1000+100*L23</f>
        <v>100000</v>
      </c>
      <c r="S23" s="486">
        <f>R23+M23*0.1+IF(ISNONTEXT(B23),0,0.01)+0.0001*O23</f>
        <v>100000.00839999999</v>
      </c>
      <c r="T23" s="487" t="str">
        <f>Q23&amp;J23</f>
        <v>10</v>
      </c>
      <c r="U23" s="477"/>
      <c r="V23" s="477"/>
      <c r="W23" s="477"/>
      <c r="X23" s="477"/>
      <c r="Y23" s="477"/>
      <c r="Z23" s="477"/>
      <c r="AA23" s="477"/>
      <c r="AB23" s="477"/>
      <c r="AC23" s="477"/>
      <c r="AD23" s="405">
        <f t="shared" si="0"/>
        <v>160</v>
      </c>
      <c r="AE23" s="406">
        <f>IFERROR(INDEX(V!$R:$R,MATCH(AF23,V!$L:$L,0)),"")</f>
        <v>81</v>
      </c>
      <c r="AF23" s="407" t="str">
        <f t="shared" si="1"/>
        <v>Jaan Saar</v>
      </c>
      <c r="AG23" s="406">
        <f>IFERROR(INDEX(V!$R:$R,MATCH(AH23,V!$L:$L,0)),"")</f>
        <v>79</v>
      </c>
      <c r="AH23" s="407" t="str">
        <f t="shared" si="2"/>
        <v>Liidia Põllu</v>
      </c>
      <c r="AI23" s="406" t="str">
        <f>IFERROR(INDEX(V!$R:$R,MATCH(AJ23,V!$L:$L,0)),"")</f>
        <v/>
      </c>
      <c r="AJ23" s="407" t="str">
        <f t="shared" si="3"/>
        <v/>
      </c>
      <c r="AK23" s="406" t="str">
        <f>IFERROR(INDEX(V!$R:$R,MATCH(AL23,V!$L:$L,0)),"")</f>
        <v/>
      </c>
      <c r="AL23" s="407" t="str">
        <f t="shared" si="4"/>
        <v/>
      </c>
      <c r="AM23" s="406" t="str">
        <f>IFERROR(INDEX(V!$R:$R,MATCH(AN23,V!$L:$L,0)),"")</f>
        <v/>
      </c>
      <c r="AN23" s="407" t="str">
        <f t="shared" si="5"/>
        <v/>
      </c>
      <c r="AO23" s="406" t="str">
        <f>IFERROR(INDEX(V!$R:$R,MATCH(AP23,V!$L:$L,0)),"")</f>
        <v/>
      </c>
      <c r="AP23" s="407" t="str">
        <f t="shared" si="6"/>
        <v/>
      </c>
    </row>
    <row r="24" spans="1:42" x14ac:dyDescent="0.2">
      <c r="A24" s="316">
        <v>4</v>
      </c>
      <c r="B24" s="488" t="s">
        <v>280</v>
      </c>
      <c r="C24" s="318">
        <v>6</v>
      </c>
      <c r="D24" s="492">
        <v>2</v>
      </c>
      <c r="E24" s="318">
        <v>12</v>
      </c>
      <c r="F24" s="319"/>
      <c r="G24" s="511"/>
      <c r="H24" s="317" t="str">
        <f>(IF(C24-F21&gt;0,1)+IF(D24-F22&gt;0,1)+IF(E24-F23&gt;0,1)+IF(G24-F25&gt;0,1))&amp;"-"&amp;(IF(C24-F21&lt;0,1)+IF(D24-F22&lt;0,1)+IF(E24-F23&lt;0,1)+IF(G24-F25&lt;0,1))</f>
        <v>0-3</v>
      </c>
      <c r="I24" s="318" t="str">
        <f t="shared" si="7"/>
        <v>C4</v>
      </c>
      <c r="J24" s="489">
        <f>IF(AND(Q24=1,Q21=1,C24&gt;F21),1)+IF(AND(Q24=1,Q22=1,D24&gt;F22),1)+IF(AND(Q24=1,Q23=1,E24&gt;F23),1)+IF(AND(Q24=1,Q25=1,G24&gt;F25),1)+IF(AND(Q24=2,Q21=2,C24&gt;F21),1)+IF(AND(Q24=2,Q22=2,D24&gt;F22),1)+IF(AND(Q24=2,Q23=2,E24&gt;F23),1)+IF(AND(Q24=2,Q25=2,G24&gt;F25),1)+IF(AND(Q24=3,Q21=3,C24&gt;F21),1)+IF(AND(Q24=3,Q22=3,D24&gt;F22),1)+IF(AND(Q24=3,Q23=3,E24&gt;F23),1)+IF(AND(Q24=3,Q25=3,G24&gt;F25),1)</f>
        <v>0</v>
      </c>
      <c r="K24" s="483">
        <f>SUM(AND(T24=T21,C24&gt;F21),AND(T24=T22,D24&gt;F22),AND(T24=T23,E24&gt;F23),AND(T24=T25,G24&gt;F25))</f>
        <v>0</v>
      </c>
      <c r="L24" s="490">
        <f>IF(AND(Q24=1,Q21=1),C24-F21)+IF(AND(Q24=1,Q22=1),D24-F22)+IF(AND(Q24=1,Q23=1),E24-F23)+IF(AND(Q24=1,Q25=1),G24-F25)+IF(AND(Q24=2,Q21=2),C24-F21)+IF(AND(Q24=2,Q22=2),D24-F22)+IF(AND(Q24=2,Q23=2),E24-F23)+IF(AND(Q24=2,Q25=2),G24-F25)+IF(AND(Q24=3,Q21=3),C24-F21)+IF(AND(Q24=3,Q22=3),D24-F22)+IF(AND(Q24=3,Q23=3),E24-F23)+IF(AND(Q24=3,Q25=3),G24-F25)+IF(AND(Q24=4,Q21=4),C24-F21)+IF(AND(Q24=4,Q22=4),D24-F22)+IF(AND(Q24=4,Q23=4),E24-F23)+IF(AND(Q24=4,Q25=4),G24-F25)</f>
        <v>0</v>
      </c>
      <c r="M24" s="483">
        <f>SUM(AND(R24=R21,C24&gt;F21),AND(R24=R22,D24&gt;F22),AND(R24=R23,E24&gt;F23),AND(R24=R25,G24&gt;F25))</f>
        <v>0</v>
      </c>
      <c r="N24" s="537" t="str">
        <f>SUM(C24:G24)&amp;"-"&amp;SUM(F21:F25)</f>
        <v>20-39</v>
      </c>
      <c r="O24" s="538">
        <f>C24+D24+E24+G24-F21-F22-F23-F25</f>
        <v>-19</v>
      </c>
      <c r="P24" s="485">
        <f>SUM(C24:G24,F21:F25)/SUM(F21:F25)</f>
        <v>1.5128205128205128</v>
      </c>
      <c r="Q24" s="491">
        <f>VALUE(LEFT(H24,1))</f>
        <v>0</v>
      </c>
      <c r="R24" s="321">
        <f>Q24*100000+J24*10000+K24*1000+100*L24</f>
        <v>0</v>
      </c>
      <c r="S24" s="486">
        <f>R24+M24*0.1+IF(ISNONTEXT(B24),0,0.01)+0.0001*O24</f>
        <v>8.0999999999999996E-3</v>
      </c>
      <c r="T24" s="487" t="str">
        <f>Q24&amp;J24</f>
        <v>00</v>
      </c>
      <c r="U24" s="477"/>
      <c r="V24" s="477"/>
      <c r="W24" s="477"/>
      <c r="X24" s="477"/>
      <c r="Y24" s="477"/>
      <c r="Z24" s="477"/>
      <c r="AA24" s="477"/>
      <c r="AB24" s="477"/>
      <c r="AC24" s="477"/>
      <c r="AD24" s="405">
        <f t="shared" si="0"/>
        <v>223</v>
      </c>
      <c r="AE24" s="406">
        <f>IFERROR(INDEX(V!$R:$R,MATCH(AF24,V!$L:$L,0)),"")</f>
        <v>118</v>
      </c>
      <c r="AF24" s="407" t="str">
        <f t="shared" si="1"/>
        <v>Enn Tokman</v>
      </c>
      <c r="AG24" s="406">
        <f>IFERROR(INDEX(V!$R:$R,MATCH(AH24,V!$L:$L,0)),"")</f>
        <v>105</v>
      </c>
      <c r="AH24" s="407" t="str">
        <f t="shared" si="2"/>
        <v>Tarmo Bombe</v>
      </c>
      <c r="AI24" s="406" t="str">
        <f>IFERROR(INDEX(V!$R:$R,MATCH(AJ24,V!$L:$L,0)),"")</f>
        <v/>
      </c>
      <c r="AJ24" s="407" t="str">
        <f t="shared" si="3"/>
        <v/>
      </c>
      <c r="AK24" s="406" t="str">
        <f>IFERROR(INDEX(V!$R:$R,MATCH(AL24,V!$L:$L,0)),"")</f>
        <v/>
      </c>
      <c r="AL24" s="407" t="str">
        <f t="shared" si="4"/>
        <v/>
      </c>
      <c r="AM24" s="406" t="str">
        <f>IFERROR(INDEX(V!$R:$R,MATCH(AN24,V!$L:$L,0)),"")</f>
        <v/>
      </c>
      <c r="AN24" s="407" t="str">
        <f t="shared" si="5"/>
        <v/>
      </c>
      <c r="AO24" s="406" t="str">
        <f>IFERROR(INDEX(V!$R:$R,MATCH(AP24,V!$L:$L,0)),"")</f>
        <v/>
      </c>
      <c r="AP24" s="407" t="str">
        <f t="shared" si="6"/>
        <v/>
      </c>
    </row>
    <row r="25" spans="1:42" hidden="1" x14ac:dyDescent="0.2">
      <c r="A25" s="316">
        <v>5</v>
      </c>
      <c r="B25" s="493"/>
      <c r="C25" s="318"/>
      <c r="D25" s="318"/>
      <c r="E25" s="318"/>
      <c r="F25" s="318"/>
      <c r="G25" s="319"/>
      <c r="H25" s="317" t="str">
        <f>(IF(C25-G21&gt;0,1)+IF(D25-G22&gt;0,1)+IF(E25-G23&gt;0,1)+IF(F25-G24&gt;0,1))&amp;"-"&amp;(IF(C25-G21&lt;0,1)+IF(D25-G22&lt;0,1)+IF(E25-G23&lt;0,1)+IF(F25-G24&lt;0,1))</f>
        <v>0-0</v>
      </c>
      <c r="I25" s="318" t="str">
        <f t="shared" si="7"/>
        <v xml:space="preserve"> </v>
      </c>
      <c r="J25" s="489">
        <f>IF(AND(Q25=1,Q21=1,C25&gt;G21),1)+IF(AND(Q25=1,Q22=1,D25&gt;G22),1)+IF(AND(Q25=1,Q23=1,E25&gt;G23),1)+IF(AND(Q25=1,Q24=1,F25&gt;G24),1)+IF(AND(Q25=2,Q21=2,C25&gt;G21),1)+IF(AND(Q25=2,Q22=2,D25&gt;G22),1)+IF(AND(Q25=2,Q23=2,E25&gt;G23),1)+IF(AND(Q25=2,Q24=2,F25&gt;G24),1)+IF(AND(Q25=3,Q21=3,C25&gt;G21),1)+IF(AND(Q25=3,Q22=3,D25&gt;G22),1)+IF(AND(Q25=3,Q23=3,E25&gt;G23),1)+IF(AND(Q25=3,Q24=3,F25&gt;G24),1)</f>
        <v>0</v>
      </c>
      <c r="K25" s="483">
        <f>SUM(AND(T25=T21,C25&gt;G21),AND(T25=T22,D25&gt;G22),AND(T25=T23,E25&gt;G23),AND(T25=T24,F25&gt;G24))</f>
        <v>0</v>
      </c>
      <c r="L25" s="490">
        <f>IF(AND(Q25=1,Q21=1),C25-G21)+IF(AND(Q25=1,Q22=1),D25-G22)+IF(AND(Q25=1,Q23=1),E25-G23)+IF(AND(Q25=1,Q24=1),F25-G24)+IF(AND(Q25=2,Q21=2),C25-G21)+IF(AND(Q25=2,Q22=2),D25-G22)+IF(AND(Q25=2,Q23=2),E25-G23)+IF(AND(Q25=2,Q24=2),F25-G24)+IF(AND(Q25=3,Q21=3),C25-G21)+IF(AND(Q25=3,Q22=3),D25-G22)+IF(AND(Q25=3,Q23=3),E25-G23)+IF(AND(Q25=3,Q24=3),F25-G24)+IF(AND(Q25=4,Q21=4),C25-G21)+IF(AND(Q25=4,Q22=4),D25-G22)+IF(AND(Q25=4,Q23=4),E25-G23)+IF(AND(Q25=4,Q24=4),F25-G24)</f>
        <v>0</v>
      </c>
      <c r="M25" s="483">
        <f>SUM(AND(R25=R21,C25&gt;G21),AND(R25=R22,D25&gt;G22),AND(R25=R23,E25&gt;G23),AND(R25=R24,F25&gt;G24))</f>
        <v>0</v>
      </c>
      <c r="N25" s="537" t="str">
        <f>SUM(C25:G25)&amp;"-"&amp;SUM(G21:G25)</f>
        <v>0-0</v>
      </c>
      <c r="O25" s="538">
        <f>C25+D25+E25+F25-G21-G22-G23-G24</f>
        <v>0</v>
      </c>
      <c r="P25" s="485" t="e">
        <f>SUM(C25:G25,G21:G25)/SUM(G21:G25)</f>
        <v>#DIV/0!</v>
      </c>
      <c r="Q25" s="491">
        <f>VALUE(LEFT(H25,1))</f>
        <v>0</v>
      </c>
      <c r="R25" s="321">
        <f>Q25*100000+J25*10000+K25*1000+100*L25</f>
        <v>0</v>
      </c>
      <c r="S25" s="486">
        <f>R25+M25*0.1+IF(ISNONTEXT(B25),0,0.01)+0.0001*O25</f>
        <v>0</v>
      </c>
      <c r="T25" s="487" t="str">
        <f>Q25&amp;J25</f>
        <v>00</v>
      </c>
      <c r="U25" s="477"/>
      <c r="V25" s="477"/>
      <c r="W25" s="477"/>
      <c r="X25" s="477"/>
      <c r="Y25" s="477"/>
      <c r="Z25" s="477"/>
      <c r="AA25" s="477"/>
      <c r="AB25" s="477"/>
      <c r="AC25" s="477"/>
      <c r="AD25" s="405">
        <f t="shared" si="0"/>
        <v>0</v>
      </c>
      <c r="AE25" s="406" t="str">
        <f>IFERROR(INDEX(V!$R:$R,MATCH(AF25,V!$L:$L,0)),"")</f>
        <v/>
      </c>
      <c r="AF25" s="407" t="str">
        <f t="shared" si="1"/>
        <v/>
      </c>
      <c r="AG25" s="406" t="str">
        <f>IFERROR(INDEX(V!$R:$R,MATCH(AH25,V!$L:$L,0)),"")</f>
        <v/>
      </c>
      <c r="AH25" s="407" t="str">
        <f t="shared" si="2"/>
        <v/>
      </c>
      <c r="AI25" s="406" t="str">
        <f>IFERROR(INDEX(V!$R:$R,MATCH(AJ25,V!$L:$L,0)),"")</f>
        <v/>
      </c>
      <c r="AJ25" s="407" t="str">
        <f t="shared" si="3"/>
        <v/>
      </c>
      <c r="AK25" s="406" t="str">
        <f>IFERROR(INDEX(V!$R:$R,MATCH(AL25,V!$L:$L,0)),"")</f>
        <v/>
      </c>
      <c r="AL25" s="407" t="str">
        <f t="shared" si="4"/>
        <v/>
      </c>
      <c r="AM25" s="406" t="str">
        <f>IFERROR(INDEX(V!$R:$R,MATCH(AN25,V!$L:$L,0)),"")</f>
        <v/>
      </c>
      <c r="AN25" s="407" t="str">
        <f t="shared" si="5"/>
        <v/>
      </c>
      <c r="AO25" s="406" t="str">
        <f>IFERROR(INDEX(V!$R:$R,MATCH(AP25,V!$L:$L,0)),"")</f>
        <v/>
      </c>
      <c r="AP25" s="407" t="str">
        <f t="shared" si="6"/>
        <v/>
      </c>
    </row>
    <row r="26" spans="1:42" x14ac:dyDescent="0.2">
      <c r="A26" s="513"/>
      <c r="B26" s="514"/>
      <c r="C26" s="499"/>
      <c r="D26" s="499"/>
      <c r="E26" s="499"/>
      <c r="F26" s="515"/>
      <c r="G26" s="515"/>
      <c r="H26" s="516"/>
      <c r="I26" s="517"/>
      <c r="J26" s="477"/>
      <c r="K26" s="477"/>
      <c r="L26" s="477"/>
      <c r="M26" s="477"/>
      <c r="N26" s="539"/>
      <c r="O26" s="539"/>
      <c r="P26" s="477"/>
      <c r="Q26" s="477"/>
      <c r="R26" s="502" t="s">
        <v>264</v>
      </c>
      <c r="S26" s="477"/>
      <c r="T26" s="477"/>
      <c r="U26" s="477"/>
      <c r="V26" s="477"/>
      <c r="W26" s="477"/>
      <c r="X26" s="477"/>
      <c r="Y26" s="477"/>
      <c r="Z26" s="477"/>
      <c r="AA26" s="477"/>
      <c r="AB26" s="477"/>
      <c r="AC26" s="477"/>
      <c r="AD26" s="405">
        <f t="shared" si="0"/>
        <v>0</v>
      </c>
      <c r="AE26" s="406" t="str">
        <f>IFERROR(INDEX(V!$R:$R,MATCH(AF26,V!$L:$L,0)),"")</f>
        <v/>
      </c>
      <c r="AF26" s="407" t="str">
        <f t="shared" si="1"/>
        <v/>
      </c>
      <c r="AG26" s="406" t="str">
        <f>IFERROR(INDEX(V!$R:$R,MATCH(AH26,V!$L:$L,0)),"")</f>
        <v/>
      </c>
      <c r="AH26" s="407" t="str">
        <f t="shared" si="2"/>
        <v/>
      </c>
      <c r="AI26" s="406" t="str">
        <f>IFERROR(INDEX(V!$R:$R,MATCH(AJ26,V!$L:$L,0)),"")</f>
        <v/>
      </c>
      <c r="AJ26" s="407" t="str">
        <f t="shared" si="3"/>
        <v/>
      </c>
      <c r="AK26" s="406" t="str">
        <f>IFERROR(INDEX(V!$R:$R,MATCH(AL26,V!$L:$L,0)),"")</f>
        <v/>
      </c>
      <c r="AL26" s="407" t="str">
        <f t="shared" si="4"/>
        <v/>
      </c>
      <c r="AM26" s="406" t="str">
        <f>IFERROR(INDEX(V!$R:$R,MATCH(AN26,V!$L:$L,0)),"")</f>
        <v/>
      </c>
      <c r="AN26" s="407" t="str">
        <f t="shared" si="5"/>
        <v/>
      </c>
      <c r="AO26" s="406" t="str">
        <f>IFERROR(INDEX(V!$R:$R,MATCH(AP26,V!$L:$L,0)),"")</f>
        <v/>
      </c>
      <c r="AP26" s="407" t="str">
        <f t="shared" si="6"/>
        <v/>
      </c>
    </row>
    <row r="27" spans="1:42" x14ac:dyDescent="0.2">
      <c r="A27" s="316" t="s">
        <v>3</v>
      </c>
      <c r="B27" s="503"/>
      <c r="C27" s="467">
        <v>1</v>
      </c>
      <c r="D27" s="467">
        <v>2</v>
      </c>
      <c r="E27" s="467">
        <v>3</v>
      </c>
      <c r="F27" s="467">
        <v>4</v>
      </c>
      <c r="G27" s="467"/>
      <c r="H27" s="468" t="s">
        <v>168</v>
      </c>
      <c r="I27" s="468" t="s">
        <v>169</v>
      </c>
      <c r="J27" s="504" t="s">
        <v>257</v>
      </c>
      <c r="K27" s="505" t="s">
        <v>258</v>
      </c>
      <c r="L27" s="506" t="s">
        <v>259</v>
      </c>
      <c r="M27" s="506" t="s">
        <v>260</v>
      </c>
      <c r="N27" s="472" t="s">
        <v>170</v>
      </c>
      <c r="O27" s="472" t="s">
        <v>170</v>
      </c>
      <c r="P27" s="473" t="s">
        <v>261</v>
      </c>
      <c r="Q27" s="507" t="s">
        <v>21</v>
      </c>
      <c r="R27" s="507" t="b">
        <f>OR(AND(COUNTA(B28:B32)=3,COUNTA(C28:G32)=6),AND(COUNTA(B28:B32)=4,COUNTA(C28:G32)=12),AND(COUNTA(B28:B32)=5,COUNTA(C28:G32)=20))</f>
        <v>1</v>
      </c>
      <c r="S27" s="508" t="s">
        <v>262</v>
      </c>
      <c r="T27" s="509" t="s">
        <v>263</v>
      </c>
      <c r="U27" s="477"/>
      <c r="V27" s="477"/>
      <c r="W27" s="477"/>
      <c r="X27" s="477"/>
      <c r="Y27" s="477"/>
      <c r="Z27" s="477"/>
      <c r="AA27" s="477"/>
      <c r="AB27" s="477"/>
      <c r="AC27" s="477"/>
      <c r="AD27" s="405">
        <f t="shared" si="0"/>
        <v>0</v>
      </c>
      <c r="AE27" s="406" t="str">
        <f>IFERROR(INDEX(V!$R:$R,MATCH(AF27,V!$L:$L,0)),"")</f>
        <v/>
      </c>
      <c r="AF27" s="407" t="str">
        <f t="shared" si="1"/>
        <v/>
      </c>
      <c r="AG27" s="406" t="str">
        <f>IFERROR(INDEX(V!$R:$R,MATCH(AH27,V!$L:$L,0)),"")</f>
        <v/>
      </c>
      <c r="AH27" s="407" t="str">
        <f t="shared" si="2"/>
        <v/>
      </c>
      <c r="AI27" s="406" t="str">
        <f>IFERROR(INDEX(V!$R:$R,MATCH(AJ27,V!$L:$L,0)),"")</f>
        <v/>
      </c>
      <c r="AJ27" s="407" t="str">
        <f t="shared" si="3"/>
        <v/>
      </c>
      <c r="AK27" s="406" t="str">
        <f>IFERROR(INDEX(V!$R:$R,MATCH(AL27,V!$L:$L,0)),"")</f>
        <v/>
      </c>
      <c r="AL27" s="407" t="str">
        <f t="shared" si="4"/>
        <v/>
      </c>
      <c r="AM27" s="406" t="str">
        <f>IFERROR(INDEX(V!$R:$R,MATCH(AN27,V!$L:$L,0)),"")</f>
        <v/>
      </c>
      <c r="AN27" s="407" t="str">
        <f t="shared" si="5"/>
        <v/>
      </c>
      <c r="AO27" s="406" t="str">
        <f>IFERROR(INDEX(V!$R:$R,MATCH(AP27,V!$L:$L,0)),"")</f>
        <v/>
      </c>
      <c r="AP27" s="407" t="str">
        <f t="shared" si="6"/>
        <v/>
      </c>
    </row>
    <row r="28" spans="1:42" x14ac:dyDescent="0.2">
      <c r="A28" s="316">
        <v>1</v>
      </c>
      <c r="B28" s="518" t="s">
        <v>281</v>
      </c>
      <c r="C28" s="319"/>
      <c r="D28" s="534">
        <v>13</v>
      </c>
      <c r="E28" s="318">
        <v>13</v>
      </c>
      <c r="F28" s="534">
        <v>9</v>
      </c>
      <c r="G28" s="318"/>
      <c r="H28" s="317" t="str">
        <f>(IF(D28-C29&gt;0,1)+IF(E28-C30&gt;0,1)+IF(F28-C31&gt;0,1)+IF(G28-C32&gt;0,1))&amp;"-"&amp;(IF(D28-C29&lt;0,1)+IF(E28-C30&lt;0,1)+IF(F28-C31&lt;0,1)+IF(G28-C32&lt;0,1))</f>
        <v>2-1</v>
      </c>
      <c r="I28" s="318" t="str">
        <f>IF(AND(B28&lt;&gt;"",R$27=TRUE),A$27&amp;RANK(S28,S$28:S$32,0)," ")</f>
        <v>D1</v>
      </c>
      <c r="J28" s="480">
        <f>IF(AND(Q28=1,Q29=1,D28&gt;C29),1)+IF(AND(Q28=1,Q30=1,E28&gt;C30),1)+IF(AND(Q28=1,Q31=1,F28&gt;C31),1)+IF(AND(Q28=1,Q32=1,G28&gt;C32),1)+IF(AND(Q28=2,Q29=2,D28&gt;C29),1)+IF(AND(Q28=2,Q30=2,E28&gt;C30),1)+IF(AND(Q28=2,Q31=2,F28&gt;C31),1)+IF(AND(Q28=2,Q32=2,G28&gt;C32),1)+IF(AND(Q28=3,Q29=3,D28&gt;C29),1)+IF(AND(Q28=3,Q30=3,E28&gt;C30),1)+IF(AND(Q28=3,Q31=3,F28&gt;C31),1)+IF(AND(Q28=3,Q32=3,G28&gt;C32),1)</f>
        <v>1</v>
      </c>
      <c r="K28" s="481">
        <f>SUM(AND(T28=T29,D28&gt;C29),AND(T28=T30,E28&gt;C30),AND(T28=T31,F28&gt;C31),AND(T28=T32,G28&gt;C32))</f>
        <v>1</v>
      </c>
      <c r="L28" s="482">
        <f>IF(AND(Q28=1,Q29=1),D28-C29)+IF(AND(Q28=1,Q30=1),E28-C30)+IF(AND(Q28=1,Q31=1),F28-C31)+IF(AND(Q28=1,Q32=1),G28-C32)+IF(AND(Q28=2,Q29=2),D28-C29)+IF(AND(Q28=2,Q30=2),E28-C30)+IF(AND(Q28=2,Q31=2),F28-C31)+IF(AND(Q28=2,Q32=2),G28-C32)+IF(AND(Q28=3,Q29=3),D28-C29)+IF(AND(Q28=3,Q30=3),E28-C30)+IF(AND(Q28=3,Q31=3),F28-C31)+IF(AND(Q28=3,Q32=3),G28-C32)+IF(AND(Q28=4,Q29=4),D28-C29)+IF(AND(Q28=4,Q30=4),E28-C30)+IF(AND(Q28=4,Q31=4),F28-C31)+IF(AND(Q28=4,Q32=4),G28-C32)</f>
        <v>4</v>
      </c>
      <c r="M28" s="483">
        <f>SUM(AND(R28=R29,D28&gt;C29),AND(R28=R30,E28&gt;C30),AND(R28=R31,F28&gt;C31),AND(R28=R32,G28&gt;C32))</f>
        <v>0</v>
      </c>
      <c r="N28" s="537" t="str">
        <f>SUM(C28:G28)&amp;"-"&amp;SUM(C28:C32)</f>
        <v>35-21</v>
      </c>
      <c r="O28" s="538">
        <f>D28+E28+F28+G28-C29-C30-C31-C32</f>
        <v>14</v>
      </c>
      <c r="P28" s="485">
        <f>SUM(C28:G28,C28:C32)/SUM(C28:C32)</f>
        <v>2.6666666666666665</v>
      </c>
      <c r="Q28" s="320">
        <f>VALUE(LEFT(H28,1))</f>
        <v>2</v>
      </c>
      <c r="R28" s="321">
        <f>Q28*100000+J28*10000+K28*1000+100*L28</f>
        <v>211400</v>
      </c>
      <c r="S28" s="486">
        <f>R28+M28*0.1+IF(ISNONTEXT(B28),0,0.01)+0.0001*O28</f>
        <v>211400.01140000002</v>
      </c>
      <c r="T28" s="487" t="str">
        <f>Q28&amp;J28</f>
        <v>21</v>
      </c>
      <c r="U28" s="477"/>
      <c r="V28" s="477"/>
      <c r="W28" s="477"/>
      <c r="X28" s="477"/>
      <c r="Y28" s="477"/>
      <c r="Z28" s="477"/>
      <c r="AA28" s="477"/>
      <c r="AB28" s="477"/>
      <c r="AC28" s="477"/>
      <c r="AD28" s="405">
        <f t="shared" si="0"/>
        <v>176</v>
      </c>
      <c r="AE28" s="406">
        <f>IFERROR(INDEX(V!$R:$R,MATCH(AF28,V!$L:$L,0)),"")</f>
        <v>90</v>
      </c>
      <c r="AF28" s="407" t="str">
        <f t="shared" si="1"/>
        <v>Henri Mitt</v>
      </c>
      <c r="AG28" s="406">
        <f>IFERROR(INDEX(V!$R:$R,MATCH(AH28,V!$L:$L,0)),"")</f>
        <v>86</v>
      </c>
      <c r="AH28" s="407" t="str">
        <f t="shared" si="2"/>
        <v>Meelis Luud</v>
      </c>
      <c r="AI28" s="406" t="str">
        <f>IFERROR(INDEX(V!$R:$R,MATCH(AJ28,V!$L:$L,0)),"")</f>
        <v/>
      </c>
      <c r="AJ28" s="407" t="str">
        <f t="shared" si="3"/>
        <v/>
      </c>
      <c r="AK28" s="406" t="str">
        <f>IFERROR(INDEX(V!$R:$R,MATCH(AL28,V!$L:$L,0)),"")</f>
        <v/>
      </c>
      <c r="AL28" s="407" t="str">
        <f t="shared" si="4"/>
        <v/>
      </c>
      <c r="AM28" s="406" t="str">
        <f>IFERROR(INDEX(V!$R:$R,MATCH(AN28,V!$L:$L,0)),"")</f>
        <v/>
      </c>
      <c r="AN28" s="407" t="str">
        <f t="shared" si="5"/>
        <v/>
      </c>
      <c r="AO28" s="406" t="str">
        <f>IFERROR(INDEX(V!$R:$R,MATCH(AP28,V!$L:$L,0)),"")</f>
        <v/>
      </c>
      <c r="AP28" s="407" t="str">
        <f t="shared" si="6"/>
        <v/>
      </c>
    </row>
    <row r="29" spans="1:42" x14ac:dyDescent="0.2">
      <c r="A29" s="316">
        <v>2</v>
      </c>
      <c r="B29" s="488" t="s">
        <v>282</v>
      </c>
      <c r="C29" s="534">
        <v>5</v>
      </c>
      <c r="D29" s="319"/>
      <c r="E29" s="318">
        <v>13</v>
      </c>
      <c r="F29" s="534">
        <v>13</v>
      </c>
      <c r="G29" s="318"/>
      <c r="H29" s="317" t="str">
        <f>(IF(C29-D28&gt;0,1)+IF(E29-D30&gt;0,1)+IF(F29-D31&gt;0,1)+IF(G29-D32&gt;0,1))&amp;"-"&amp;(IF(C29-D28&lt;0,1)+IF(E29-D30&lt;0,1)+IF(F29-D31&lt;0,1)+IF(G29-D32&lt;0,1))</f>
        <v>2-1</v>
      </c>
      <c r="I29" s="318" t="str">
        <f t="shared" ref="I29:I32" si="8">IF(AND(B29&lt;&gt;"",R$27=TRUE),A$27&amp;RANK(S29,S$28:S$32,0)," ")</f>
        <v>D2</v>
      </c>
      <c r="J29" s="489">
        <f>IF(AND(Q29=1,Q28=1,C29&gt;D28),1)+IF(AND(Q29=1,Q30=1,E29&gt;D30),1)+IF(AND(Q29=1,Q31=1,F29&gt;D31),1)+IF(AND(Q29=1,Q32=1,G29&gt;D32),1)+IF(AND(Q29=2,Q28=2,C29&gt;D28),1)+IF(AND(Q29=2,Q30=2,E29&gt;D30),1)+IF(AND(Q29=2,Q31=2,F29&gt;D31),1)+IF(AND(Q29=2,Q32=2,G29&gt;D32),1)+IF(AND(Q29=3,Q28=3,C29&gt;D28),1)+IF(AND(Q29=3,Q30=3,E29&gt;D30),1)+IF(AND(Q29=3,Q31=3,F29&gt;D31),1)+IF(AND(Q29=3,Q32=3,G29&gt;D32),1)</f>
        <v>1</v>
      </c>
      <c r="K29" s="483">
        <f>SUM(AND(T29=T28,C29&gt;D28),AND(T29=T30,E29&gt;D30),AND(T29=T31,F29&gt;D31),AND(T29=T32,G29&gt;D32))</f>
        <v>1</v>
      </c>
      <c r="L29" s="490">
        <f>IF(AND(Q29=1,Q28=1),C29-D28)+IF(AND(Q29=1,Q30=1),E29-D30)+IF(AND(Q29=1,Q31=1),F29-D31)+IF(AND(Q29=1,Q32=1),G29-D32)+IF(AND(Q29=2,Q28=2),C29-D28)+IF(AND(Q29=2,Q30=2),E29-D30)+IF(AND(Q29=2,Q31=2),F29-D31)+IF(AND(Q29=2,Q32=2),G29-D32)+IF(AND(Q29=3,Q28=3),C29-D28)+IF(AND(Q29=3,Q30=3),E29-D30)+IF(AND(Q29=3,Q31=3),F29-D31)+IF(AND(Q29=3,Q32=3),G29-D32)+IF(AND(Q29=4,Q28=4),C29-D28)+IF(AND(Q29=4,Q30=4),E29-D30)+IF(AND(Q29=4,Q31=4),F29-D31)+IF(AND(Q29=4,Q32=4),G29-D32)</f>
        <v>1</v>
      </c>
      <c r="M29" s="483">
        <f>SUM(AND(R29=R28,C29&gt;D28),AND(R29=R30,E29&gt;D30),AND(R29=R31,F29&gt;D31),AND(R29=R32,G29&gt;D32))</f>
        <v>0</v>
      </c>
      <c r="N29" s="537" t="str">
        <f>SUM(C29:G29)&amp;"-"&amp;SUM(D28:D32)</f>
        <v>31-20</v>
      </c>
      <c r="O29" s="538">
        <f>C29+E29+F29+G29-D28-D30-D31-D32</f>
        <v>11</v>
      </c>
      <c r="P29" s="485">
        <f>SUM(C29:G29,D28:D32)/SUM(D28:D32)</f>
        <v>2.5499999999999998</v>
      </c>
      <c r="Q29" s="491">
        <f>VALUE(LEFT(H29,1))</f>
        <v>2</v>
      </c>
      <c r="R29" s="321">
        <f>Q29*100000+J29*10000+K29*1000+100*L29</f>
        <v>211100</v>
      </c>
      <c r="S29" s="486">
        <f>R29+M29*0.1+IF(ISNONTEXT(B29),0,0.01)+0.0001*O29</f>
        <v>211100.0111</v>
      </c>
      <c r="T29" s="487" t="str">
        <f>Q29&amp;J29</f>
        <v>21</v>
      </c>
      <c r="U29" s="477"/>
      <c r="V29" s="477"/>
      <c r="W29" s="477"/>
      <c r="X29" s="477"/>
      <c r="Y29" s="477"/>
      <c r="Z29" s="477"/>
      <c r="AA29" s="477"/>
      <c r="AB29" s="477"/>
      <c r="AC29" s="477"/>
      <c r="AD29" s="405">
        <f t="shared" si="0"/>
        <v>320</v>
      </c>
      <c r="AE29" s="406">
        <f>IFERROR(INDEX(V!$R:$R,MATCH(AF29,V!$L:$L,0)),"")</f>
        <v>168</v>
      </c>
      <c r="AF29" s="407" t="str">
        <f t="shared" si="1"/>
        <v>Matti Vinni</v>
      </c>
      <c r="AG29" s="406">
        <f>IFERROR(INDEX(V!$R:$R,MATCH(AH29,V!$L:$L,0)),"")</f>
        <v>152</v>
      </c>
      <c r="AH29" s="407" t="str">
        <f t="shared" si="2"/>
        <v>Vladimir Ogneštšikov</v>
      </c>
      <c r="AI29" s="406" t="str">
        <f>IFERROR(INDEX(V!$R:$R,MATCH(AJ29,V!$L:$L,0)),"")</f>
        <v/>
      </c>
      <c r="AJ29" s="407" t="str">
        <f t="shared" si="3"/>
        <v/>
      </c>
      <c r="AK29" s="406" t="str">
        <f>IFERROR(INDEX(V!$R:$R,MATCH(AL29,V!$L:$L,0)),"")</f>
        <v/>
      </c>
      <c r="AL29" s="407" t="str">
        <f t="shared" si="4"/>
        <v/>
      </c>
      <c r="AM29" s="406" t="str">
        <f>IFERROR(INDEX(V!$R:$R,MATCH(AN29,V!$L:$L,0)),"")</f>
        <v/>
      </c>
      <c r="AN29" s="407" t="str">
        <f t="shared" si="5"/>
        <v/>
      </c>
      <c r="AO29" s="406" t="str">
        <f>IFERROR(INDEX(V!$R:$R,MATCH(AP29,V!$L:$L,0)),"")</f>
        <v/>
      </c>
      <c r="AP29" s="407" t="str">
        <f t="shared" si="6"/>
        <v/>
      </c>
    </row>
    <row r="30" spans="1:42" x14ac:dyDescent="0.2">
      <c r="A30" s="316">
        <v>3</v>
      </c>
      <c r="B30" s="488" t="s">
        <v>283</v>
      </c>
      <c r="C30" s="318">
        <v>3</v>
      </c>
      <c r="D30" s="492">
        <v>3</v>
      </c>
      <c r="E30" s="319"/>
      <c r="F30" s="318">
        <v>12</v>
      </c>
      <c r="G30" s="318"/>
      <c r="H30" s="317" t="str">
        <f>(IF(C30-E28&gt;0,1)+IF(D30-E29&gt;0,1)+IF(F30-E31&gt;0,1)+IF(G30-E32&gt;0,1))&amp;"-"&amp;(IF(C30-E28&lt;0,1)+IF(D30-E29&lt;0,1)+IF(F30-E31&lt;0,1)+IF(G30-E32&lt;0,1))</f>
        <v>0-3</v>
      </c>
      <c r="I30" s="318" t="str">
        <f t="shared" si="8"/>
        <v>D4</v>
      </c>
      <c r="J30" s="489">
        <f>IF(AND(Q30=1,Q28=1,C30&gt;E28),1)+IF(AND(Q30=1,Q29=1,D30&gt;E29),1)+IF(AND(Q30=1,Q31=1,F30&gt;E31),1)+IF(AND(Q30=1,Q32=1,G30&gt;E32),1)+IF(AND(Q30=2,Q28=2,C30&gt;E28),1)+IF(AND(Q30=2,Q29=2,D30&gt;E29),1)+IF(AND(Q30=2,Q31=2,F30&gt;E31),1)+IF(AND(Q30=2,Q32=2,G30&gt;E32),1)+IF(AND(Q30=3,Q28=3,C30&gt;E28),1)+IF(AND(Q30=3,Q29=3,D30&gt;E29),1)+IF(AND(Q30=3,Q31=3,F30&gt;E31),1)+IF(AND(Q30=3,Q32=3,G30&gt;E32),1)</f>
        <v>0</v>
      </c>
      <c r="K30" s="483">
        <f>SUM(AND(T30=T28,C30&gt;E28),AND(T30=T29,D30&gt;E29),AND(T30=T31,F30&gt;E31),AND(T30=T32,G30&gt;E32))</f>
        <v>0</v>
      </c>
      <c r="L30" s="490">
        <f>IF(AND(Q30=1,Q28=1),C30-E28)+IF(AND(Q30=1,Q29=1),D30-E29)+IF(AND(Q30=1,Q31=1),F30-E31)+IF(AND(Q30=1,Q32=1),G30-E32)+IF(AND(Q30=2,Q28=2),C30-E28)+IF(AND(Q30=2,Q29=2),D30-E29)+IF(AND(Q30=2,Q31=2),F30-E31)+IF(AND(Q30=2,Q32=2),G30-E32)+IF(AND(Q30=3,Q28=3),C30-E28)+IF(AND(Q30=3,Q29=3),D30-E29)+IF(AND(Q30=3,Q31=3),F30-E31)+IF(AND(Q30=3,Q32=3),G30-E32)+IF(AND(Q30=4,Q28=4),C30-E28)+IF(AND(Q30=4,Q29=4),D30-E29)+IF(AND(Q30=4,Q31=4),F30-E31)+IF(AND(Q30=4,Q32=4),G30-E32)</f>
        <v>0</v>
      </c>
      <c r="M30" s="483">
        <f>SUM(AND(R30=R28,C30&gt;E28),AND(R30=R29,D30&gt;E29),AND(R30=R31,F30&gt;E31),AND(R30=R32,G30&gt;E32))</f>
        <v>0</v>
      </c>
      <c r="N30" s="537" t="str">
        <f>SUM(C30:G30)&amp;"-"&amp;SUM(E28:E32)</f>
        <v>18-39</v>
      </c>
      <c r="O30" s="538">
        <f>C30+D30+F30+G30-E28-E29-E31-E32</f>
        <v>-21</v>
      </c>
      <c r="P30" s="485">
        <f>SUM(C30:G30,E28:E32)/SUM(E28:E32)</f>
        <v>1.4615384615384615</v>
      </c>
      <c r="Q30" s="491">
        <f>VALUE(LEFT(H30,1))</f>
        <v>0</v>
      </c>
      <c r="R30" s="321">
        <f>Q30*100000+J30*10000+K30*1000+100*L30</f>
        <v>0</v>
      </c>
      <c r="S30" s="486">
        <f>R30+M30*0.1+IF(ISNONTEXT(B30),0,0.01)+0.0001*O30</f>
        <v>7.9000000000000008E-3</v>
      </c>
      <c r="T30" s="487" t="str">
        <f>Q30&amp;J30</f>
        <v>00</v>
      </c>
      <c r="U30" s="477"/>
      <c r="V30" s="477"/>
      <c r="W30" s="477"/>
      <c r="X30" s="477"/>
      <c r="Y30" s="477"/>
      <c r="Z30" s="477"/>
      <c r="AA30" s="477"/>
      <c r="AB30" s="477"/>
      <c r="AC30" s="477"/>
      <c r="AD30" s="405">
        <f t="shared" si="0"/>
        <v>171</v>
      </c>
      <c r="AE30" s="406">
        <f>IFERROR(INDEX(V!$R:$R,MATCH(AF30,V!$L:$L,0)),"")</f>
        <v>104</v>
      </c>
      <c r="AF30" s="407" t="str">
        <f t="shared" si="1"/>
        <v>Andres Veski</v>
      </c>
      <c r="AG30" s="406">
        <f>IFERROR(INDEX(V!$R:$R,MATCH(AH30,V!$L:$L,0)),"")</f>
        <v>67</v>
      </c>
      <c r="AH30" s="407" t="str">
        <f t="shared" si="2"/>
        <v>Svetlana Veski</v>
      </c>
      <c r="AI30" s="406" t="str">
        <f>IFERROR(INDEX(V!$R:$R,MATCH(AJ30,V!$L:$L,0)),"")</f>
        <v/>
      </c>
      <c r="AJ30" s="407" t="str">
        <f t="shared" si="3"/>
        <v/>
      </c>
      <c r="AK30" s="406" t="str">
        <f>IFERROR(INDEX(V!$R:$R,MATCH(AL30,V!$L:$L,0)),"")</f>
        <v/>
      </c>
      <c r="AL30" s="407" t="str">
        <f t="shared" si="4"/>
        <v/>
      </c>
      <c r="AM30" s="406" t="str">
        <f>IFERROR(INDEX(V!$R:$R,MATCH(AN30,V!$L:$L,0)),"")</f>
        <v/>
      </c>
      <c r="AN30" s="407" t="str">
        <f t="shared" si="5"/>
        <v/>
      </c>
      <c r="AO30" s="406" t="str">
        <f>IFERROR(INDEX(V!$R:$R,MATCH(AP30,V!$L:$L,0)),"")</f>
        <v/>
      </c>
      <c r="AP30" s="407" t="str">
        <f t="shared" si="6"/>
        <v/>
      </c>
    </row>
    <row r="31" spans="1:42" x14ac:dyDescent="0.2">
      <c r="A31" s="316">
        <v>4</v>
      </c>
      <c r="B31" s="493" t="s">
        <v>284</v>
      </c>
      <c r="C31" s="534">
        <v>13</v>
      </c>
      <c r="D31" s="535">
        <v>4</v>
      </c>
      <c r="E31" s="318">
        <v>13</v>
      </c>
      <c r="F31" s="319"/>
      <c r="G31" s="511"/>
      <c r="H31" s="317" t="str">
        <f>(IF(C31-F28&gt;0,1)+IF(D31-F29&gt;0,1)+IF(E31-F30&gt;0,1)+IF(G31-F32&gt;0,1))&amp;"-"&amp;(IF(C31-F28&lt;0,1)+IF(D31-F29&lt;0,1)+IF(E31-F30&lt;0,1)+IF(G31-F32&lt;0,1))</f>
        <v>2-1</v>
      </c>
      <c r="I31" s="318" t="str">
        <f t="shared" si="8"/>
        <v>D3</v>
      </c>
      <c r="J31" s="489">
        <f>IF(AND(Q31=1,Q28=1,C31&gt;F28),1)+IF(AND(Q31=1,Q29=1,D31&gt;F29),1)+IF(AND(Q31=1,Q30=1,E31&gt;F30),1)+IF(AND(Q31=1,Q32=1,G31&gt;F32),1)+IF(AND(Q31=2,Q28=2,C31&gt;F28),1)+IF(AND(Q31=2,Q29=2,D31&gt;F29),1)+IF(AND(Q31=2,Q30=2,E31&gt;F30),1)+IF(AND(Q31=2,Q32=2,G31&gt;F32),1)+IF(AND(Q31=3,Q28=3,C31&gt;F28),1)+IF(AND(Q31=3,Q29=3,D31&gt;F29),1)+IF(AND(Q31=3,Q30=3,E31&gt;F30),1)+IF(AND(Q31=3,Q32=3,G31&gt;F32),1)</f>
        <v>1</v>
      </c>
      <c r="K31" s="483">
        <f>SUM(AND(T31=T28,C31&gt;F28),AND(T31=T29,D31&gt;F29),AND(T31=T30,E31&gt;F30),AND(T31=T32,G31&gt;F32))</f>
        <v>1</v>
      </c>
      <c r="L31" s="490">
        <f>IF(AND(Q31=1,Q28=1),C31-F28)+IF(AND(Q31=1,Q29=1),D31-F29)+IF(AND(Q31=1,Q30=1),E31-F30)+IF(AND(Q31=1,Q32=1),G31-F32)+IF(AND(Q31=2,Q28=2),C31-F28)+IF(AND(Q31=2,Q29=2),D31-F29)+IF(AND(Q31=2,Q30=2),E31-F30)+IF(AND(Q31=2,Q32=2),G31-F32)+IF(AND(Q31=3,Q28=3),C31-F28)+IF(AND(Q31=3,Q29=3),D31-F29)+IF(AND(Q31=3,Q30=3),E31-F30)+IF(AND(Q31=3,Q32=3),G31-F32)+IF(AND(Q31=4,Q28=4),C31-F28)+IF(AND(Q31=4,Q29=4),D31-F29)+IF(AND(Q31=4,Q30=4),E31-F30)+IF(AND(Q31=4,Q32=4),G31-F32)</f>
        <v>-5</v>
      </c>
      <c r="M31" s="483">
        <f>SUM(AND(R31=R28,C31&gt;F28),AND(R31=R29,D31&gt;F29),AND(R31=R30,E31&gt;F30),AND(R31=R32,G31&gt;F32))</f>
        <v>0</v>
      </c>
      <c r="N31" s="537" t="str">
        <f>SUM(C31:G31)&amp;"-"&amp;SUM(F28:F32)</f>
        <v>30-34</v>
      </c>
      <c r="O31" s="538">
        <f>C31+D31+E31+G31-F28-F29-F30-F32</f>
        <v>-4</v>
      </c>
      <c r="P31" s="485">
        <f>SUM(C31:G31,F28:F32)/SUM(F28:F32)</f>
        <v>1.8823529411764706</v>
      </c>
      <c r="Q31" s="491">
        <f>VALUE(LEFT(H31,1))</f>
        <v>2</v>
      </c>
      <c r="R31" s="321">
        <f>Q31*100000+J31*10000+K31*1000+100*L31</f>
        <v>210500</v>
      </c>
      <c r="S31" s="486">
        <f>R31+M31*0.1+IF(ISNONTEXT(B31),0,0.01)+0.0001*O31</f>
        <v>210500.00960000002</v>
      </c>
      <c r="T31" s="487" t="str">
        <f>Q31&amp;J31</f>
        <v>21</v>
      </c>
      <c r="U31" s="477"/>
      <c r="V31" s="477"/>
      <c r="W31" s="477"/>
      <c r="X31" s="477"/>
      <c r="Y31" s="477"/>
      <c r="Z31" s="477"/>
      <c r="AA31" s="477"/>
      <c r="AB31" s="477"/>
      <c r="AC31" s="477"/>
      <c r="AD31" s="405">
        <f t="shared" si="0"/>
        <v>194</v>
      </c>
      <c r="AE31" s="406">
        <f>IFERROR(INDEX(V!$R:$R,MATCH(AF31,V!$L:$L,0)),"")</f>
        <v>126</v>
      </c>
      <c r="AF31" s="407" t="str">
        <f t="shared" si="1"/>
        <v>Oleg Rõndenkov</v>
      </c>
      <c r="AG31" s="406">
        <f>IFERROR(INDEX(V!$R:$R,MATCH(AH31,V!$L:$L,0)),"")</f>
        <v>68</v>
      </c>
      <c r="AH31" s="407" t="str">
        <f t="shared" si="2"/>
        <v>Peep Peenema</v>
      </c>
      <c r="AI31" s="406" t="str">
        <f>IFERROR(INDEX(V!$R:$R,MATCH(AJ31,V!$L:$L,0)),"")</f>
        <v/>
      </c>
      <c r="AJ31" s="407" t="str">
        <f t="shared" si="3"/>
        <v/>
      </c>
      <c r="AK31" s="406" t="str">
        <f>IFERROR(INDEX(V!$R:$R,MATCH(AL31,V!$L:$L,0)),"")</f>
        <v/>
      </c>
      <c r="AL31" s="407" t="str">
        <f t="shared" si="4"/>
        <v/>
      </c>
      <c r="AM31" s="406" t="str">
        <f>IFERROR(INDEX(V!$R:$R,MATCH(AN31,V!$L:$L,0)),"")</f>
        <v/>
      </c>
      <c r="AN31" s="407" t="str">
        <f t="shared" si="5"/>
        <v/>
      </c>
      <c r="AO31" s="406" t="str">
        <f>IFERROR(INDEX(V!$R:$R,MATCH(AP31,V!$L:$L,0)),"")</f>
        <v/>
      </c>
      <c r="AP31" s="407" t="str">
        <f t="shared" si="6"/>
        <v/>
      </c>
    </row>
    <row r="32" spans="1:42" hidden="1" x14ac:dyDescent="0.2">
      <c r="A32" s="316">
        <v>5</v>
      </c>
      <c r="B32" s="493"/>
      <c r="C32" s="318"/>
      <c r="D32" s="318"/>
      <c r="E32" s="318"/>
      <c r="F32" s="318"/>
      <c r="G32" s="319"/>
      <c r="H32" s="317" t="str">
        <f>(IF(C32-G28&gt;0,1)+IF(D32-G29&gt;0,1)+IF(E32-G30&gt;0,1)+IF(F32-G31&gt;0,1))&amp;"-"&amp;(IF(C32-G28&lt;0,1)+IF(D32-G29&lt;0,1)+IF(E32-G30&lt;0,1)+IF(F32-G31&lt;0,1))</f>
        <v>0-0</v>
      </c>
      <c r="I32" s="318" t="str">
        <f t="shared" si="8"/>
        <v xml:space="preserve"> </v>
      </c>
      <c r="J32" s="489">
        <f>IF(AND(Q32=1,Q28=1,C32&gt;G28),1)+IF(AND(Q32=1,Q29=1,D32&gt;G29),1)+IF(AND(Q32=1,Q30=1,E32&gt;G30),1)+IF(AND(Q32=1,Q31=1,F32&gt;G31),1)+IF(AND(Q32=2,Q28=2,C32&gt;G28),1)+IF(AND(Q32=2,Q29=2,D32&gt;G29),1)+IF(AND(Q32=2,Q30=2,E32&gt;G30),1)+IF(AND(Q32=2,Q31=2,F32&gt;G31),1)+IF(AND(Q32=3,Q28=3,C32&gt;G28),1)+IF(AND(Q32=3,Q29=3,D32&gt;G29),1)+IF(AND(Q32=3,Q30=3,E32&gt;G30),1)+IF(AND(Q32=3,Q31=3,F32&gt;G31),1)</f>
        <v>0</v>
      </c>
      <c r="K32" s="483">
        <f>SUM(AND(T32=T28,C32&gt;G28),AND(T32=T29,D32&gt;G29),AND(T32=T30,E32&gt;G30),AND(T32=T31,F32&gt;G31))</f>
        <v>0</v>
      </c>
      <c r="L32" s="490">
        <f>IF(AND(Q32=1,Q28=1),C32-G28)+IF(AND(Q32=1,Q29=1),D32-G29)+IF(AND(Q32=1,Q30=1),E32-G30)+IF(AND(Q32=1,Q31=1),F32-G31)+IF(AND(Q32=2,Q28=2),C32-G28)+IF(AND(Q32=2,Q29=2),D32-G29)+IF(AND(Q32=2,Q30=2),E32-G30)+IF(AND(Q32=2,Q31=2),F32-G31)+IF(AND(Q32=3,Q28=3),C32-G28)+IF(AND(Q32=3,Q29=3),D32-G29)+IF(AND(Q32=3,Q30=3),E32-G30)+IF(AND(Q32=3,Q31=3),F32-G31)+IF(AND(Q32=4,Q28=4),C32-G28)+IF(AND(Q32=4,Q29=4),D32-G29)+IF(AND(Q32=4,Q30=4),E32-G30)+IF(AND(Q32=4,Q31=4),F32-G31)</f>
        <v>0</v>
      </c>
      <c r="M32" s="483">
        <f>SUM(AND(R32=R28,C32&gt;G28),AND(R32=R29,D32&gt;G29),AND(R32=R30,E32&gt;G30),AND(R32=R31,F32&gt;G31))</f>
        <v>0</v>
      </c>
      <c r="N32" s="537" t="str">
        <f>SUM(C32:G32)&amp;"-"&amp;SUM(G28:G32)</f>
        <v>0-0</v>
      </c>
      <c r="O32" s="538">
        <f>C32+D32+E32+F32-G28-G29-G30-G31</f>
        <v>0</v>
      </c>
      <c r="P32" s="485" t="e">
        <f>SUM(C32:G32,G28:G32)/SUM(G28:G32)</f>
        <v>#DIV/0!</v>
      </c>
      <c r="Q32" s="491">
        <f>VALUE(LEFT(H32,1))</f>
        <v>0</v>
      </c>
      <c r="R32" s="321">
        <f>Q32*100000+J32*10000+K32*1000+100*L32</f>
        <v>0</v>
      </c>
      <c r="S32" s="486">
        <f>R32+M32*0.1+IF(ISNONTEXT(B32),0,0.01)+0.0001*O32</f>
        <v>0</v>
      </c>
      <c r="T32" s="487" t="str">
        <f>Q32&amp;J32</f>
        <v>00</v>
      </c>
      <c r="U32" s="477"/>
      <c r="V32" s="477"/>
      <c r="W32" s="477"/>
      <c r="X32" s="477"/>
      <c r="Y32" s="477"/>
      <c r="Z32" s="477"/>
      <c r="AA32" s="477"/>
      <c r="AB32" s="477"/>
      <c r="AC32" s="477"/>
      <c r="AH32" s="407" t="str">
        <f t="shared" si="2"/>
        <v/>
      </c>
    </row>
    <row r="33" spans="22:34" hidden="1" x14ac:dyDescent="0.2">
      <c r="V33" s="477"/>
      <c r="W33" s="477"/>
      <c r="X33" s="477"/>
      <c r="Y33" s="477"/>
      <c r="Z33" s="477"/>
      <c r="AA33" s="477"/>
      <c r="AB33" s="477"/>
      <c r="AC33" s="477"/>
      <c r="AH33" s="407" t="str">
        <f t="shared" si="2"/>
        <v/>
      </c>
    </row>
    <row r="34" spans="22:34" hidden="1" x14ac:dyDescent="0.2">
      <c r="V34" s="477"/>
      <c r="W34" s="477"/>
      <c r="X34" s="477"/>
      <c r="Y34" s="477"/>
      <c r="Z34" s="477"/>
      <c r="AA34" s="477"/>
      <c r="AB34" s="477"/>
      <c r="AC34" s="477"/>
      <c r="AH34" s="407" t="str">
        <f t="shared" si="2"/>
        <v/>
      </c>
    </row>
    <row r="35" spans="22:34" hidden="1" x14ac:dyDescent="0.2">
      <c r="V35" s="477"/>
      <c r="W35" s="477"/>
      <c r="X35" s="477"/>
      <c r="Y35" s="477"/>
      <c r="Z35" s="477"/>
      <c r="AA35" s="477"/>
      <c r="AB35" s="477"/>
      <c r="AC35" s="477"/>
      <c r="AH35" s="407" t="str">
        <f t="shared" si="2"/>
        <v/>
      </c>
    </row>
    <row r="36" spans="22:34" hidden="1" x14ac:dyDescent="0.2">
      <c r="V36" s="477"/>
      <c r="W36" s="477"/>
      <c r="X36" s="477"/>
      <c r="Y36" s="477"/>
      <c r="Z36" s="477"/>
      <c r="AA36" s="477"/>
      <c r="AB36" s="477"/>
      <c r="AC36" s="477"/>
      <c r="AH36" s="407" t="str">
        <f t="shared" si="2"/>
        <v/>
      </c>
    </row>
    <row r="37" spans="22:34" hidden="1" x14ac:dyDescent="0.2">
      <c r="V37" s="477"/>
      <c r="W37" s="477"/>
      <c r="X37" s="477"/>
      <c r="Y37" s="477"/>
      <c r="Z37" s="477"/>
      <c r="AA37" s="477"/>
      <c r="AB37" s="477"/>
      <c r="AC37" s="477"/>
      <c r="AH37" s="407" t="str">
        <f t="shared" si="2"/>
        <v/>
      </c>
    </row>
    <row r="38" spans="22:34" hidden="1" x14ac:dyDescent="0.2">
      <c r="V38" s="477"/>
      <c r="W38" s="477"/>
      <c r="X38" s="477"/>
      <c r="Y38" s="477"/>
      <c r="Z38" s="477"/>
      <c r="AA38" s="477"/>
      <c r="AB38" s="477"/>
      <c r="AC38" s="477"/>
      <c r="AH38" s="407" t="str">
        <f t="shared" si="2"/>
        <v/>
      </c>
    </row>
    <row r="39" spans="22:34" hidden="1" x14ac:dyDescent="0.2">
      <c r="V39" s="477"/>
      <c r="W39" s="477"/>
      <c r="X39" s="477"/>
      <c r="Y39" s="477"/>
      <c r="Z39" s="477"/>
      <c r="AA39" s="477"/>
      <c r="AB39" s="477"/>
      <c r="AC39" s="477"/>
      <c r="AH39" s="407" t="str">
        <f t="shared" si="2"/>
        <v/>
      </c>
    </row>
    <row r="40" spans="22:34" hidden="1" x14ac:dyDescent="0.2">
      <c r="V40" s="477"/>
      <c r="W40" s="477"/>
      <c r="X40" s="477"/>
      <c r="Y40" s="477"/>
      <c r="Z40" s="477"/>
      <c r="AA40" s="477"/>
      <c r="AB40" s="477"/>
      <c r="AC40" s="477"/>
      <c r="AH40" s="407" t="str">
        <f t="shared" si="2"/>
        <v/>
      </c>
    </row>
    <row r="41" spans="22:34" hidden="1" x14ac:dyDescent="0.2">
      <c r="V41" s="477"/>
      <c r="W41" s="477"/>
      <c r="X41" s="477"/>
      <c r="Y41" s="477"/>
      <c r="Z41" s="477"/>
      <c r="AA41" s="477"/>
      <c r="AB41" s="477"/>
      <c r="AC41" s="477"/>
      <c r="AH41" s="407" t="str">
        <f t="shared" si="2"/>
        <v/>
      </c>
    </row>
    <row r="42" spans="22:34" hidden="1" x14ac:dyDescent="0.2">
      <c r="V42" s="477"/>
      <c r="W42" s="477"/>
      <c r="X42" s="477"/>
      <c r="Y42" s="477"/>
      <c r="Z42" s="477"/>
      <c r="AA42" s="477"/>
      <c r="AB42" s="477"/>
      <c r="AC42" s="477"/>
      <c r="AH42" s="407" t="str">
        <f t="shared" si="2"/>
        <v/>
      </c>
    </row>
    <row r="43" spans="22:34" hidden="1" x14ac:dyDescent="0.2">
      <c r="V43" s="477"/>
      <c r="W43" s="477"/>
      <c r="X43" s="477"/>
      <c r="Y43" s="477"/>
      <c r="Z43" s="477"/>
      <c r="AA43" s="477"/>
      <c r="AB43" s="477"/>
      <c r="AC43" s="477"/>
      <c r="AH43" s="407" t="str">
        <f t="shared" si="2"/>
        <v/>
      </c>
    </row>
    <row r="44" spans="22:34" hidden="1" x14ac:dyDescent="0.2">
      <c r="V44" s="477"/>
      <c r="W44" s="477"/>
      <c r="X44" s="477"/>
      <c r="Y44" s="477"/>
      <c r="Z44" s="477"/>
      <c r="AA44" s="477"/>
      <c r="AB44" s="477"/>
      <c r="AC44" s="477"/>
      <c r="AH44" s="407" t="str">
        <f t="shared" si="2"/>
        <v/>
      </c>
    </row>
    <row r="45" spans="22:34" hidden="1" x14ac:dyDescent="0.2">
      <c r="V45" s="477"/>
      <c r="W45" s="477"/>
      <c r="X45" s="477"/>
      <c r="Y45" s="477"/>
      <c r="Z45" s="477"/>
      <c r="AA45" s="477"/>
      <c r="AB45" s="477"/>
      <c r="AC45" s="477"/>
      <c r="AH45" s="407" t="str">
        <f t="shared" si="2"/>
        <v/>
      </c>
    </row>
    <row r="46" spans="22:34" hidden="1" x14ac:dyDescent="0.2">
      <c r="V46" s="477"/>
      <c r="W46" s="477"/>
      <c r="X46" s="477"/>
      <c r="Y46" s="477"/>
      <c r="Z46" s="477"/>
      <c r="AA46" s="477"/>
      <c r="AB46" s="477"/>
      <c r="AC46" s="477"/>
      <c r="AH46" s="407" t="str">
        <f t="shared" si="2"/>
        <v/>
      </c>
    </row>
    <row r="47" spans="22:34" hidden="1" x14ac:dyDescent="0.2">
      <c r="V47" s="477"/>
      <c r="W47" s="477"/>
      <c r="X47" s="477"/>
      <c r="Y47" s="477"/>
      <c r="Z47" s="477"/>
      <c r="AA47" s="477"/>
      <c r="AB47" s="477"/>
      <c r="AC47" s="477"/>
      <c r="AH47" s="407" t="str">
        <f t="shared" si="2"/>
        <v/>
      </c>
    </row>
    <row r="48" spans="22:34" hidden="1" x14ac:dyDescent="0.2">
      <c r="V48" s="477"/>
      <c r="W48" s="477"/>
      <c r="X48" s="477"/>
      <c r="Y48" s="477"/>
      <c r="Z48" s="477"/>
      <c r="AA48" s="477"/>
      <c r="AB48" s="477"/>
      <c r="AC48" s="477"/>
      <c r="AH48" s="407" t="str">
        <f t="shared" si="2"/>
        <v/>
      </c>
    </row>
    <row r="49" spans="1:34" hidden="1" x14ac:dyDescent="0.2">
      <c r="V49" s="477"/>
      <c r="W49" s="477"/>
      <c r="X49" s="477"/>
      <c r="Y49" s="477"/>
      <c r="Z49" s="477"/>
      <c r="AA49" s="477"/>
      <c r="AB49" s="477"/>
      <c r="AC49" s="477"/>
      <c r="AH49" s="407" t="str">
        <f t="shared" si="2"/>
        <v/>
      </c>
    </row>
    <row r="50" spans="1:34" hidden="1" x14ac:dyDescent="0.2">
      <c r="V50" s="477"/>
      <c r="W50" s="477"/>
      <c r="X50" s="477"/>
      <c r="Y50" s="477"/>
      <c r="Z50" s="477"/>
      <c r="AA50" s="477"/>
      <c r="AB50" s="477"/>
      <c r="AC50" s="477"/>
      <c r="AH50" s="407" t="str">
        <f t="shared" si="2"/>
        <v/>
      </c>
    </row>
    <row r="51" spans="1:34" hidden="1" x14ac:dyDescent="0.2">
      <c r="V51" s="477"/>
      <c r="W51" s="477"/>
      <c r="X51" s="477"/>
      <c r="Y51" s="477"/>
      <c r="Z51" s="477"/>
      <c r="AA51" s="477"/>
      <c r="AB51" s="477"/>
      <c r="AC51" s="477"/>
      <c r="AH51" s="407" t="str">
        <f t="shared" si="2"/>
        <v/>
      </c>
    </row>
    <row r="52" spans="1:34" hidden="1" x14ac:dyDescent="0.2">
      <c r="V52" s="477"/>
      <c r="W52" s="477"/>
      <c r="X52" s="477"/>
      <c r="Y52" s="477"/>
      <c r="Z52" s="477"/>
      <c r="AA52" s="477"/>
      <c r="AB52" s="477"/>
      <c r="AC52" s="477"/>
      <c r="AH52" s="407" t="str">
        <f t="shared" si="2"/>
        <v/>
      </c>
    </row>
    <row r="53" spans="1:34" hidden="1" x14ac:dyDescent="0.2">
      <c r="V53" s="477"/>
      <c r="W53" s="477"/>
      <c r="X53" s="477"/>
      <c r="Y53" s="477"/>
      <c r="Z53" s="477"/>
      <c r="AA53" s="477"/>
      <c r="AB53" s="477"/>
      <c r="AC53" s="477"/>
      <c r="AH53" s="407" t="str">
        <f t="shared" si="2"/>
        <v/>
      </c>
    </row>
    <row r="54" spans="1:34" hidden="1" x14ac:dyDescent="0.2">
      <c r="V54" s="477"/>
      <c r="W54" s="477"/>
      <c r="X54" s="477"/>
      <c r="Y54" s="477"/>
      <c r="Z54" s="477"/>
      <c r="AA54" s="477"/>
      <c r="AB54" s="477"/>
      <c r="AC54" s="477"/>
      <c r="AH54" s="407" t="str">
        <f t="shared" si="2"/>
        <v/>
      </c>
    </row>
    <row r="55" spans="1:34" hidden="1" x14ac:dyDescent="0.2">
      <c r="V55" s="477"/>
      <c r="W55" s="477"/>
      <c r="X55" s="477"/>
      <c r="Y55" s="477"/>
      <c r="Z55" s="477"/>
      <c r="AA55" s="477"/>
      <c r="AB55" s="477"/>
      <c r="AC55" s="477"/>
      <c r="AH55" s="407" t="str">
        <f t="shared" si="2"/>
        <v/>
      </c>
    </row>
    <row r="56" spans="1:34" hidden="1" x14ac:dyDescent="0.2">
      <c r="V56" s="477"/>
      <c r="W56" s="477"/>
      <c r="X56" s="477"/>
      <c r="Y56" s="477"/>
      <c r="Z56" s="477"/>
      <c r="AA56" s="477"/>
      <c r="AB56" s="477"/>
      <c r="AC56" s="477"/>
      <c r="AH56" s="407" t="str">
        <f t="shared" si="2"/>
        <v/>
      </c>
    </row>
    <row r="57" spans="1:34" hidden="1" x14ac:dyDescent="0.2">
      <c r="V57" s="477"/>
      <c r="W57" s="477"/>
      <c r="X57" s="477"/>
      <c r="Y57" s="477"/>
      <c r="Z57" s="477"/>
      <c r="AA57" s="477"/>
      <c r="AB57" s="477"/>
      <c r="AC57" s="477"/>
      <c r="AH57" s="407" t="str">
        <f t="shared" si="2"/>
        <v/>
      </c>
    </row>
    <row r="58" spans="1:34" hidden="1" x14ac:dyDescent="0.2">
      <c r="V58" s="477"/>
      <c r="W58" s="477"/>
      <c r="X58" s="477"/>
      <c r="Y58" s="477"/>
      <c r="Z58" s="477"/>
      <c r="AA58" s="477"/>
      <c r="AB58" s="477"/>
      <c r="AC58" s="477"/>
      <c r="AH58" s="407" t="str">
        <f t="shared" si="2"/>
        <v/>
      </c>
    </row>
    <row r="59" spans="1:34" hidden="1" x14ac:dyDescent="0.2">
      <c r="V59" s="477"/>
      <c r="W59" s="477"/>
      <c r="X59" s="477"/>
      <c r="Y59" s="477"/>
      <c r="Z59" s="477"/>
      <c r="AA59" s="477"/>
      <c r="AB59" s="477"/>
      <c r="AC59" s="477"/>
      <c r="AH59" s="407" t="str">
        <f t="shared" si="2"/>
        <v/>
      </c>
    </row>
    <row r="60" spans="1:34" hidden="1" x14ac:dyDescent="0.2">
      <c r="V60" s="477"/>
      <c r="W60" s="477"/>
      <c r="X60" s="477"/>
      <c r="Y60" s="477"/>
      <c r="Z60" s="477"/>
      <c r="AA60" s="477"/>
      <c r="AB60" s="477"/>
      <c r="AC60" s="477"/>
      <c r="AH60" s="407" t="str">
        <f t="shared" si="2"/>
        <v/>
      </c>
    </row>
    <row r="62" spans="1:34" x14ac:dyDescent="0.2">
      <c r="A62" s="79"/>
      <c r="B62" s="322" t="s">
        <v>171</v>
      </c>
      <c r="C62" s="283" t="s">
        <v>175</v>
      </c>
      <c r="D62" s="445"/>
      <c r="E62" s="79"/>
      <c r="F62" s="62"/>
      <c r="G62" s="79"/>
      <c r="H62" s="79"/>
      <c r="I62" s="79"/>
      <c r="J62" s="79"/>
      <c r="K62" s="62"/>
      <c r="L62" s="79"/>
      <c r="M62" s="62"/>
      <c r="N62" s="79"/>
      <c r="O62" s="299"/>
      <c r="P62" s="62"/>
      <c r="Q62" s="62"/>
      <c r="R62" s="62"/>
      <c r="S62" s="62"/>
      <c r="T62" s="62"/>
      <c r="U62" s="62"/>
    </row>
    <row r="63" spans="1:34" x14ac:dyDescent="0.2">
      <c r="A63" s="79"/>
      <c r="B63" s="322" t="s">
        <v>174</v>
      </c>
      <c r="C63" s="283" t="s">
        <v>191</v>
      </c>
      <c r="D63" s="79"/>
      <c r="E63" s="79"/>
      <c r="F63" s="62"/>
      <c r="G63" s="79"/>
      <c r="H63" s="79"/>
      <c r="I63" s="79"/>
      <c r="J63" s="79"/>
      <c r="K63" s="62"/>
      <c r="L63" s="79"/>
      <c r="M63" s="62"/>
      <c r="N63" s="79"/>
      <c r="O63" s="299"/>
      <c r="P63" s="62"/>
      <c r="Q63" s="62"/>
      <c r="R63" s="62"/>
      <c r="S63" s="62"/>
      <c r="T63" s="62"/>
      <c r="U63" s="62"/>
    </row>
    <row r="64" spans="1:34" x14ac:dyDescent="0.2">
      <c r="A64" s="79"/>
      <c r="B64" s="322" t="s">
        <v>177</v>
      </c>
      <c r="C64" s="283" t="s">
        <v>183</v>
      </c>
      <c r="D64" s="79"/>
      <c r="E64" s="79"/>
      <c r="F64" s="62"/>
      <c r="G64" s="79"/>
      <c r="H64" s="79"/>
      <c r="I64" s="79"/>
      <c r="J64" s="79"/>
      <c r="K64" s="62"/>
      <c r="L64" s="79"/>
      <c r="M64" s="62"/>
      <c r="N64" s="79"/>
      <c r="O64" s="299"/>
      <c r="P64" s="62"/>
      <c r="Q64" s="62"/>
      <c r="R64" s="62"/>
      <c r="S64" s="62"/>
      <c r="T64" s="62"/>
      <c r="U64" s="62"/>
    </row>
    <row r="65" spans="1:21" x14ac:dyDescent="0.2">
      <c r="A65" s="79"/>
      <c r="B65" s="79"/>
      <c r="C65" s="79"/>
      <c r="D65" s="79"/>
      <c r="E65" s="79"/>
      <c r="F65" s="79"/>
      <c r="G65" s="79"/>
      <c r="H65" s="79"/>
      <c r="I65" s="79"/>
      <c r="J65" s="79"/>
      <c r="K65" s="62"/>
      <c r="L65" s="79"/>
      <c r="M65" s="62"/>
      <c r="N65" s="79"/>
      <c r="O65" s="299"/>
      <c r="P65" s="62"/>
      <c r="Q65" s="62"/>
      <c r="R65" s="62"/>
      <c r="S65" s="62"/>
      <c r="T65" s="62"/>
      <c r="U65" s="62"/>
    </row>
    <row r="66" spans="1:21" x14ac:dyDescent="0.2">
      <c r="A66" s="79"/>
      <c r="B66" s="322" t="s">
        <v>171</v>
      </c>
      <c r="C66" s="283" t="s">
        <v>184</v>
      </c>
      <c r="D66" s="283" t="s">
        <v>183</v>
      </c>
      <c r="E66" s="79"/>
      <c r="F66" s="79"/>
      <c r="G66" s="79"/>
      <c r="H66" s="79"/>
      <c r="I66" s="79"/>
      <c r="J66" s="79"/>
      <c r="K66" s="62"/>
      <c r="L66" s="79"/>
      <c r="M66" s="62"/>
      <c r="N66" s="79"/>
      <c r="O66" s="299"/>
      <c r="P66" s="62"/>
      <c r="Q66" s="62"/>
      <c r="R66" s="62"/>
      <c r="S66" s="62"/>
      <c r="T66" s="62"/>
      <c r="U66" s="62"/>
    </row>
    <row r="67" spans="1:21" x14ac:dyDescent="0.2">
      <c r="A67" s="79"/>
      <c r="B67" s="322" t="s">
        <v>174</v>
      </c>
      <c r="C67" s="283" t="s">
        <v>175</v>
      </c>
      <c r="D67" s="283" t="s">
        <v>173</v>
      </c>
      <c r="E67" s="79"/>
      <c r="F67" s="79"/>
      <c r="G67" s="79"/>
      <c r="H67" s="79"/>
      <c r="I67" s="79"/>
      <c r="J67" s="79"/>
      <c r="K67" s="62"/>
      <c r="L67" s="79"/>
      <c r="M67" s="62"/>
      <c r="N67" s="79"/>
      <c r="O67" s="299"/>
      <c r="P67" s="62"/>
      <c r="Q67" s="62"/>
      <c r="R67" s="62"/>
      <c r="S67" s="62"/>
      <c r="T67" s="62"/>
      <c r="U67" s="62"/>
    </row>
    <row r="68" spans="1:21" x14ac:dyDescent="0.2">
      <c r="A68" s="79"/>
      <c r="B68" s="322" t="s">
        <v>177</v>
      </c>
      <c r="C68" s="283" t="s">
        <v>191</v>
      </c>
      <c r="D68" s="283" t="s">
        <v>179</v>
      </c>
      <c r="E68" s="79"/>
      <c r="F68" s="79"/>
      <c r="G68" s="79"/>
      <c r="H68" s="79"/>
      <c r="I68" s="79"/>
      <c r="J68" s="79"/>
      <c r="K68" s="62"/>
      <c r="L68" s="79"/>
      <c r="M68" s="62"/>
      <c r="N68" s="79"/>
      <c r="O68" s="299"/>
      <c r="P68" s="62"/>
      <c r="Q68" s="62"/>
      <c r="R68" s="62"/>
      <c r="S68" s="62"/>
      <c r="T68" s="62"/>
      <c r="U68" s="62"/>
    </row>
    <row r="69" spans="1:21" hidden="1" x14ac:dyDescent="0.2">
      <c r="A69" s="79"/>
      <c r="B69" s="330"/>
      <c r="C69" s="140"/>
      <c r="D69" s="140"/>
      <c r="E69" s="79"/>
      <c r="F69" s="79"/>
      <c r="G69" s="79"/>
      <c r="H69" s="79"/>
      <c r="I69" s="79"/>
      <c r="J69" s="79"/>
      <c r="K69" s="62"/>
      <c r="L69" s="79"/>
      <c r="M69" s="62"/>
      <c r="N69" s="79"/>
      <c r="O69" s="299"/>
      <c r="P69" s="62"/>
      <c r="Q69" s="62"/>
      <c r="R69" s="62"/>
      <c r="S69" s="62"/>
      <c r="T69" s="62"/>
      <c r="U69" s="62"/>
    </row>
    <row r="70" spans="1:21" hidden="1" x14ac:dyDescent="0.2">
      <c r="A70" s="79"/>
      <c r="B70" s="322" t="s">
        <v>171</v>
      </c>
      <c r="C70" s="283" t="s">
        <v>172</v>
      </c>
      <c r="D70" s="283" t="s">
        <v>173</v>
      </c>
      <c r="E70" s="79"/>
      <c r="F70" s="62"/>
      <c r="G70" s="62"/>
      <c r="H70" s="79"/>
      <c r="I70" s="79"/>
      <c r="J70" s="79"/>
      <c r="K70" s="62"/>
      <c r="L70" s="79"/>
      <c r="M70" s="62"/>
      <c r="N70" s="79"/>
      <c r="O70" s="299"/>
      <c r="P70" s="62"/>
      <c r="Q70" s="62"/>
      <c r="R70" s="62"/>
      <c r="S70" s="62"/>
      <c r="T70" s="62"/>
      <c r="U70" s="62"/>
    </row>
    <row r="71" spans="1:21" hidden="1" x14ac:dyDescent="0.2">
      <c r="A71" s="79"/>
      <c r="B71" s="322" t="s">
        <v>174</v>
      </c>
      <c r="C71" s="283" t="s">
        <v>184</v>
      </c>
      <c r="D71" s="283" t="s">
        <v>183</v>
      </c>
      <c r="E71" s="79"/>
      <c r="F71" s="62"/>
      <c r="G71" s="62"/>
      <c r="H71" s="62"/>
      <c r="I71" s="79"/>
      <c r="J71" s="79"/>
      <c r="K71" s="62"/>
      <c r="L71" s="79"/>
      <c r="M71" s="62"/>
      <c r="N71" s="79"/>
      <c r="O71" s="299"/>
      <c r="P71" s="62"/>
      <c r="Q71" s="62"/>
      <c r="R71" s="62"/>
      <c r="S71" s="62"/>
      <c r="T71" s="62"/>
      <c r="U71" s="62"/>
    </row>
    <row r="72" spans="1:21" hidden="1" x14ac:dyDescent="0.2">
      <c r="A72" s="79"/>
      <c r="B72" s="322" t="s">
        <v>177</v>
      </c>
      <c r="C72" s="283" t="s">
        <v>175</v>
      </c>
      <c r="D72" s="283" t="s">
        <v>176</v>
      </c>
      <c r="E72" s="79"/>
      <c r="F72" s="62"/>
      <c r="G72" s="62"/>
      <c r="H72" s="79"/>
      <c r="I72" s="79"/>
      <c r="J72" s="79"/>
      <c r="K72" s="62"/>
      <c r="L72" s="79"/>
      <c r="M72" s="62"/>
      <c r="N72" s="79"/>
      <c r="O72" s="299"/>
      <c r="P72" s="62"/>
      <c r="Q72" s="62"/>
      <c r="R72" s="62"/>
      <c r="S72" s="62"/>
      <c r="T72" s="62"/>
      <c r="U72" s="62"/>
    </row>
    <row r="73" spans="1:21" hidden="1" x14ac:dyDescent="0.2">
      <c r="A73" s="79"/>
      <c r="B73" s="322" t="s">
        <v>180</v>
      </c>
      <c r="C73" s="446" t="s">
        <v>191</v>
      </c>
      <c r="D73" s="283" t="s">
        <v>181</v>
      </c>
      <c r="E73" s="79"/>
      <c r="F73" s="62"/>
      <c r="G73" s="62"/>
      <c r="H73" s="79"/>
      <c r="I73" s="79"/>
      <c r="J73" s="79"/>
      <c r="K73" s="62"/>
      <c r="L73" s="79"/>
      <c r="M73" s="62"/>
      <c r="N73" s="79"/>
      <c r="O73" s="299"/>
      <c r="P73" s="62"/>
      <c r="Q73" s="62"/>
      <c r="R73" s="62"/>
      <c r="S73" s="62"/>
      <c r="T73" s="62"/>
      <c r="U73" s="62"/>
    </row>
    <row r="74" spans="1:21" hidden="1" x14ac:dyDescent="0.2">
      <c r="A74" s="79"/>
      <c r="B74" s="322" t="s">
        <v>182</v>
      </c>
      <c r="C74" s="283" t="s">
        <v>178</v>
      </c>
      <c r="D74" s="283" t="s">
        <v>179</v>
      </c>
      <c r="E74" s="79"/>
      <c r="F74" s="62"/>
      <c r="G74" s="62"/>
      <c r="H74" s="79"/>
      <c r="I74" s="79"/>
      <c r="J74" s="79"/>
      <c r="K74" s="62"/>
      <c r="L74" s="79"/>
      <c r="M74" s="62"/>
      <c r="N74" s="79"/>
      <c r="O74" s="299"/>
      <c r="P74" s="62"/>
      <c r="Q74" s="62"/>
      <c r="R74" s="62"/>
      <c r="S74" s="62"/>
      <c r="T74" s="62"/>
      <c r="U74" s="62"/>
    </row>
    <row r="75" spans="1:21" hidden="1" x14ac:dyDescent="0.2"/>
    <row r="76" spans="1:21" hidden="1" x14ac:dyDescent="0.2"/>
    <row r="77" spans="1:21" hidden="1" x14ac:dyDescent="0.2"/>
    <row r="78" spans="1:21" hidden="1" x14ac:dyDescent="0.2"/>
    <row r="79" spans="1:21" hidden="1" x14ac:dyDescent="0.2"/>
    <row r="80" spans="1:21"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spans="1:9" hidden="1" x14ac:dyDescent="0.2"/>
    <row r="98" spans="1:9" hidden="1" x14ac:dyDescent="0.2"/>
    <row r="100" spans="1:9" x14ac:dyDescent="0.2">
      <c r="A100" s="286" t="s">
        <v>192</v>
      </c>
      <c r="B100" s="287"/>
      <c r="C100" s="288"/>
      <c r="D100" s="288"/>
      <c r="E100" s="288"/>
      <c r="F100" s="285"/>
      <c r="G100" s="283"/>
      <c r="H100" s="269"/>
      <c r="I100" s="151"/>
    </row>
    <row r="101" spans="1:9" x14ac:dyDescent="0.2">
      <c r="A101" s="269"/>
      <c r="B101" s="269"/>
      <c r="C101" s="269"/>
      <c r="D101" s="269"/>
      <c r="E101" s="269"/>
      <c r="F101" s="269"/>
      <c r="G101" s="269"/>
      <c r="H101" s="269"/>
      <c r="I101" s="151"/>
    </row>
    <row r="102" spans="1:9" x14ac:dyDescent="0.2">
      <c r="A102" s="300" t="s">
        <v>193</v>
      </c>
      <c r="B102" s="289" t="str">
        <f>IFERROR(INDEX(B$1:B$100,MATCH(A102,I$1:I$100,0)),"")</f>
        <v>Kaspar Mänd, Urmas Randlaine</v>
      </c>
      <c r="C102" s="301">
        <v>6</v>
      </c>
      <c r="D102" s="269"/>
      <c r="E102" s="269"/>
      <c r="F102" s="269"/>
      <c r="G102" s="269"/>
      <c r="H102" s="269"/>
      <c r="I102" s="151"/>
    </row>
    <row r="103" spans="1:9" x14ac:dyDescent="0.2">
      <c r="A103" s="302"/>
      <c r="B103" s="449"/>
      <c r="C103" s="303" t="str">
        <f>IF(COUNT(C102,C104)=2,IF(C102&gt;C104,B102,B104),"")</f>
        <v>Matti Vinni, Vladimir Ogneštšikov</v>
      </c>
      <c r="D103" s="269"/>
      <c r="E103" s="301">
        <v>13</v>
      </c>
      <c r="F103" s="269"/>
      <c r="G103" s="269"/>
      <c r="H103" s="269"/>
      <c r="I103" s="269"/>
    </row>
    <row r="104" spans="1:9" x14ac:dyDescent="0.2">
      <c r="A104" s="302" t="s">
        <v>194</v>
      </c>
      <c r="B104" s="450" t="str">
        <f>IFERROR(INDEX(B$1:B$100,MATCH(A104,I$1:I$100,0)),"")</f>
        <v>Matti Vinni, Vladimir Ogneštšikov</v>
      </c>
      <c r="C104" s="304">
        <v>13</v>
      </c>
      <c r="D104" s="336"/>
      <c r="E104" s="269"/>
      <c r="F104" s="269"/>
      <c r="G104" s="269"/>
      <c r="H104" s="269"/>
      <c r="I104" s="269"/>
    </row>
    <row r="105" spans="1:9" x14ac:dyDescent="0.2">
      <c r="A105" s="302"/>
      <c r="B105" s="292"/>
      <c r="C105" s="269"/>
      <c r="D105" s="305"/>
      <c r="E105" s="303" t="str">
        <f>IF(COUNT(E103,E107)=2,IF(E103&gt;E107,C103,C107),"")</f>
        <v>Matti Vinni, Vladimir Ogneštšikov</v>
      </c>
      <c r="F105" s="269"/>
      <c r="G105" s="301">
        <v>13</v>
      </c>
      <c r="H105" s="269"/>
      <c r="I105" s="269"/>
    </row>
    <row r="106" spans="1:9" x14ac:dyDescent="0.2">
      <c r="A106" s="302" t="s">
        <v>195</v>
      </c>
      <c r="B106" s="289" t="str">
        <f>IFERROR(INDEX(B$1:B$100,MATCH(A106,I$1:I$100,0)),"")</f>
        <v>Aarne Välja, Janek Tarto</v>
      </c>
      <c r="C106" s="301">
        <v>5</v>
      </c>
      <c r="D106" s="305"/>
      <c r="E106" s="306"/>
      <c r="F106" s="336"/>
      <c r="G106" s="269"/>
      <c r="H106" s="269"/>
      <c r="I106" s="269"/>
    </row>
    <row r="107" spans="1:9" x14ac:dyDescent="0.2">
      <c r="A107" s="302"/>
      <c r="B107" s="449"/>
      <c r="C107" s="303" t="str">
        <f>IF(COUNT(C106,C108)=2,IF(C106&gt;C108,B106,B108),"")</f>
        <v>Kenneth Muusikus, Mait Metsla</v>
      </c>
      <c r="D107" s="451"/>
      <c r="E107" s="304">
        <v>1</v>
      </c>
      <c r="F107" s="305"/>
      <c r="G107" s="269"/>
      <c r="H107" s="269"/>
      <c r="I107" s="269"/>
    </row>
    <row r="108" spans="1:9" x14ac:dyDescent="0.2">
      <c r="A108" s="302" t="s">
        <v>196</v>
      </c>
      <c r="B108" s="450" t="str">
        <f>IFERROR(INDEX(B$1:B$100,MATCH(A108,I$1:I$100,0)),"")</f>
        <v>Kenneth Muusikus, Mait Metsla</v>
      </c>
      <c r="C108" s="304">
        <v>13</v>
      </c>
      <c r="D108" s="269"/>
      <c r="E108" s="287"/>
      <c r="F108" s="305"/>
      <c r="G108" s="269"/>
      <c r="H108" s="269"/>
      <c r="I108" s="269"/>
    </row>
    <row r="109" spans="1:9" ht="13.5" thickBot="1" x14ac:dyDescent="0.25">
      <c r="A109" s="268"/>
      <c r="B109" s="292"/>
      <c r="C109" s="269"/>
      <c r="D109" s="269"/>
      <c r="E109" s="287"/>
      <c r="F109" s="305"/>
      <c r="G109" s="269"/>
      <c r="H109" s="452" t="str">
        <f>IF(COUNT(G105,G113)=2,IF(G105&gt;G113,E105,E113),"")</f>
        <v>Matti Vinni, Vladimir Ogneštšikov</v>
      </c>
      <c r="I109" s="269"/>
    </row>
    <row r="110" spans="1:9" x14ac:dyDescent="0.2">
      <c r="A110" s="300" t="s">
        <v>197</v>
      </c>
      <c r="B110" s="289" t="str">
        <f>IFERROR(INDEX(B$1:B$100,MATCH(A110,I$1:I$100,0)),"")</f>
        <v>Klavdia Piik, Ülo Piik</v>
      </c>
      <c r="C110" s="301">
        <v>7</v>
      </c>
      <c r="D110" s="269"/>
      <c r="E110" s="269"/>
      <c r="F110" s="305"/>
      <c r="G110" s="307"/>
      <c r="H110" s="290" t="s">
        <v>185</v>
      </c>
      <c r="I110" s="453"/>
    </row>
    <row r="111" spans="1:9" x14ac:dyDescent="0.2">
      <c r="A111" s="302"/>
      <c r="B111" s="449"/>
      <c r="C111" s="303" t="str">
        <f>IF(COUNT(C110,C112)=2,IF(C110&gt;C112,B110,B112),"")</f>
        <v>Jaan Sepp, Oskar Sepp</v>
      </c>
      <c r="D111" s="269"/>
      <c r="E111" s="301">
        <v>13</v>
      </c>
      <c r="F111" s="305"/>
      <c r="G111" s="287"/>
      <c r="H111" s="269"/>
      <c r="I111" s="269"/>
    </row>
    <row r="112" spans="1:9" x14ac:dyDescent="0.2">
      <c r="A112" s="302" t="s">
        <v>198</v>
      </c>
      <c r="B112" s="450" t="str">
        <f>IFERROR(INDEX(B$1:B$100,MATCH(A112,I$1:I$100,0)),"")</f>
        <v>Jaan Sepp, Oskar Sepp</v>
      </c>
      <c r="C112" s="304">
        <v>13</v>
      </c>
      <c r="D112" s="336"/>
      <c r="E112" s="269"/>
      <c r="F112" s="305"/>
      <c r="G112" s="287"/>
      <c r="H112" s="269"/>
      <c r="I112" s="269"/>
    </row>
    <row r="113" spans="1:9" x14ac:dyDescent="0.2">
      <c r="A113" s="302"/>
      <c r="B113" s="292"/>
      <c r="C113" s="269"/>
      <c r="D113" s="305"/>
      <c r="E113" s="303" t="str">
        <f>IF(COUNT(E111,E115)=2,IF(E111&gt;E115,C111,C115),"")</f>
        <v>Jaan Sepp, Oskar Sepp</v>
      </c>
      <c r="F113" s="451"/>
      <c r="G113" s="304">
        <v>11</v>
      </c>
      <c r="H113" s="269"/>
      <c r="I113" s="269"/>
    </row>
    <row r="114" spans="1:9" ht="13.5" thickBot="1" x14ac:dyDescent="0.25">
      <c r="A114" s="302" t="s">
        <v>200</v>
      </c>
      <c r="B114" s="289" t="str">
        <f>IFERROR(INDEX(B$1:B$100,MATCH(A114,I$1:I$100,0)),"")</f>
        <v>Henri Mitt, Meelis Luud</v>
      </c>
      <c r="C114" s="301">
        <v>6</v>
      </c>
      <c r="D114" s="305"/>
      <c r="E114" s="306"/>
      <c r="F114" s="287"/>
      <c r="G114" s="287"/>
      <c r="H114" s="452" t="str">
        <f>IF(COUNT(G105,G113)=2,IF(G105&lt;G113,E105,E113),"")</f>
        <v>Jaan Sepp, Oskar Sepp</v>
      </c>
      <c r="I114" s="454"/>
    </row>
    <row r="115" spans="1:9" x14ac:dyDescent="0.2">
      <c r="A115" s="302"/>
      <c r="B115" s="449"/>
      <c r="C115" s="303" t="str">
        <f>IF(COUNT(C114,C116)=2,IF(C114&gt;C116,B114,B116),"")</f>
        <v>Andrei Grintšak, Boriss Klubov</v>
      </c>
      <c r="D115" s="451"/>
      <c r="E115" s="304">
        <v>8</v>
      </c>
      <c r="F115" s="269"/>
      <c r="G115" s="287"/>
      <c r="H115" s="290" t="s">
        <v>186</v>
      </c>
      <c r="I115" s="287"/>
    </row>
    <row r="116" spans="1:9" x14ac:dyDescent="0.2">
      <c r="A116" s="302" t="s">
        <v>199</v>
      </c>
      <c r="B116" s="450" t="str">
        <f>IFERROR(INDEX(B$1:B$100,MATCH(A116,I$1:I$100,0)),"")</f>
        <v>Andrei Grintšak, Boriss Klubov</v>
      </c>
      <c r="C116" s="304">
        <v>13</v>
      </c>
      <c r="D116" s="269"/>
      <c r="E116" s="287"/>
      <c r="F116" s="287"/>
      <c r="G116" s="287"/>
      <c r="H116" s="269"/>
      <c r="I116" s="269"/>
    </row>
    <row r="117" spans="1:9" x14ac:dyDescent="0.2">
      <c r="A117" s="268"/>
      <c r="B117" s="292"/>
      <c r="C117" s="269"/>
      <c r="D117" s="269"/>
      <c r="E117" s="284" t="str">
        <f>IF(COUNT(E103,E107)=2,IF(E103&lt;E107,C103,C107),"")</f>
        <v>Kenneth Muusikus, Mait Metsla</v>
      </c>
      <c r="F117" s="269"/>
      <c r="G117" s="301">
        <v>13</v>
      </c>
      <c r="H117" s="269"/>
      <c r="I117" s="269"/>
    </row>
    <row r="118" spans="1:9" ht="13.5" thickBot="1" x14ac:dyDescent="0.25">
      <c r="A118" s="269"/>
      <c r="B118" s="269"/>
      <c r="C118" s="269"/>
      <c r="D118" s="269"/>
      <c r="E118" s="455"/>
      <c r="F118" s="336"/>
      <c r="G118" s="454"/>
      <c r="H118" s="452" t="str">
        <f>IF(COUNT(G117,G119)=2,IF(G117&gt;G119,E117,E119),"")</f>
        <v>Kenneth Muusikus, Mait Metsla</v>
      </c>
      <c r="I118" s="454"/>
    </row>
    <row r="119" spans="1:9" x14ac:dyDescent="0.2">
      <c r="A119" s="269"/>
      <c r="B119" s="269"/>
      <c r="C119" s="269"/>
      <c r="D119" s="269"/>
      <c r="E119" s="456" t="str">
        <f>IF(COUNT(E111,E115)=2,IF(E111&lt;E115,C111,C115),"")</f>
        <v>Andrei Grintšak, Boriss Klubov</v>
      </c>
      <c r="F119" s="451"/>
      <c r="G119" s="304">
        <v>7</v>
      </c>
      <c r="H119" s="296" t="s">
        <v>187</v>
      </c>
      <c r="I119" s="287"/>
    </row>
    <row r="120" spans="1:9" x14ac:dyDescent="0.2">
      <c r="A120" s="269"/>
      <c r="B120" s="269"/>
      <c r="C120" s="269"/>
      <c r="D120" s="269"/>
      <c r="E120" s="269"/>
      <c r="F120" s="269"/>
      <c r="G120" s="269"/>
      <c r="H120" s="287"/>
      <c r="I120" s="287"/>
    </row>
    <row r="121" spans="1:9" ht="13.5" thickBot="1" x14ac:dyDescent="0.25">
      <c r="A121" s="269"/>
      <c r="B121" s="269"/>
      <c r="C121" s="269"/>
      <c r="D121" s="269"/>
      <c r="E121" s="287"/>
      <c r="F121" s="287"/>
      <c r="G121" s="269"/>
      <c r="H121" s="452" t="str">
        <f>IF(COUNT(G117,G119)=2,IF(G117&lt;G119,E117,E119),"")</f>
        <v>Andrei Grintšak, Boriss Klubov</v>
      </c>
      <c r="I121" s="454"/>
    </row>
    <row r="122" spans="1:9" x14ac:dyDescent="0.2">
      <c r="A122" s="269"/>
      <c r="B122" s="269"/>
      <c r="C122" s="269"/>
      <c r="D122" s="269"/>
      <c r="E122" s="269"/>
      <c r="F122" s="269"/>
      <c r="G122" s="269"/>
      <c r="H122" s="268" t="s">
        <v>188</v>
      </c>
      <c r="I122" s="269"/>
    </row>
    <row r="123" spans="1:9" x14ac:dyDescent="0.2">
      <c r="A123" s="269"/>
      <c r="B123" s="269"/>
      <c r="C123" s="456" t="str">
        <f>IF(COUNT(C102,C104)=2,IF(C102&lt;C104,B102,B104),"")</f>
        <v>Kaspar Mänd, Urmas Randlaine</v>
      </c>
      <c r="D123" s="269"/>
      <c r="E123" s="301">
        <v>13</v>
      </c>
      <c r="F123" s="301"/>
      <c r="G123" s="301"/>
      <c r="H123" s="269"/>
      <c r="I123" s="269"/>
    </row>
    <row r="124" spans="1:9" x14ac:dyDescent="0.2">
      <c r="A124" s="269"/>
      <c r="B124" s="269"/>
      <c r="C124" s="457"/>
      <c r="D124" s="337"/>
      <c r="E124" s="303" t="str">
        <f>IF(COUNT(E123,E125)=2,IF(E123&gt;E125,C123,C125),"")</f>
        <v>Kaspar Mänd, Urmas Randlaine</v>
      </c>
      <c r="F124" s="269"/>
      <c r="G124" s="301">
        <v>9</v>
      </c>
      <c r="H124" s="269"/>
      <c r="I124" s="269"/>
    </row>
    <row r="125" spans="1:9" x14ac:dyDescent="0.2">
      <c r="A125" s="269"/>
      <c r="B125" s="269"/>
      <c r="C125" s="456" t="str">
        <f>IF(COUNT(C106,C108)=2,IF(C106&lt;C108,B106,B108),"")</f>
        <v>Aarne Välja, Janek Tarto</v>
      </c>
      <c r="D125" s="458"/>
      <c r="E125" s="304">
        <v>8</v>
      </c>
      <c r="F125" s="337"/>
      <c r="G125" s="301"/>
      <c r="H125" s="269"/>
      <c r="I125" s="269"/>
    </row>
    <row r="126" spans="1:9" ht="13.5" thickBot="1" x14ac:dyDescent="0.25">
      <c r="A126" s="269"/>
      <c r="B126" s="269"/>
      <c r="C126" s="301"/>
      <c r="D126" s="301"/>
      <c r="E126" s="269"/>
      <c r="F126" s="309"/>
      <c r="G126" s="301"/>
      <c r="H126" s="452" t="str">
        <f>IF(COUNT(G124,G128)=2,IF(G124&gt;G128,E124,E128),"")</f>
        <v>Klavdia Piik, Ülo Piik</v>
      </c>
      <c r="I126" s="269"/>
    </row>
    <row r="127" spans="1:9" x14ac:dyDescent="0.2">
      <c r="A127" s="269"/>
      <c r="B127" s="269"/>
      <c r="C127" s="456" t="str">
        <f>IF(COUNT(C110,C112)=2,IF(C110&lt;C112,B110,B112),"")</f>
        <v>Klavdia Piik, Ülo Piik</v>
      </c>
      <c r="D127" s="301"/>
      <c r="E127" s="301">
        <v>13</v>
      </c>
      <c r="F127" s="309"/>
      <c r="G127" s="310"/>
      <c r="H127" s="290" t="s">
        <v>189</v>
      </c>
      <c r="I127" s="453"/>
    </row>
    <row r="128" spans="1:9" x14ac:dyDescent="0.2">
      <c r="A128" s="269"/>
      <c r="B128" s="269"/>
      <c r="C128" s="457"/>
      <c r="D128" s="337"/>
      <c r="E128" s="303" t="str">
        <f>IF(COUNT(E127,E129)=2,IF(E127&gt;E129,C127,C129),"")</f>
        <v>Klavdia Piik, Ülo Piik</v>
      </c>
      <c r="F128" s="451"/>
      <c r="G128" s="304">
        <v>13</v>
      </c>
      <c r="H128" s="269"/>
      <c r="I128" s="269"/>
    </row>
    <row r="129" spans="1:9" ht="13.5" thickBot="1" x14ac:dyDescent="0.25">
      <c r="A129" s="269"/>
      <c r="B129" s="269"/>
      <c r="C129" s="456" t="str">
        <f>IF(COUNT(C114,C116)=2,IF(C114&lt;C116,B114,B116),"")</f>
        <v>Henri Mitt, Meelis Luud</v>
      </c>
      <c r="D129" s="458"/>
      <c r="E129" s="304">
        <v>4</v>
      </c>
      <c r="F129" s="301"/>
      <c r="G129" s="308"/>
      <c r="H129" s="452" t="str">
        <f>IF(COUNT(G124,G128)=2,IF(G124&lt;G128,E124,E128),"")</f>
        <v>Kaspar Mänd, Urmas Randlaine</v>
      </c>
      <c r="I129" s="454"/>
    </row>
    <row r="130" spans="1:9" x14ac:dyDescent="0.2">
      <c r="A130" s="269"/>
      <c r="B130" s="269"/>
      <c r="C130" s="301"/>
      <c r="D130" s="301"/>
      <c r="E130" s="301"/>
      <c r="F130" s="301"/>
      <c r="G130" s="308"/>
      <c r="H130" s="290" t="s">
        <v>190</v>
      </c>
      <c r="I130" s="287"/>
    </row>
    <row r="131" spans="1:9" x14ac:dyDescent="0.2">
      <c r="A131" s="269"/>
      <c r="B131" s="269"/>
      <c r="C131" s="301"/>
      <c r="D131" s="308"/>
      <c r="E131" s="284" t="str">
        <f>IF(COUNT(E123,E125)=2,IF(E123&lt;E125,C123,C125),"")</f>
        <v>Aarne Välja, Janek Tarto</v>
      </c>
      <c r="F131" s="269"/>
      <c r="G131" s="527">
        <v>1</v>
      </c>
      <c r="H131" s="287"/>
      <c r="I131" s="287"/>
    </row>
    <row r="132" spans="1:9" ht="13.5" thickBot="1" x14ac:dyDescent="0.25">
      <c r="A132" s="269"/>
      <c r="B132" s="269"/>
      <c r="C132" s="301"/>
      <c r="D132" s="308"/>
      <c r="E132" s="455"/>
      <c r="F132" s="336"/>
      <c r="G132" s="454"/>
      <c r="H132" s="452" t="str">
        <f>IF(COUNT(G131,G133)=2,IF(G131&gt;G133,E131,E133),"")</f>
        <v>Henri Mitt, Meelis Luud</v>
      </c>
      <c r="I132" s="454"/>
    </row>
    <row r="133" spans="1:9" x14ac:dyDescent="0.2">
      <c r="A133" s="269"/>
      <c r="B133" s="269"/>
      <c r="C133" s="301"/>
      <c r="D133" s="308"/>
      <c r="E133" s="456" t="str">
        <f>IF(COUNT(E127,E129)=2,IF(E127&lt;E129,C127,C129),"")</f>
        <v>Henri Mitt, Meelis Luud</v>
      </c>
      <c r="F133" s="451"/>
      <c r="G133" s="304">
        <v>13</v>
      </c>
      <c r="H133" s="290" t="s">
        <v>201</v>
      </c>
      <c r="I133" s="287"/>
    </row>
    <row r="134" spans="1:9" x14ac:dyDescent="0.2">
      <c r="A134" s="269"/>
      <c r="B134" s="269"/>
      <c r="C134" s="269"/>
      <c r="D134" s="287"/>
      <c r="E134" s="269"/>
      <c r="F134" s="269"/>
      <c r="G134" s="269"/>
      <c r="H134" s="287"/>
      <c r="I134" s="287"/>
    </row>
    <row r="135" spans="1:9" ht="13.5" thickBot="1" x14ac:dyDescent="0.25">
      <c r="A135" s="269"/>
      <c r="B135" s="269"/>
      <c r="C135" s="269"/>
      <c r="D135" s="269"/>
      <c r="E135" s="287"/>
      <c r="F135" s="287"/>
      <c r="G135" s="269"/>
      <c r="H135" s="454" t="str">
        <f>IF(COUNT(G131,G133)=2,IF(G131&lt;G133,E131,E133),"")</f>
        <v>Aarne Välja, Janek Tarto</v>
      </c>
      <c r="I135" s="454"/>
    </row>
    <row r="136" spans="1:9" x14ac:dyDescent="0.2">
      <c r="A136" s="80"/>
      <c r="B136" s="140"/>
      <c r="C136" s="285"/>
      <c r="D136" s="285"/>
      <c r="E136" s="285"/>
      <c r="F136" s="285"/>
      <c r="G136" s="323"/>
      <c r="H136" s="290" t="s">
        <v>202</v>
      </c>
      <c r="I136" s="79"/>
    </row>
    <row r="138" spans="1:9" x14ac:dyDescent="0.2">
      <c r="A138" s="286" t="s">
        <v>215</v>
      </c>
      <c r="B138" s="287"/>
      <c r="C138" s="288"/>
      <c r="D138" s="288"/>
      <c r="E138" s="288"/>
      <c r="F138" s="285"/>
      <c r="G138" s="283"/>
      <c r="H138" s="269"/>
      <c r="I138" s="151"/>
    </row>
    <row r="139" spans="1:9" x14ac:dyDescent="0.2">
      <c r="A139" s="269"/>
      <c r="B139" s="269"/>
      <c r="C139" s="269"/>
      <c r="D139" s="269"/>
      <c r="E139" s="269"/>
      <c r="F139" s="269"/>
      <c r="G139" s="269"/>
      <c r="H139" s="269"/>
      <c r="I139" s="151"/>
    </row>
    <row r="140" spans="1:9" x14ac:dyDescent="0.2">
      <c r="A140" s="300" t="s">
        <v>203</v>
      </c>
      <c r="B140" s="289" t="str">
        <f>IFERROR(INDEX(B$1:B$100,MATCH(A140,I$1:I$100,0)),"")</f>
        <v>Illar Tõnurist, Johannes Neiland, Vladimir Mihhailov</v>
      </c>
      <c r="C140" s="301">
        <v>6</v>
      </c>
      <c r="D140" s="269"/>
      <c r="E140" s="269"/>
      <c r="F140" s="269"/>
      <c r="G140" s="269"/>
      <c r="H140" s="269"/>
      <c r="I140" s="151"/>
    </row>
    <row r="141" spans="1:9" x14ac:dyDescent="0.2">
      <c r="A141" s="302"/>
      <c r="B141" s="449"/>
      <c r="C141" s="995" t="str">
        <f>IF(COUNT(C140,C142)=2,IF(C140&gt;C142,B140,B142),"")</f>
        <v>Andres Veski, Svetlana Veski</v>
      </c>
      <c r="D141" s="269"/>
      <c r="E141" s="301">
        <v>8</v>
      </c>
      <c r="F141" s="269"/>
      <c r="G141" s="269"/>
      <c r="H141" s="269"/>
      <c r="I141" s="269"/>
    </row>
    <row r="142" spans="1:9" x14ac:dyDescent="0.2">
      <c r="A142" s="302" t="s">
        <v>266</v>
      </c>
      <c r="B142" s="450" t="str">
        <f>IFERROR(INDEX(B$1:B$100,MATCH(A142,I$1:I$100,0)),"")</f>
        <v>Andres Veski, Svetlana Veski</v>
      </c>
      <c r="C142" s="304">
        <v>13</v>
      </c>
      <c r="D142" s="336"/>
      <c r="E142" s="269"/>
      <c r="F142" s="269"/>
      <c r="G142" s="269"/>
      <c r="H142" s="269"/>
      <c r="I142" s="269"/>
    </row>
    <row r="143" spans="1:9" x14ac:dyDescent="0.2">
      <c r="A143" s="302"/>
      <c r="B143" s="292"/>
      <c r="C143" s="269"/>
      <c r="D143" s="305"/>
      <c r="E143" s="303" t="str">
        <f>IF(COUNT(E141,E145)=2,IF(E141&gt;E145,C141,C145),"")</f>
        <v>Karla Purgats, Lemmit Toomra</v>
      </c>
      <c r="F143" s="269"/>
      <c r="G143" s="301">
        <v>2</v>
      </c>
      <c r="H143" s="269"/>
      <c r="I143" s="269"/>
    </row>
    <row r="144" spans="1:9" x14ac:dyDescent="0.2">
      <c r="A144" s="302" t="s">
        <v>204</v>
      </c>
      <c r="B144" s="289" t="str">
        <f>IFERROR(INDEX(B$1:B$100,MATCH(A144,I$1:I$100,0)),"")</f>
        <v>Karla Purgats, Lemmit Toomra</v>
      </c>
      <c r="C144" s="301">
        <v>13</v>
      </c>
      <c r="D144" s="305"/>
      <c r="E144" s="306"/>
      <c r="F144" s="336"/>
      <c r="G144" s="269"/>
      <c r="H144" s="269"/>
      <c r="I144" s="269"/>
    </row>
    <row r="145" spans="1:9" x14ac:dyDescent="0.2">
      <c r="A145" s="302"/>
      <c r="B145" s="449"/>
      <c r="C145" s="995" t="str">
        <f>IF(COUNT(C144,C146)=2,IF(C144&gt;C146,B144,B146),"")</f>
        <v>Karla Purgats, Lemmit Toomra</v>
      </c>
      <c r="D145" s="451"/>
      <c r="E145" s="304">
        <v>13</v>
      </c>
      <c r="F145" s="305"/>
      <c r="G145" s="269"/>
      <c r="H145" s="269"/>
      <c r="I145" s="269"/>
    </row>
    <row r="146" spans="1:9" x14ac:dyDescent="0.2">
      <c r="A146" s="302" t="s">
        <v>267</v>
      </c>
      <c r="B146" s="450" t="str">
        <f>IFERROR(INDEX(B$1:B$100,MATCH(A146,I$1:I$100,0)),"")</f>
        <v>Enn Tokman, Tarmo Bombe</v>
      </c>
      <c r="C146" s="528">
        <v>1</v>
      </c>
      <c r="D146" s="269"/>
      <c r="E146" s="287"/>
      <c r="F146" s="305"/>
      <c r="G146" s="269"/>
      <c r="H146" s="269"/>
      <c r="I146" s="269"/>
    </row>
    <row r="147" spans="1:9" ht="13.5" thickBot="1" x14ac:dyDescent="0.25">
      <c r="A147" s="268"/>
      <c r="B147" s="292"/>
      <c r="C147" s="269"/>
      <c r="D147" s="269"/>
      <c r="E147" s="287"/>
      <c r="F147" s="305"/>
      <c r="G147" s="269"/>
      <c r="H147" s="452" t="str">
        <f>IF(COUNT(G143,G151)=2,IF(G143&gt;G151,E143,E151),"")</f>
        <v>Oleg Rõndenkov, Peep Peenema</v>
      </c>
      <c r="I147" s="269"/>
    </row>
    <row r="148" spans="1:9" x14ac:dyDescent="0.2">
      <c r="A148" s="300" t="s">
        <v>206</v>
      </c>
      <c r="B148" s="289" t="str">
        <f>IFERROR(INDEX(B$1:B$100,MATCH(A148,I$1:I$100,0)),"")</f>
        <v>Jaan Saar, Liidia Põllu</v>
      </c>
      <c r="C148" s="301">
        <v>13</v>
      </c>
      <c r="D148" s="269"/>
      <c r="E148" s="269"/>
      <c r="F148" s="305"/>
      <c r="G148" s="307"/>
      <c r="H148" s="290" t="s">
        <v>207</v>
      </c>
      <c r="I148" s="453"/>
    </row>
    <row r="149" spans="1:9" x14ac:dyDescent="0.2">
      <c r="A149" s="302"/>
      <c r="B149" s="449"/>
      <c r="C149" s="995" t="str">
        <f>IF(COUNT(C148,C150)=2,IF(C148&gt;C150,B148,B150),"")</f>
        <v>Jaan Saar, Liidia Põllu</v>
      </c>
      <c r="D149" s="269"/>
      <c r="E149" s="301">
        <v>10</v>
      </c>
      <c r="F149" s="305"/>
      <c r="G149" s="287"/>
      <c r="H149" s="269"/>
      <c r="I149" s="269"/>
    </row>
    <row r="150" spans="1:9" x14ac:dyDescent="0.2">
      <c r="A150" s="302" t="s">
        <v>268</v>
      </c>
      <c r="B150" s="450" t="str">
        <f>IFERROR(INDEX(B$1:B$100,MATCH(A150,I$1:I$100,0)),"")</f>
        <v>Elmo Lageda, Tõnu Piik</v>
      </c>
      <c r="C150" s="304">
        <v>10</v>
      </c>
      <c r="D150" s="336"/>
      <c r="E150" s="269"/>
      <c r="F150" s="305"/>
      <c r="G150" s="287"/>
      <c r="H150" s="269"/>
      <c r="I150" s="269"/>
    </row>
    <row r="151" spans="1:9" x14ac:dyDescent="0.2">
      <c r="A151" s="302"/>
      <c r="B151" s="292"/>
      <c r="C151" s="269"/>
      <c r="D151" s="305"/>
      <c r="E151" s="303" t="str">
        <f>IF(COUNT(E149,E153)=2,IF(E149&gt;E153,C149,C153),"")</f>
        <v>Oleg Rõndenkov, Peep Peenema</v>
      </c>
      <c r="F151" s="451"/>
      <c r="G151" s="304">
        <v>13</v>
      </c>
      <c r="H151" s="269"/>
      <c r="I151" s="269"/>
    </row>
    <row r="152" spans="1:9" ht="13.5" thickBot="1" x14ac:dyDescent="0.25">
      <c r="A152" s="302" t="s">
        <v>208</v>
      </c>
      <c r="B152" s="289" t="str">
        <f>IFERROR(INDEX(B$1:B$100,MATCH(A152,I$1:I$100,0)),"")</f>
        <v>Oleg Rõndenkov, Peep Peenema</v>
      </c>
      <c r="C152" s="301">
        <v>13</v>
      </c>
      <c r="D152" s="305"/>
      <c r="E152" s="306"/>
      <c r="F152" s="287"/>
      <c r="G152" s="287"/>
      <c r="H152" s="452" t="str">
        <f>IF(COUNT(G143,G151)=2,IF(G143&lt;G151,E143,E151),"")</f>
        <v>Karla Purgats, Lemmit Toomra</v>
      </c>
      <c r="I152" s="454"/>
    </row>
    <row r="153" spans="1:9" x14ac:dyDescent="0.2">
      <c r="A153" s="302"/>
      <c r="B153" s="449"/>
      <c r="C153" s="995" t="str">
        <f>IF(COUNT(C152,C154)=2,IF(C152&gt;C154,B152,B154),"")</f>
        <v>Oleg Rõndenkov, Peep Peenema</v>
      </c>
      <c r="D153" s="451"/>
      <c r="E153" s="304">
        <v>13</v>
      </c>
      <c r="F153" s="269"/>
      <c r="G153" s="287"/>
      <c r="H153" s="290" t="s">
        <v>209</v>
      </c>
      <c r="I153" s="287"/>
    </row>
    <row r="154" spans="1:9" x14ac:dyDescent="0.2">
      <c r="A154" s="302" t="s">
        <v>269</v>
      </c>
      <c r="B154" s="450" t="s">
        <v>205</v>
      </c>
      <c r="C154" s="304">
        <f>IF(B154="-",0,IF(B152="-",13,""))</f>
        <v>0</v>
      </c>
      <c r="D154" s="269"/>
      <c r="E154" s="287"/>
      <c r="F154" s="287"/>
      <c r="G154" s="287"/>
      <c r="H154" s="269"/>
      <c r="I154" s="269"/>
    </row>
    <row r="155" spans="1:9" x14ac:dyDescent="0.2">
      <c r="A155" s="268"/>
      <c r="B155" s="292"/>
      <c r="C155" s="269"/>
      <c r="D155" s="269"/>
      <c r="E155" s="284" t="str">
        <f>IF(COUNT(E141,E145)=2,IF(E141&lt;E145,C141,C145),"")</f>
        <v>Andres Veski, Svetlana Veski</v>
      </c>
      <c r="F155" s="269"/>
      <c r="G155" s="527">
        <v>2</v>
      </c>
      <c r="H155" s="269"/>
      <c r="I155" s="269"/>
    </row>
    <row r="156" spans="1:9" ht="13.5" thickBot="1" x14ac:dyDescent="0.25">
      <c r="A156" s="269"/>
      <c r="B156" s="269"/>
      <c r="C156" s="269"/>
      <c r="D156" s="269"/>
      <c r="E156" s="455"/>
      <c r="F156" s="336"/>
      <c r="G156" s="454"/>
      <c r="H156" s="452" t="str">
        <f>IF(COUNT(G155,G157)=2,IF(G155&gt;G157,E155,E157),"")</f>
        <v>Jaan Saar, Liidia Põllu</v>
      </c>
      <c r="I156" s="454"/>
    </row>
    <row r="157" spans="1:9" x14ac:dyDescent="0.2">
      <c r="A157" s="269"/>
      <c r="B157" s="269"/>
      <c r="C157" s="269"/>
      <c r="D157" s="269"/>
      <c r="E157" s="456" t="str">
        <f>IF(COUNT(E149,E153)=2,IF(E149&lt;E153,C149,C153),"")</f>
        <v>Jaan Saar, Liidia Põllu</v>
      </c>
      <c r="F157" s="451"/>
      <c r="G157" s="304">
        <v>13</v>
      </c>
      <c r="H157" s="296" t="s">
        <v>210</v>
      </c>
      <c r="I157" s="287"/>
    </row>
    <row r="158" spans="1:9" x14ac:dyDescent="0.2">
      <c r="A158" s="269"/>
      <c r="B158" s="269"/>
      <c r="C158" s="269"/>
      <c r="D158" s="269"/>
      <c r="E158" s="269"/>
      <c r="F158" s="269"/>
      <c r="G158" s="269"/>
      <c r="H158" s="287"/>
      <c r="I158" s="287"/>
    </row>
    <row r="159" spans="1:9" ht="13.5" thickBot="1" x14ac:dyDescent="0.25">
      <c r="A159" s="269"/>
      <c r="B159" s="269"/>
      <c r="C159" s="269"/>
      <c r="D159" s="269"/>
      <c r="E159" s="287"/>
      <c r="F159" s="287"/>
      <c r="G159" s="269"/>
      <c r="H159" s="452" t="str">
        <f>IF(COUNT(G155,G157)=2,IF(G155&lt;G157,E155,E157),"")</f>
        <v>Andres Veski, Svetlana Veski</v>
      </c>
      <c r="I159" s="454"/>
    </row>
    <row r="160" spans="1:9" x14ac:dyDescent="0.2">
      <c r="A160" s="269"/>
      <c r="B160" s="269"/>
      <c r="C160" s="269"/>
      <c r="D160" s="269"/>
      <c r="E160" s="269"/>
      <c r="F160" s="269"/>
      <c r="G160" s="269"/>
      <c r="H160" s="268" t="s">
        <v>211</v>
      </c>
      <c r="I160" s="269"/>
    </row>
    <row r="161" spans="1:9" x14ac:dyDescent="0.2">
      <c r="A161" s="269"/>
      <c r="B161" s="269"/>
      <c r="C161" s="456" t="str">
        <f>IF(COUNT(C140,C142)=2,IF(C140&lt;C142,B140,B142),"")</f>
        <v>Illar Tõnurist, Johannes Neiland, Vladimir Mihhailov</v>
      </c>
      <c r="D161" s="269"/>
      <c r="E161" s="301">
        <v>2</v>
      </c>
      <c r="F161" s="301"/>
      <c r="G161" s="301"/>
      <c r="H161" s="269"/>
      <c r="I161" s="269"/>
    </row>
    <row r="162" spans="1:9" x14ac:dyDescent="0.2">
      <c r="A162" s="269"/>
      <c r="B162" s="269"/>
      <c r="C162" s="457"/>
      <c r="D162" s="337"/>
      <c r="E162" s="303" t="str">
        <f>IF(COUNT(E161,E163)=2,IF(E161&gt;E163,C161,C163),"")</f>
        <v>Enn Tokman, Tarmo Bombe</v>
      </c>
      <c r="F162" s="269"/>
      <c r="G162" s="301">
        <v>10</v>
      </c>
      <c r="H162" s="269"/>
      <c r="I162" s="269"/>
    </row>
    <row r="163" spans="1:9" x14ac:dyDescent="0.2">
      <c r="A163" s="269"/>
      <c r="B163" s="269"/>
      <c r="C163" s="456" t="str">
        <f>IF(COUNT(C144,C146)=2,IF(C144&lt;C146,B144,B146),"")</f>
        <v>Enn Tokman, Tarmo Bombe</v>
      </c>
      <c r="D163" s="458"/>
      <c r="E163" s="304">
        <v>13</v>
      </c>
      <c r="F163" s="337"/>
      <c r="G163" s="301"/>
      <c r="H163" s="269"/>
      <c r="I163" s="269"/>
    </row>
    <row r="164" spans="1:9" ht="13.5" thickBot="1" x14ac:dyDescent="0.25">
      <c r="A164" s="269"/>
      <c r="B164" s="269"/>
      <c r="C164" s="301"/>
      <c r="D164" s="301"/>
      <c r="E164" s="269"/>
      <c r="F164" s="309"/>
      <c r="G164" s="301"/>
      <c r="H164" s="452" t="str">
        <f>IF(COUNT(G162,G166)=2,IF(G162&gt;G166,E162,E166),"")</f>
        <v>Elmo Lageda, Tõnu Piik</v>
      </c>
      <c r="I164" s="269"/>
    </row>
    <row r="165" spans="1:9" x14ac:dyDescent="0.2">
      <c r="A165" s="269"/>
      <c r="B165" s="269"/>
      <c r="C165" s="456" t="str">
        <f>IF(COUNT(C148,C150)=2,IF(C148&lt;C150,B148,B150),"")</f>
        <v>Elmo Lageda, Tõnu Piik</v>
      </c>
      <c r="D165" s="301"/>
      <c r="E165" s="301">
        <v>13</v>
      </c>
      <c r="F165" s="309"/>
      <c r="G165" s="310"/>
      <c r="H165" s="290" t="s">
        <v>212</v>
      </c>
      <c r="I165" s="453"/>
    </row>
    <row r="166" spans="1:9" x14ac:dyDescent="0.2">
      <c r="A166" s="269"/>
      <c r="B166" s="269"/>
      <c r="C166" s="457"/>
      <c r="D166" s="337"/>
      <c r="E166" s="303" t="str">
        <f>IF(COUNT(E165,E167)=2,IF(E165&gt;E167,C165,C167),"")</f>
        <v>Elmo Lageda, Tõnu Piik</v>
      </c>
      <c r="F166" s="451"/>
      <c r="G166" s="304">
        <v>13</v>
      </c>
      <c r="H166" s="269"/>
      <c r="I166" s="269"/>
    </row>
    <row r="167" spans="1:9" ht="13.5" thickBot="1" x14ac:dyDescent="0.25">
      <c r="A167" s="269"/>
      <c r="B167" s="269"/>
      <c r="C167" s="456" t="str">
        <f>IF(COUNT(C152,C154)=2,IF(C152&lt;C154,B152,B154),"")</f>
        <v>-</v>
      </c>
      <c r="D167" s="458"/>
      <c r="E167" s="304">
        <f>IF(C167="-",0,IF(C165="-",13,""))</f>
        <v>0</v>
      </c>
      <c r="F167" s="301"/>
      <c r="G167" s="308"/>
      <c r="H167" s="452" t="str">
        <f>IF(COUNT(G162,G166)=2,IF(G162&lt;G166,E162,E166),"")</f>
        <v>Enn Tokman, Tarmo Bombe</v>
      </c>
      <c r="I167" s="454"/>
    </row>
    <row r="168" spans="1:9" x14ac:dyDescent="0.2">
      <c r="A168" s="269"/>
      <c r="B168" s="269"/>
      <c r="C168" s="301"/>
      <c r="D168" s="301"/>
      <c r="E168" s="301"/>
      <c r="F168" s="301"/>
      <c r="G168" s="308"/>
      <c r="H168" s="290" t="s">
        <v>213</v>
      </c>
      <c r="I168" s="287"/>
    </row>
    <row r="169" spans="1:9" x14ac:dyDescent="0.2">
      <c r="A169" s="269"/>
      <c r="B169" s="269"/>
      <c r="C169" s="301"/>
      <c r="D169" s="308"/>
      <c r="E169" s="284" t="str">
        <f>IF(COUNT(E161,E163)=2,IF(E161&lt;E163,C161,C163),"")</f>
        <v>Illar Tõnurist, Johannes Neiland, Vladimir Mihhailov</v>
      </c>
      <c r="F169" s="269"/>
      <c r="G169" s="301">
        <f>IF(E169="-",0,IF(E171="-",13,""))</f>
        <v>13</v>
      </c>
      <c r="H169" s="287"/>
      <c r="I169" s="287"/>
    </row>
    <row r="170" spans="1:9" ht="13.5" thickBot="1" x14ac:dyDescent="0.25">
      <c r="A170" s="269"/>
      <c r="B170" s="269"/>
      <c r="C170" s="301"/>
      <c r="D170" s="308"/>
      <c r="E170" s="455"/>
      <c r="F170" s="336"/>
      <c r="G170" s="454"/>
      <c r="H170" s="452" t="str">
        <f>IF(COUNT(G169,G171)=2,IF(G169&gt;G171,E169,E171),"")</f>
        <v>Illar Tõnurist, Johannes Neiland, Vladimir Mihhailov</v>
      </c>
      <c r="I170" s="454"/>
    </row>
    <row r="171" spans="1:9" x14ac:dyDescent="0.2">
      <c r="A171" s="269"/>
      <c r="B171" s="269"/>
      <c r="C171" s="301"/>
      <c r="D171" s="308"/>
      <c r="E171" s="456" t="str">
        <f>IF(COUNT(E165,E167)=2,IF(E165&lt;E167,C165,C167),"")</f>
        <v>-</v>
      </c>
      <c r="F171" s="451"/>
      <c r="G171" s="304">
        <f>IF(E171="-",0,IF(E169="-",13,""))</f>
        <v>0</v>
      </c>
      <c r="H171" s="290" t="s">
        <v>216</v>
      </c>
      <c r="I171" s="287"/>
    </row>
    <row r="172" spans="1:9" x14ac:dyDescent="0.2">
      <c r="A172" s="269"/>
      <c r="B172" s="269"/>
      <c r="C172" s="269"/>
      <c r="D172" s="287"/>
      <c r="E172" s="269"/>
      <c r="F172" s="269"/>
      <c r="G172" s="269"/>
      <c r="H172" s="287"/>
      <c r="I172" s="287"/>
    </row>
    <row r="173" spans="1:9" ht="13.5" thickBot="1" x14ac:dyDescent="0.25">
      <c r="A173" s="269"/>
      <c r="B173" s="269"/>
      <c r="C173" s="269"/>
      <c r="D173" s="269"/>
      <c r="E173" s="287"/>
      <c r="F173" s="287"/>
      <c r="G173" s="269"/>
      <c r="H173" s="454" t="str">
        <f>IF(COUNT(G169,G171)=2,IF(G169&lt;G171,E169,E171),"")</f>
        <v>-</v>
      </c>
      <c r="I173" s="454"/>
    </row>
    <row r="174" spans="1:9" x14ac:dyDescent="0.2">
      <c r="A174" s="80"/>
      <c r="B174" s="140"/>
      <c r="C174" s="285"/>
      <c r="D174" s="285"/>
      <c r="E174" s="285"/>
      <c r="F174" s="285"/>
      <c r="G174" s="323"/>
      <c r="H174" s="290" t="s">
        <v>217</v>
      </c>
      <c r="I174" s="79"/>
    </row>
    <row r="175" spans="1:9" hidden="1" x14ac:dyDescent="0.2"/>
    <row r="176" spans="1:9"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3" hidden="1" x14ac:dyDescent="0.2"/>
    <row r="290" spans="1:3" hidden="1" x14ac:dyDescent="0.2"/>
    <row r="291" spans="1:3" hidden="1" x14ac:dyDescent="0.2"/>
    <row r="292" spans="1:3" hidden="1" x14ac:dyDescent="0.2"/>
    <row r="293" spans="1:3" hidden="1" x14ac:dyDescent="0.2"/>
    <row r="294" spans="1:3" hidden="1" x14ac:dyDescent="0.2"/>
    <row r="295" spans="1:3" hidden="1" x14ac:dyDescent="0.2"/>
    <row r="296" spans="1:3" hidden="1" x14ac:dyDescent="0.2"/>
    <row r="297" spans="1:3" hidden="1" x14ac:dyDescent="0.2"/>
    <row r="299" spans="1:3" x14ac:dyDescent="0.2">
      <c r="A299" s="271"/>
      <c r="B299" s="271"/>
      <c r="C299" s="401" t="s">
        <v>248</v>
      </c>
    </row>
    <row r="300" spans="1:3" x14ac:dyDescent="0.2">
      <c r="A300" s="530">
        <v>1</v>
      </c>
      <c r="B300" s="529" t="str">
        <f t="shared" ref="B300:B305" si="9">IFERROR(INDEX(H$100:H$300,MATCH(A300&amp;". koht",H$101:H$301,0)),"")</f>
        <v>Matti Vinni, Vladimir Ogneštšikov</v>
      </c>
      <c r="C300" s="499">
        <f t="shared" ref="C300:C314" si="10">IF(21-A300&gt;0,21-A300,1)</f>
        <v>20</v>
      </c>
    </row>
    <row r="301" spans="1:3" x14ac:dyDescent="0.2">
      <c r="A301" s="530">
        <v>2</v>
      </c>
      <c r="B301" s="529" t="str">
        <f t="shared" si="9"/>
        <v>Jaan Sepp, Oskar Sepp</v>
      </c>
      <c r="C301" s="499">
        <f t="shared" si="10"/>
        <v>19</v>
      </c>
    </row>
    <row r="302" spans="1:3" x14ac:dyDescent="0.2">
      <c r="A302" s="530">
        <v>3</v>
      </c>
      <c r="B302" s="529" t="str">
        <f t="shared" si="9"/>
        <v>Kenneth Muusikus, Mait Metsla</v>
      </c>
      <c r="C302" s="499">
        <f t="shared" si="10"/>
        <v>18</v>
      </c>
    </row>
    <row r="303" spans="1:3" x14ac:dyDescent="0.2">
      <c r="A303" s="530">
        <v>4</v>
      </c>
      <c r="B303" s="529" t="str">
        <f t="shared" si="9"/>
        <v>Andrei Grintšak, Boriss Klubov</v>
      </c>
      <c r="C303" s="499">
        <f t="shared" si="10"/>
        <v>17</v>
      </c>
    </row>
    <row r="304" spans="1:3" x14ac:dyDescent="0.2">
      <c r="A304" s="530">
        <v>5</v>
      </c>
      <c r="B304" s="529" t="str">
        <f t="shared" si="9"/>
        <v>Klavdia Piik, Ülo Piik</v>
      </c>
      <c r="C304" s="499">
        <f t="shared" si="10"/>
        <v>16</v>
      </c>
    </row>
    <row r="305" spans="1:3" x14ac:dyDescent="0.2">
      <c r="A305" s="530">
        <v>6</v>
      </c>
      <c r="B305" s="529" t="str">
        <f t="shared" si="9"/>
        <v>Kaspar Mänd, Urmas Randlaine</v>
      </c>
      <c r="C305" s="499">
        <f t="shared" si="10"/>
        <v>15</v>
      </c>
    </row>
    <row r="306" spans="1:3" x14ac:dyDescent="0.2">
      <c r="A306" s="530">
        <v>7</v>
      </c>
      <c r="B306" s="529" t="str">
        <f t="shared" ref="B306:B314" si="11">IFERROR(INDEX(H$100:H$300,MATCH(A306&amp;". koht",H$101:H$301,0)),"")</f>
        <v>Henri Mitt, Meelis Luud</v>
      </c>
      <c r="C306" s="499">
        <f t="shared" si="10"/>
        <v>14</v>
      </c>
    </row>
    <row r="307" spans="1:3" x14ac:dyDescent="0.2">
      <c r="A307" s="530">
        <v>8</v>
      </c>
      <c r="B307" s="529" t="str">
        <f t="shared" si="11"/>
        <v>Aarne Välja, Janek Tarto</v>
      </c>
      <c r="C307" s="499">
        <f t="shared" si="10"/>
        <v>13</v>
      </c>
    </row>
    <row r="308" spans="1:3" x14ac:dyDescent="0.2">
      <c r="A308" s="530">
        <v>9</v>
      </c>
      <c r="B308" s="529" t="str">
        <f t="shared" si="11"/>
        <v>Oleg Rõndenkov, Peep Peenema</v>
      </c>
      <c r="C308" s="499">
        <f t="shared" si="10"/>
        <v>12</v>
      </c>
    </row>
    <row r="309" spans="1:3" x14ac:dyDescent="0.2">
      <c r="A309" s="530">
        <v>10</v>
      </c>
      <c r="B309" s="529" t="str">
        <f t="shared" si="11"/>
        <v>Karla Purgats, Lemmit Toomra</v>
      </c>
      <c r="C309" s="499">
        <f t="shared" si="10"/>
        <v>11</v>
      </c>
    </row>
    <row r="310" spans="1:3" x14ac:dyDescent="0.2">
      <c r="A310" s="530">
        <v>11</v>
      </c>
      <c r="B310" s="529" t="str">
        <f t="shared" si="11"/>
        <v>Jaan Saar, Liidia Põllu</v>
      </c>
      <c r="C310" s="499">
        <f t="shared" si="10"/>
        <v>10</v>
      </c>
    </row>
    <row r="311" spans="1:3" x14ac:dyDescent="0.2">
      <c r="A311" s="530">
        <v>12</v>
      </c>
      <c r="B311" s="529" t="str">
        <f t="shared" si="11"/>
        <v>Andres Veski, Svetlana Veski</v>
      </c>
      <c r="C311" s="499">
        <f t="shared" si="10"/>
        <v>9</v>
      </c>
    </row>
    <row r="312" spans="1:3" x14ac:dyDescent="0.2">
      <c r="A312" s="530">
        <v>13</v>
      </c>
      <c r="B312" s="529" t="str">
        <f t="shared" si="11"/>
        <v>Elmo Lageda, Tõnu Piik</v>
      </c>
      <c r="C312" s="499">
        <f t="shared" si="10"/>
        <v>8</v>
      </c>
    </row>
    <row r="313" spans="1:3" x14ac:dyDescent="0.2">
      <c r="A313" s="530">
        <v>14</v>
      </c>
      <c r="B313" s="529" t="str">
        <f t="shared" si="11"/>
        <v>Enn Tokman, Tarmo Bombe</v>
      </c>
      <c r="C313" s="499">
        <f t="shared" si="10"/>
        <v>7</v>
      </c>
    </row>
    <row r="314" spans="1:3" x14ac:dyDescent="0.2">
      <c r="A314" s="530">
        <v>15</v>
      </c>
      <c r="B314" s="529" t="str">
        <f t="shared" si="11"/>
        <v>Illar Tõnurist, Johannes Neiland, Vladimir Mihhailov</v>
      </c>
      <c r="C314" s="499">
        <f t="shared" si="10"/>
        <v>6</v>
      </c>
    </row>
    <row r="315" spans="1:3" x14ac:dyDescent="0.2">
      <c r="B315" s="62"/>
    </row>
  </sheetData>
  <conditionalFormatting sqref="D7 C8">
    <cfRule type="aboveAverage" dxfId="4807" priority="502"/>
  </conditionalFormatting>
  <conditionalFormatting sqref="E7 C9">
    <cfRule type="aboveAverage" dxfId="4806" priority="501"/>
  </conditionalFormatting>
  <conditionalFormatting sqref="F7 C10">
    <cfRule type="aboveAverage" dxfId="4805" priority="500"/>
  </conditionalFormatting>
  <conditionalFormatting sqref="E8 D9">
    <cfRule type="aboveAverage" dxfId="4804" priority="499"/>
  </conditionalFormatting>
  <conditionalFormatting sqref="G7 C11">
    <cfRule type="aboveAverage" dxfId="4803" priority="498"/>
  </conditionalFormatting>
  <conditionalFormatting sqref="F8 D10">
    <cfRule type="aboveAverage" dxfId="4802" priority="497"/>
  </conditionalFormatting>
  <conditionalFormatting sqref="G8 D11">
    <cfRule type="aboveAverage" dxfId="4801" priority="496"/>
  </conditionalFormatting>
  <conditionalFormatting sqref="F9 E10">
    <cfRule type="aboveAverage" dxfId="4800" priority="495"/>
  </conditionalFormatting>
  <conditionalFormatting sqref="G9 E11">
    <cfRule type="aboveAverage" dxfId="4799" priority="494"/>
  </conditionalFormatting>
  <conditionalFormatting sqref="F11 G10">
    <cfRule type="aboveAverage" dxfId="4798" priority="493"/>
  </conditionalFormatting>
  <conditionalFormatting sqref="D14 C15">
    <cfRule type="aboveAverage" dxfId="4797" priority="492"/>
  </conditionalFormatting>
  <conditionalFormatting sqref="E14 C16">
    <cfRule type="aboveAverage" dxfId="4796" priority="491"/>
  </conditionalFormatting>
  <conditionalFormatting sqref="F14 C17">
    <cfRule type="aboveAverage" dxfId="4795" priority="490"/>
  </conditionalFormatting>
  <conditionalFormatting sqref="E15 D16">
    <cfRule type="aboveAverage" dxfId="4794" priority="489"/>
  </conditionalFormatting>
  <conditionalFormatting sqref="G14 C18">
    <cfRule type="aboveAverage" dxfId="4793" priority="488"/>
  </conditionalFormatting>
  <conditionalFormatting sqref="F15 D17">
    <cfRule type="aboveAverage" dxfId="4792" priority="487"/>
  </conditionalFormatting>
  <conditionalFormatting sqref="G15 D18">
    <cfRule type="aboveAverage" dxfId="4791" priority="486"/>
  </conditionalFormatting>
  <conditionalFormatting sqref="F16 E17">
    <cfRule type="aboveAverage" dxfId="4790" priority="485"/>
  </conditionalFormatting>
  <conditionalFormatting sqref="G16 E18">
    <cfRule type="aboveAverage" dxfId="4789" priority="484"/>
  </conditionalFormatting>
  <conditionalFormatting sqref="F18 G17">
    <cfRule type="aboveAverage" dxfId="4788" priority="483"/>
  </conditionalFormatting>
  <conditionalFormatting sqref="D21 C22">
    <cfRule type="aboveAverage" dxfId="4787" priority="482"/>
  </conditionalFormatting>
  <conditionalFormatting sqref="E21 C23">
    <cfRule type="aboveAverage" dxfId="4786" priority="481"/>
  </conditionalFormatting>
  <conditionalFormatting sqref="F21 C24">
    <cfRule type="aboveAverage" dxfId="4785" priority="480"/>
  </conditionalFormatting>
  <conditionalFormatting sqref="E22 D23">
    <cfRule type="aboveAverage" dxfId="4784" priority="479"/>
  </conditionalFormatting>
  <conditionalFormatting sqref="G21 C25">
    <cfRule type="aboveAverage" dxfId="4783" priority="478"/>
  </conditionalFormatting>
  <conditionalFormatting sqref="F22 D24">
    <cfRule type="aboveAverage" dxfId="4782" priority="477"/>
  </conditionalFormatting>
  <conditionalFormatting sqref="G22 D25">
    <cfRule type="aboveAverage" dxfId="4781" priority="476"/>
  </conditionalFormatting>
  <conditionalFormatting sqref="F23 E24">
    <cfRule type="aboveAverage" dxfId="4780" priority="475"/>
  </conditionalFormatting>
  <conditionalFormatting sqref="G23 E25">
    <cfRule type="aboveAverage" dxfId="4779" priority="474"/>
  </conditionalFormatting>
  <conditionalFormatting sqref="F25 G24">
    <cfRule type="aboveAverage" dxfId="4778" priority="473"/>
  </conditionalFormatting>
  <conditionalFormatting sqref="D28 C29">
    <cfRule type="aboveAverage" dxfId="4777" priority="472"/>
  </conditionalFormatting>
  <conditionalFormatting sqref="E28 C30">
    <cfRule type="aboveAverage" dxfId="4776" priority="471"/>
  </conditionalFormatting>
  <conditionalFormatting sqref="F28 C31">
    <cfRule type="aboveAverage" dxfId="4775" priority="470"/>
  </conditionalFormatting>
  <conditionalFormatting sqref="E29 D30">
    <cfRule type="aboveAverage" dxfId="4774" priority="469"/>
  </conditionalFormatting>
  <conditionalFormatting sqref="G28 C32">
    <cfRule type="aboveAverage" dxfId="4773" priority="468"/>
  </conditionalFormatting>
  <conditionalFormatting sqref="F29 D31">
    <cfRule type="aboveAverage" dxfId="4772" priority="467"/>
  </conditionalFormatting>
  <conditionalFormatting sqref="G29 D32">
    <cfRule type="aboveAverage" dxfId="4771" priority="466"/>
  </conditionalFormatting>
  <conditionalFormatting sqref="F30 E31">
    <cfRule type="aboveAverage" dxfId="4770" priority="465"/>
  </conditionalFormatting>
  <conditionalFormatting sqref="G30 E32">
    <cfRule type="aboveAverage" dxfId="4769" priority="464"/>
  </conditionalFormatting>
  <conditionalFormatting sqref="F32 G31">
    <cfRule type="aboveAverage" dxfId="4768" priority="463"/>
  </conditionalFormatting>
  <conditionalFormatting sqref="H14:H18">
    <cfRule type="expression" dxfId="4767" priority="353">
      <formula>AND(Q14=4,IF(COUNTIF(Q$14:Q$18,"=4")&gt;=2,TRUE))</formula>
    </cfRule>
    <cfRule type="expression" dxfId="4766" priority="503">
      <formula>AND(Q14=3,IF(COUNTIF(Q$14:Q$18,"=3")&gt;=2,TRUE))</formula>
    </cfRule>
    <cfRule type="expression" dxfId="4765" priority="504">
      <formula>AND(Q14=2,IF(COUNTIF(Q$14:Q$18,"=2")&gt;=2,TRUE))</formula>
    </cfRule>
    <cfRule type="expression" dxfId="4764" priority="505">
      <formula>AND(Q14=1,IF(COUNTIF(Q$14:Q$18,"=1")&gt;=2,TRUE))</formula>
    </cfRule>
  </conditionalFormatting>
  <conditionalFormatting sqref="B7:B32">
    <cfRule type="duplicateValues" dxfId="4763" priority="408"/>
  </conditionalFormatting>
  <conditionalFormatting sqref="L7:L11">
    <cfRule type="expression" dxfId="4762" priority="391">
      <formula>K7=0</formula>
    </cfRule>
    <cfRule type="expression" dxfId="4761" priority="400">
      <formula>IF(COUNTIF(J$7:J$11,"=2")=2,TRUE)</formula>
    </cfRule>
    <cfRule type="expression" dxfId="4760" priority="401">
      <formula>IF(COUNTIF(J$7:J$11,"=1")=2,TRUE)</formula>
    </cfRule>
    <cfRule type="expression" dxfId="4759" priority="402">
      <formula>AND(IF(COUNTIF(Q$7:Q$11,"=1")=2,TRUE),IF(COUNTIF(Q$7:Q$11,"=2")=2,TRUE))</formula>
    </cfRule>
    <cfRule type="expression" dxfId="4758" priority="403">
      <formula>AND(Q7=4,IF(COUNTIF(Q$7:Q$11,"=4")=1,TRUE))</formula>
    </cfRule>
    <cfRule type="expression" dxfId="4757" priority="404">
      <formula>AND(Q7=3,IF(COUNTIF(Q$7:Q$11,"=3")=1,TRUE))</formula>
    </cfRule>
    <cfRule type="expression" dxfId="4756" priority="405">
      <formula>AND(Q7=2,IF(COUNTIF(Q$7:Q$11,"=2")=1,TRUE))</formula>
    </cfRule>
    <cfRule type="expression" dxfId="4755" priority="406">
      <formula>AND(Q7=1,IF(COUNTIF(Q$7:Q$11,"=1")=1,TRUE))</formula>
    </cfRule>
    <cfRule type="expression" dxfId="4754" priority="407">
      <formula>OR(Q7=0,Q7=5)</formula>
    </cfRule>
  </conditionalFormatting>
  <conditionalFormatting sqref="O7:O11">
    <cfRule type="expression" dxfId="4753" priority="399">
      <formula>OR(AND(J7=1,K7=1,L7=0,M7=1),AND(J7=2,K7=2,L7=0,M7=2))</formula>
    </cfRule>
  </conditionalFormatting>
  <conditionalFormatting sqref="M7:M11">
    <cfRule type="expression" dxfId="4752" priority="392">
      <formula>AND(L7&gt;0,IF(COUNTIF(L$7:L$11,L7)&gt;1,TRUE,FALSE))</formula>
    </cfRule>
    <cfRule type="expression" dxfId="4751" priority="393">
      <formula>AND(IF(COUNTIF(R$7:R$11,"=1")=2,TRUE),IF(COUNTIF(R$7:R$11,"=2")=2,TRUE))</formula>
    </cfRule>
    <cfRule type="expression" dxfId="4750" priority="394">
      <formula>AND(R7=4,IF(COUNTIF(R$7:R$11,"=4")=1,TRUE))</formula>
    </cfRule>
    <cfRule type="expression" dxfId="4749" priority="395">
      <formula>AND(R7=3,IF(COUNTIF(R$7:R$11,"=3")=1,TRUE))</formula>
    </cfRule>
    <cfRule type="expression" dxfId="4748" priority="396">
      <formula>AND(R7=2,IF(COUNTIF(R$7:R$11,"=2")=1,TRUE))</formula>
    </cfRule>
    <cfRule type="expression" dxfId="4747" priority="397">
      <formula>AND(R7=1,IF(COUNTIF(R$7:R$11,"=1")=1,TRUE))</formula>
    </cfRule>
    <cfRule type="expression" dxfId="4746" priority="398">
      <formula>OR(R7=0,R7=5)</formula>
    </cfRule>
  </conditionalFormatting>
  <conditionalFormatting sqref="J7:J11">
    <cfRule type="expression" dxfId="4745" priority="387">
      <formula>AND(Q7=4,IF(COUNTIF(Q$7:Q$11,"=4")&gt;=2,TRUE))</formula>
    </cfRule>
    <cfRule type="expression" dxfId="4744" priority="388">
      <formula>AND(Q7=3,IF(COUNTIF(Q$7:Q$11,"=3")&gt;=2,TRUE))</formula>
    </cfRule>
    <cfRule type="expression" dxfId="4743" priority="389">
      <formula>AND(Q7=2,IF(COUNTIF(Q$7:Q$11,"=2")&gt;=2,TRUE))</formula>
    </cfRule>
    <cfRule type="expression" dxfId="4742" priority="390">
      <formula>AND(Q7=1,IF(COUNTIF(Q$7:Q$11,"=1")&gt;=2,TRUE))</formula>
    </cfRule>
  </conditionalFormatting>
  <conditionalFormatting sqref="H7:H11">
    <cfRule type="expression" dxfId="4741" priority="354">
      <formula>AND(Q7=4,IF(COUNTIF(Q$7:Q$11,"=4")&gt;=2,TRUE))</formula>
    </cfRule>
    <cfRule type="expression" dxfId="4740" priority="506">
      <formula>AND(Q7=3,IF(COUNTIF(Q$7:Q$11,"=3")&gt;=2,TRUE))</formula>
    </cfRule>
    <cfRule type="expression" dxfId="4739" priority="507">
      <formula>AND(Q7=2,IF(COUNTIF(Q$7:Q$11,"=2")&gt;=2,TRUE))</formula>
    </cfRule>
    <cfRule type="expression" dxfId="4738" priority="508">
      <formula>AND(Q7=1,IF(COUNTIF(Q$7:Q$11,"=1")&gt;=2,TRUE))</formula>
    </cfRule>
  </conditionalFormatting>
  <conditionalFormatting sqref="K7:K11">
    <cfRule type="expression" dxfId="4737" priority="509">
      <formula>AND(J7&gt;0,IF(COUNTIF(J$7:J$11,"=1")=2,TRUE),IF(COUNTIF(J$7:J$11,"=2")=2,TRUE))</formula>
    </cfRule>
    <cfRule type="expression" dxfId="4736" priority="510">
      <formula>IF(COUNTIF(L$7:L$11,"=2")=2,TRUE)</formula>
    </cfRule>
    <cfRule type="expression" dxfId="4735" priority="511">
      <formula>IF(COUNTIF(L$7:L$11,"=1")=2,TRUE)</formula>
    </cfRule>
    <cfRule type="expression" dxfId="4734" priority="512">
      <formula>AND(IF(COUNTIF(R$7:R$11,"=1")=2,TRUE),IF(COUNTIF(S$7:S$11,"=2")=2,TRUE))</formula>
    </cfRule>
    <cfRule type="expression" dxfId="4733" priority="513">
      <formula>AND(R7=4,IF(COUNTIF(R$7:R$11,"=4")=1,TRUE))</formula>
    </cfRule>
    <cfRule type="expression" dxfId="4732" priority="514">
      <formula>AND(R7=3,IF(COUNTIF(R$7:R$11,"=3")=1,TRUE))</formula>
    </cfRule>
    <cfRule type="expression" dxfId="4731" priority="515">
      <formula>AND(R7=2,IF(COUNTIF(R$7:R$11,"=2")=1,TRUE))</formula>
    </cfRule>
    <cfRule type="expression" dxfId="4730" priority="516">
      <formula>AND(R7=1,IF(COUNTIF(R$7:R$11,"=1")=1,TRUE))</formula>
    </cfRule>
    <cfRule type="expression" dxfId="4729" priority="517">
      <formula>OR(R7=0,R7=5)</formula>
    </cfRule>
  </conditionalFormatting>
  <conditionalFormatting sqref="L14:L18">
    <cfRule type="expression" dxfId="4728" priority="359">
      <formula>K14=0</formula>
    </cfRule>
    <cfRule type="expression" dxfId="4727" priority="368">
      <formula>IF(COUNTIF(J$14:J$18,"=2")=2,TRUE)</formula>
    </cfRule>
    <cfRule type="expression" dxfId="4726" priority="369">
      <formula>IF(COUNTIF(J$14:J$18,"=1")=2,TRUE)</formula>
    </cfRule>
    <cfRule type="expression" dxfId="4725" priority="370">
      <formula>AND(IF(COUNTIF(Q$14:Q$18,"=1")=2,TRUE),IF(COUNTIF(Q$14:Q$18,"=2")=2,TRUE))</formula>
    </cfRule>
    <cfRule type="expression" dxfId="4724" priority="371">
      <formula>AND(Q14=4,IF(COUNTIF(Q$14:Q$18,"=4")=1,TRUE))</formula>
    </cfRule>
    <cfRule type="expression" dxfId="4723" priority="372">
      <formula>AND(Q14=3,IF(COUNTIF(Q$14:Q$18,"=3")=1,TRUE))</formula>
    </cfRule>
    <cfRule type="expression" dxfId="4722" priority="373">
      <formula>AND(Q14=2,IF(COUNTIF(Q$14:Q$18,"=2")=1,TRUE))</formula>
    </cfRule>
    <cfRule type="expression" dxfId="4721" priority="374">
      <formula>AND(Q14=1,IF(COUNTIF(Q$14:Q$18,"=1")=1,TRUE))</formula>
    </cfRule>
    <cfRule type="expression" dxfId="4720" priority="375">
      <formula>OR(Q14=0,Q14=5)</formula>
    </cfRule>
  </conditionalFormatting>
  <conditionalFormatting sqref="O14:O18">
    <cfRule type="expression" dxfId="4719" priority="367">
      <formula>OR(AND(J14=1,K14=1,L14=0,M14=1),AND(J14=2,K14=2,L14=0,M14=2))</formula>
    </cfRule>
  </conditionalFormatting>
  <conditionalFormatting sqref="M14:M18">
    <cfRule type="expression" dxfId="4718" priority="360">
      <formula>AND(L14&gt;0,IF(COUNTIF(L$14:L$18,L14)&gt;1,TRUE,FALSE))</formula>
    </cfRule>
    <cfRule type="expression" dxfId="4717" priority="361">
      <formula>AND(IF(COUNTIF(R$14:R$18,"=1")=2,TRUE),IF(COUNTIF(R$14:R$18,"=2")=2,TRUE))</formula>
    </cfRule>
    <cfRule type="expression" dxfId="4716" priority="362">
      <formula>AND(R14=4,IF(COUNTIF(R$14:R$18,"=4")=1,TRUE))</formula>
    </cfRule>
    <cfRule type="expression" dxfId="4715" priority="363">
      <formula>AND(R14=3,IF(COUNTIF(R$14:R$18,"=3")=1,TRUE))</formula>
    </cfRule>
    <cfRule type="expression" dxfId="4714" priority="364">
      <formula>AND(R14=2,IF(COUNTIF(R$14:R$18,"=2")=1,TRUE))</formula>
    </cfRule>
    <cfRule type="expression" dxfId="4713" priority="365">
      <formula>AND(R14=1,IF(COUNTIF(R$14:R$18,"=1")=1,TRUE))</formula>
    </cfRule>
    <cfRule type="expression" dxfId="4712" priority="366">
      <formula>OR(R14=0,R14=5)</formula>
    </cfRule>
  </conditionalFormatting>
  <conditionalFormatting sqref="J14:J18">
    <cfRule type="expression" dxfId="4711" priority="355">
      <formula>AND(Q14=4,IF(COUNTIF(Q$14:Q$18,"=4")&gt;=2,TRUE))</formula>
    </cfRule>
    <cfRule type="expression" dxfId="4710" priority="356">
      <formula>AND(Q14=3,IF(COUNTIF(Q$14:Q$18,"=3")&gt;=2,TRUE))</formula>
    </cfRule>
    <cfRule type="expression" dxfId="4709" priority="357">
      <formula>AND(Q14=2,IF(COUNTIF(Q$14:Q$18,"=2")&gt;=2,TRUE))</formula>
    </cfRule>
    <cfRule type="expression" dxfId="4708" priority="358">
      <formula>AND(Q14=1,IF(COUNTIF(Q$14:Q$18,"=1")&gt;=2,TRUE))</formula>
    </cfRule>
  </conditionalFormatting>
  <conditionalFormatting sqref="K14:K18">
    <cfRule type="expression" dxfId="4707" priority="378">
      <formula>AND(J14&gt;0,IF(COUNTIF(J$14:J$18,"=1")=2,TRUE),IF(COUNTIF(J$14:J$18,"=2")=2,TRUE))</formula>
    </cfRule>
    <cfRule type="expression" dxfId="4706" priority="379">
      <formula>IF(COUNTIF(L$14:L$18,"=2")=2,TRUE)</formula>
    </cfRule>
    <cfRule type="expression" dxfId="4705" priority="380">
      <formula>IF(COUNTIF(L$14:L$18,"=1")=2,TRUE)</formula>
    </cfRule>
    <cfRule type="expression" dxfId="4704" priority="381">
      <formula>AND(IF(COUNTIF(R$14:R$18,"=1")=2,TRUE),IF(COUNTIF(S$14:S$18,"=2")=2,TRUE))</formula>
    </cfRule>
    <cfRule type="expression" dxfId="4703" priority="382">
      <formula>AND(R14=4,IF(COUNTIF(R$14:R$18,"=4")=1,TRUE))</formula>
    </cfRule>
    <cfRule type="expression" dxfId="4702" priority="383">
      <formula>AND(R14=3,IF(COUNTIF(R$14:R$18,"=3")=1,TRUE))</formula>
    </cfRule>
    <cfRule type="expression" dxfId="4701" priority="384">
      <formula>AND(R14=2,IF(COUNTIF(R$14:R$18,"=2")=1,TRUE))</formula>
    </cfRule>
    <cfRule type="expression" dxfId="4700" priority="385">
      <formula>AND(R14=1,IF(COUNTIF(R$14:R$18,"=1")=1,TRUE))</formula>
    </cfRule>
    <cfRule type="expression" dxfId="4699" priority="386">
      <formula>OR(R14=0,R14=5)</formula>
    </cfRule>
  </conditionalFormatting>
  <conditionalFormatting sqref="L21:L25">
    <cfRule type="expression" dxfId="4698" priority="327">
      <formula>K21=0</formula>
    </cfRule>
    <cfRule type="expression" dxfId="4697" priority="336">
      <formula>IF(COUNTIF(J$21:J$25,"=2")=2,TRUE)</formula>
    </cfRule>
    <cfRule type="expression" dxfId="4696" priority="337">
      <formula>IF(COUNTIF(J$21:J$25,"=1")=2,TRUE)</formula>
    </cfRule>
    <cfRule type="expression" dxfId="4695" priority="338">
      <formula>AND(IF(COUNTIF(Q$21:Q$25,"=1")=2,TRUE),IF(COUNTIF(Q$21:Q$25,"=2")=2,TRUE))</formula>
    </cfRule>
    <cfRule type="expression" dxfId="4694" priority="339">
      <formula>AND(Q21=4,IF(COUNTIF(Q$21:Q$25,"=4")=1,TRUE))</formula>
    </cfRule>
    <cfRule type="expression" dxfId="4693" priority="340">
      <formula>AND(Q21=3,IF(COUNTIF(Q$21:Q$25,"=3")=1,TRUE))</formula>
    </cfRule>
    <cfRule type="expression" dxfId="4692" priority="341">
      <formula>AND(Q21=2,IF(COUNTIF(Q$21:Q$25,"=2")=1,TRUE))</formula>
    </cfRule>
    <cfRule type="expression" dxfId="4691" priority="342">
      <formula>AND(Q21=1,IF(COUNTIF(Q$21:Q$25,"=1")=1,TRUE))</formula>
    </cfRule>
    <cfRule type="expression" dxfId="4690" priority="343">
      <formula>OR(Q21=0,Q21=5)</formula>
    </cfRule>
  </conditionalFormatting>
  <conditionalFormatting sqref="O21:O25">
    <cfRule type="expression" dxfId="4689" priority="335">
      <formula>OR(AND(J21=1,K21=1,L21=0,M21=1),AND(J21=2,K21=2,L21=0,M21=2))</formula>
    </cfRule>
  </conditionalFormatting>
  <conditionalFormatting sqref="M21:M25">
    <cfRule type="expression" dxfId="4688" priority="328">
      <formula>AND(L21&gt;0,IF(COUNTIF(L$21:L$25,L21)&gt;1,TRUE,FALSE))</formula>
    </cfRule>
    <cfRule type="expression" dxfId="4687" priority="329">
      <formula>AND(IF(COUNTIF(R$21:R$25,"=1")=2,TRUE),IF(COUNTIF(R$21:R$25,"=2")=2,TRUE))</formula>
    </cfRule>
    <cfRule type="expression" dxfId="4686" priority="330">
      <formula>AND(R21=4,IF(COUNTIF(R$21:R$25,"=4")=1,TRUE))</formula>
    </cfRule>
    <cfRule type="expression" dxfId="4685" priority="331">
      <formula>AND(R21=3,IF(COUNTIF(R$21:R$25,"=3")=1,TRUE))</formula>
    </cfRule>
    <cfRule type="expression" dxfId="4684" priority="332">
      <formula>AND(R21=2,IF(COUNTIF(R$21:R$25,"=2")=1,TRUE))</formula>
    </cfRule>
    <cfRule type="expression" dxfId="4683" priority="333">
      <formula>AND(R21=1,IF(COUNTIF(R$21:R$25,"=1")=1,TRUE))</formula>
    </cfRule>
    <cfRule type="expression" dxfId="4682" priority="334">
      <formula>OR(R21=0,R21=5)</formula>
    </cfRule>
  </conditionalFormatting>
  <conditionalFormatting sqref="J21:J25">
    <cfRule type="expression" dxfId="4681" priority="323">
      <formula>AND(Q21=4,IF(COUNTIF(Q$21:Q$25,"=4")&gt;=2,TRUE))</formula>
    </cfRule>
    <cfRule type="expression" dxfId="4680" priority="324">
      <formula>AND(Q21=3,IF(COUNTIF(Q$21:Q$25,"=3")&gt;=2,TRUE))</formula>
    </cfRule>
    <cfRule type="expression" dxfId="4679" priority="325">
      <formula>AND(Q21=2,IF(COUNTIF(Q$21:Q$25,"=2")&gt;=2,TRUE))</formula>
    </cfRule>
    <cfRule type="expression" dxfId="4678" priority="326">
      <formula>AND(Q21=1,IF(COUNTIF(Q$21:Q$25,"=1")&gt;=2,TRUE))</formula>
    </cfRule>
  </conditionalFormatting>
  <conditionalFormatting sqref="K21:K25">
    <cfRule type="expression" dxfId="4677" priority="344">
      <formula>AND(J21&gt;0,IF(COUNTIF(J$21:J$25,"=1")=2,TRUE),IF(COUNTIF(J$21:J$25,"=2")=2,TRUE))</formula>
    </cfRule>
    <cfRule type="expression" dxfId="4676" priority="345">
      <formula>IF(COUNTIF(L$21:L$25,"=2")=2,TRUE)</formula>
    </cfRule>
    <cfRule type="expression" dxfId="4675" priority="346">
      <formula>IF(COUNTIF(L$21:L$25,"=1")=2,TRUE)</formula>
    </cfRule>
    <cfRule type="expression" dxfId="4674" priority="347">
      <formula>AND(IF(COUNTIF(R$21:R$25,"=1")=2,TRUE),IF(COUNTIF(S$21:S$25,"=2")=2,TRUE))</formula>
    </cfRule>
    <cfRule type="expression" dxfId="4673" priority="348">
      <formula>AND(R21=4,IF(COUNTIF(R$21:R$25,"=4")=1,TRUE))</formula>
    </cfRule>
    <cfRule type="expression" dxfId="4672" priority="349">
      <formula>AND(R21=3,IF(COUNTIF(R$21:R$25,"=3")=1,TRUE))</formula>
    </cfRule>
    <cfRule type="expression" dxfId="4671" priority="350">
      <formula>AND(R21=2,IF(COUNTIF(R$21:R$25,"=2")=1,TRUE))</formula>
    </cfRule>
    <cfRule type="expression" dxfId="4670" priority="351">
      <formula>AND(R21=1,IF(COUNTIF(R$21:R$25,"=1")=1,TRUE))</formula>
    </cfRule>
    <cfRule type="expression" dxfId="4669" priority="352">
      <formula>OR(R21=0,R21=5)</formula>
    </cfRule>
  </conditionalFormatting>
  <conditionalFormatting sqref="H21:H25">
    <cfRule type="expression" dxfId="4668" priority="319">
      <formula>AND(Q21=4,IF(COUNTIF(Q$21:Q$25,"=4")&gt;=2,TRUE))</formula>
    </cfRule>
    <cfRule type="expression" dxfId="4667" priority="320">
      <formula>AND(Q21=3,IF(COUNTIF(Q$21:Q$25,"=3")&gt;=2,TRUE))</formula>
    </cfRule>
    <cfRule type="expression" dxfId="4666" priority="321">
      <formula>AND(Q21=2,IF(COUNTIF(Q$21:Q$25,"=2")&gt;=2,TRUE))</formula>
    </cfRule>
    <cfRule type="expression" dxfId="4665" priority="322">
      <formula>AND(Q21=1,IF(COUNTIF(Q$21:Q$25,"=1")&gt;=2,TRUE))</formula>
    </cfRule>
  </conditionalFormatting>
  <conditionalFormatting sqref="L28:L32">
    <cfRule type="expression" dxfId="4664" priority="293">
      <formula>K28=0</formula>
    </cfRule>
    <cfRule type="expression" dxfId="4663" priority="302">
      <formula>IF(COUNTIF(J$28:J$32,"=2")=2,TRUE)</formula>
    </cfRule>
    <cfRule type="expression" dxfId="4662" priority="303">
      <formula>IF(COUNTIF(J$28:J$32,"=1")=2,TRUE)</formula>
    </cfRule>
    <cfRule type="expression" dxfId="4661" priority="304">
      <formula>AND(IF(COUNTIF(Q$28:Q$32,"=1")=2,TRUE),IF(COUNTIF(Q$28:Q$32,"=2")=2,TRUE))</formula>
    </cfRule>
    <cfRule type="expression" dxfId="4660" priority="305">
      <formula>AND(Q28=4,IF(COUNTIF(Q$28:Q$32,"=4")=1,TRUE))</formula>
    </cfRule>
    <cfRule type="expression" dxfId="4659" priority="306">
      <formula>AND(Q28=3,IF(COUNTIF(Q$28:Q$32,"=3")=1,TRUE))</formula>
    </cfRule>
    <cfRule type="expression" dxfId="4658" priority="307">
      <formula>AND(Q28=2,IF(COUNTIF(Q$28:Q$32,"=2")=1,TRUE))</formula>
    </cfRule>
    <cfRule type="expression" dxfId="4657" priority="308">
      <formula>AND(Q28=1,IF(COUNTIF(Q$28:Q$32,"=1")=1,TRUE))</formula>
    </cfRule>
    <cfRule type="expression" dxfId="4656" priority="309">
      <formula>OR(Q28=0,Q28=5)</formula>
    </cfRule>
  </conditionalFormatting>
  <conditionalFormatting sqref="O28:O32">
    <cfRule type="expression" dxfId="4655" priority="301">
      <formula>OR(AND(J28=1,K28=1,L28=0,M28=1),AND(J28=2,K28=2,L28=0,M28=2))</formula>
    </cfRule>
  </conditionalFormatting>
  <conditionalFormatting sqref="M28:M32">
    <cfRule type="expression" dxfId="4654" priority="294">
      <formula>AND(L28&gt;0,IF(COUNTIF(L$28:L$32,L28)&gt;1,TRUE,FALSE))</formula>
    </cfRule>
    <cfRule type="expression" dxfId="4653" priority="295">
      <formula>AND(IF(COUNTIF(R$28:R$32,"=1")=2,TRUE),IF(COUNTIF(R$28:R$32,"=2")=2,TRUE))</formula>
    </cfRule>
    <cfRule type="expression" dxfId="4652" priority="296">
      <formula>AND(R28=4,IF(COUNTIF(R$28:R$32,"=4")=1,TRUE))</formula>
    </cfRule>
    <cfRule type="expression" dxfId="4651" priority="297">
      <formula>AND(R28=3,IF(COUNTIF(R$28:R$32,"=3")=1,TRUE))</formula>
    </cfRule>
    <cfRule type="expression" dxfId="4650" priority="298">
      <formula>AND(R28=2,IF(COUNTIF(R$28:R$32,"=2")=1,TRUE))</formula>
    </cfRule>
    <cfRule type="expression" dxfId="4649" priority="299">
      <formula>AND(R28=1,IF(COUNTIF(R$28:R$32,"=1")=1,TRUE))</formula>
    </cfRule>
    <cfRule type="expression" dxfId="4648" priority="300">
      <formula>OR(R28=0,R28=5)</formula>
    </cfRule>
  </conditionalFormatting>
  <conditionalFormatting sqref="J28:J32">
    <cfRule type="expression" dxfId="4647" priority="289">
      <formula>AND(Q28=4,IF(COUNTIF(Q$28:Q$32,"=4")&gt;=2,TRUE))</formula>
    </cfRule>
    <cfRule type="expression" dxfId="4646" priority="290">
      <formula>AND(Q28=3,IF(COUNTIF(Q$28:Q$32,"=3")&gt;=2,TRUE))</formula>
    </cfRule>
    <cfRule type="expression" dxfId="4645" priority="291">
      <formula>AND(Q28=2,IF(COUNTIF(Q$28:Q$32,"=2")&gt;=2,TRUE))</formula>
    </cfRule>
    <cfRule type="expression" dxfId="4644" priority="292">
      <formula>AND(Q28=1,IF(COUNTIF(Q$28:Q$32,"=1")&gt;=2,TRUE))</formula>
    </cfRule>
  </conditionalFormatting>
  <conditionalFormatting sqref="K28:K32">
    <cfRule type="expression" dxfId="4643" priority="310">
      <formula>AND(J28&gt;0,IF(COUNTIF(J$28:J$32,"=1")=2,TRUE),IF(COUNTIF(J$28:J$32,"=2")=2,TRUE))</formula>
    </cfRule>
    <cfRule type="expression" dxfId="4642" priority="311">
      <formula>IF(COUNTIF(L$28:L$32,"=2")=2,TRUE)</formula>
    </cfRule>
    <cfRule type="expression" dxfId="4641" priority="312">
      <formula>IF(COUNTIF(L$28:L$32,"=1")=2,TRUE)</formula>
    </cfRule>
    <cfRule type="expression" dxfId="4640" priority="313">
      <formula>AND(IF(COUNTIF(R$28:R$32,"=1")=2,TRUE),IF(COUNTIF(S$28:S$32,"=2")=2,TRUE))</formula>
    </cfRule>
    <cfRule type="expression" dxfId="4639" priority="314">
      <formula>AND(R28=4,IF(COUNTIF(R$28:R$32,"=4")=1,TRUE))</formula>
    </cfRule>
    <cfRule type="expression" dxfId="4638" priority="315">
      <formula>AND(R28=3,IF(COUNTIF(R$28:R$32,"=3")=1,TRUE))</formula>
    </cfRule>
    <cfRule type="expression" dxfId="4637" priority="316">
      <formula>AND(R28=2,IF(COUNTIF(R$28:R$32,"=2")=1,TRUE))</formula>
    </cfRule>
    <cfRule type="expression" dxfId="4636" priority="317">
      <formula>AND(R28=1,IF(COUNTIF(R$28:R$32,"=1")=1,TRUE))</formula>
    </cfRule>
    <cfRule type="expression" dxfId="4635" priority="318">
      <formula>OR(R28=0,R28=5)</formula>
    </cfRule>
  </conditionalFormatting>
  <conditionalFormatting sqref="H28:H32">
    <cfRule type="expression" dxfId="4634" priority="285">
      <formula>AND(Q28=4,IF(COUNTIF(Q$28:Q$32,"=4")&gt;=2,TRUE))</formula>
    </cfRule>
    <cfRule type="expression" dxfId="4633" priority="286">
      <formula>AND(Q28=3,IF(COUNTIF(Q$28:Q$32,"=3")&gt;=2,TRUE))</formula>
    </cfRule>
    <cfRule type="expression" dxfId="4632" priority="287">
      <formula>AND(Q28=2,IF(COUNTIF(Q$28:Q$32,"=2")&gt;=2,TRUE))</formula>
    </cfRule>
    <cfRule type="expression" dxfId="4631" priority="288">
      <formula>AND(Q28=1,IF(COUNTIF(Q$28:Q$32,"=1")&gt;=2,TRUE))</formula>
    </cfRule>
  </conditionalFormatting>
  <conditionalFormatting sqref="B100:H102 B161:B167 B155:D160 B172:H174 B168:D171 B134:H139 B103:D133 H103:H133 H141:H171 D141:D154 B140:B154 D140:H140">
    <cfRule type="containsText" dxfId="4630" priority="148" operator="containsText" text="I-Viru">
      <formula>NOT(ISERROR(SEARCH("I-Viru",B100)))</formula>
    </cfRule>
  </conditionalFormatting>
  <conditionalFormatting sqref="A102:A116">
    <cfRule type="cellIs" dxfId="4629" priority="146" operator="equal">
      <formula>"-"</formula>
    </cfRule>
    <cfRule type="duplicateValues" dxfId="4628" priority="147"/>
  </conditionalFormatting>
  <conditionalFormatting sqref="C106 C108">
    <cfRule type="aboveAverage" dxfId="4627" priority="142"/>
  </conditionalFormatting>
  <conditionalFormatting sqref="C110 C112">
    <cfRule type="aboveAverage" dxfId="4626" priority="141"/>
  </conditionalFormatting>
  <conditionalFormatting sqref="C114 C116">
    <cfRule type="aboveAverage" dxfId="4625" priority="140"/>
  </conditionalFormatting>
  <conditionalFormatting sqref="C106 C108 C110 C112 C114 C116">
    <cfRule type="containsBlanks" dxfId="4624" priority="139">
      <formula>LEN(TRIM(C106))=0</formula>
    </cfRule>
  </conditionalFormatting>
  <conditionalFormatting sqref="C102 C104">
    <cfRule type="aboveAverage" dxfId="4623" priority="138"/>
  </conditionalFormatting>
  <conditionalFormatting sqref="C102 C104">
    <cfRule type="containsBlanks" dxfId="4622" priority="137">
      <formula>LEN(TRIM(C102))=0</formula>
    </cfRule>
  </conditionalFormatting>
  <conditionalFormatting sqref="A140:A154">
    <cfRule type="cellIs" dxfId="4621" priority="117" operator="equal">
      <formula>"-"</formula>
    </cfRule>
    <cfRule type="duplicateValues" dxfId="4620" priority="118"/>
  </conditionalFormatting>
  <conditionalFormatting sqref="C161:D167">
    <cfRule type="containsText" dxfId="4619" priority="89" operator="containsText" text="I-Viru">
      <formula>NOT(ISERROR(SEARCH("I-Viru",C161)))</formula>
    </cfRule>
  </conditionalFormatting>
  <conditionalFormatting sqref="B300:B314">
    <cfRule type="expression" dxfId="4618" priority="62">
      <formula>A300=3</formula>
    </cfRule>
    <cfRule type="expression" dxfId="4617" priority="63">
      <formula>A300=2</formula>
    </cfRule>
    <cfRule type="expression" dxfId="4616" priority="64">
      <formula>A300=1</formula>
    </cfRule>
    <cfRule type="containsBlanks" dxfId="4615" priority="65">
      <formula>LEN(TRIM(B300))=0</formula>
    </cfRule>
    <cfRule type="duplicateValues" dxfId="4614" priority="66"/>
  </conditionalFormatting>
  <conditionalFormatting sqref="AJ7:AJ31">
    <cfRule type="expression" dxfId="4613" priority="55">
      <formula>AND(AI7="",FIND(",",AJ7))</formula>
    </cfRule>
    <cfRule type="expression" dxfId="4612" priority="57">
      <formula>AND(AI7="",COUNTIF(AJ7,"*,*")=0)</formula>
    </cfRule>
  </conditionalFormatting>
  <conditionalFormatting sqref="AH7:AH60">
    <cfRule type="expression" dxfId="4611" priority="58">
      <formula>AND(AG7="",FIND(",",AH7))</formula>
    </cfRule>
    <cfRule type="expression" dxfId="4610" priority="59">
      <formula>AND(AG7="",COUNTIF(AH7,"*,*")=0)</formula>
    </cfRule>
  </conditionalFormatting>
  <conditionalFormatting sqref="AL7:AL31">
    <cfRule type="expression" dxfId="4609" priority="60">
      <formula>AND(AK7="",FIND(",",AL7))</formula>
    </cfRule>
    <cfRule type="expression" dxfId="4608" priority="61">
      <formula>AND(AK7="",COUNTIF(AL7,"*,*")=0)</formula>
    </cfRule>
  </conditionalFormatting>
  <conditionalFormatting sqref="AF7:AF31">
    <cfRule type="expression" dxfId="4607" priority="56">
      <formula>AND(AE7="",COUNTIF(AF7,"*,*")=0)</formula>
    </cfRule>
  </conditionalFormatting>
  <conditionalFormatting sqref="AN7:AN31">
    <cfRule type="expression" dxfId="4606" priority="52">
      <formula>AND(AM7="",COUNTIF(AN7,"*,*")=0)</formula>
    </cfRule>
    <cfRule type="expression" dxfId="4605" priority="54">
      <formula>AND(AM7="",FIND(",",AN7))</formula>
    </cfRule>
  </conditionalFormatting>
  <conditionalFormatting sqref="AP7:AP31">
    <cfRule type="expression" dxfId="4604" priority="51">
      <formula>AND(AO7="",COUNTIF(AP7,"*,*")=0)</formula>
    </cfRule>
    <cfRule type="expression" dxfId="4603" priority="53">
      <formula>AND(AO7="",FIND(",",AP7))</formula>
    </cfRule>
  </conditionalFormatting>
  <conditionalFormatting sqref="I28:I32">
    <cfRule type="expression" dxfId="4602" priority="45">
      <formula>FIND(2,I28,1)</formula>
    </cfRule>
    <cfRule type="expression" dxfId="4601" priority="46">
      <formula>FIND(1,I28,1)</formula>
    </cfRule>
  </conditionalFormatting>
  <conditionalFormatting sqref="I21:I25">
    <cfRule type="expression" dxfId="4600" priority="47">
      <formula>FIND(2,I21,1)</formula>
    </cfRule>
    <cfRule type="expression" dxfId="4599" priority="48">
      <formula>FIND(1,I21,1)</formula>
    </cfRule>
  </conditionalFormatting>
  <conditionalFormatting sqref="I7:I11">
    <cfRule type="expression" dxfId="4598" priority="49">
      <formula>FIND(2,I7,1)</formula>
    </cfRule>
    <cfRule type="expression" dxfId="4597" priority="50">
      <formula>FIND(1,I7,1)</formula>
    </cfRule>
  </conditionalFormatting>
  <conditionalFormatting sqref="I14:I18">
    <cfRule type="expression" dxfId="4596" priority="43">
      <formula>FIND(2,I14,1)</formula>
    </cfRule>
    <cfRule type="expression" dxfId="4595" priority="44">
      <formula>FIND(1,I14,1)</formula>
    </cfRule>
  </conditionalFormatting>
  <conditionalFormatting sqref="G124 G128 G131 G133">
    <cfRule type="containsBlanks" dxfId="4594" priority="40">
      <formula>LEN(TRIM(G124))=0</formula>
    </cfRule>
  </conditionalFormatting>
  <conditionalFormatting sqref="E123 E125">
    <cfRule type="containsBlanks" dxfId="4593" priority="38">
      <formula>LEN(TRIM(E123))=0</formula>
    </cfRule>
  </conditionalFormatting>
  <conditionalFormatting sqref="E127 E129">
    <cfRule type="containsBlanks" dxfId="4592" priority="36">
      <formula>LEN(TRIM(E127))=0</formula>
    </cfRule>
  </conditionalFormatting>
  <conditionalFormatting sqref="G124 G128">
    <cfRule type="aboveAverage" dxfId="4591" priority="42"/>
  </conditionalFormatting>
  <conditionalFormatting sqref="G131 G133">
    <cfRule type="aboveAverage" dxfId="4590" priority="41"/>
  </conditionalFormatting>
  <conditionalFormatting sqref="E123 E125">
    <cfRule type="aboveAverage" dxfId="4589" priority="39"/>
  </conditionalFormatting>
  <conditionalFormatting sqref="E127 E129">
    <cfRule type="aboveAverage" dxfId="4588" priority="37"/>
  </conditionalFormatting>
  <conditionalFormatting sqref="G117 G119">
    <cfRule type="aboveAverage" dxfId="4587" priority="35"/>
  </conditionalFormatting>
  <conditionalFormatting sqref="G117 G119">
    <cfRule type="containsBlanks" dxfId="4586" priority="34">
      <formula>LEN(TRIM(G117))=0</formula>
    </cfRule>
  </conditionalFormatting>
  <conditionalFormatting sqref="E103 E107">
    <cfRule type="containsBlanks" dxfId="4585" priority="32">
      <formula>LEN(TRIM(E103))=0</formula>
    </cfRule>
    <cfRule type="aboveAverage" dxfId="4584" priority="33"/>
  </conditionalFormatting>
  <conditionalFormatting sqref="E111 E115">
    <cfRule type="containsBlanks" dxfId="4583" priority="30">
      <formula>LEN(TRIM(E111))=0</formula>
    </cfRule>
    <cfRule type="aboveAverage" dxfId="4582" priority="31"/>
  </conditionalFormatting>
  <conditionalFormatting sqref="G105 G113">
    <cfRule type="containsBlanks" dxfId="4581" priority="28">
      <formula>LEN(TRIM(G105))=0</formula>
    </cfRule>
    <cfRule type="aboveAverage" dxfId="4580" priority="29"/>
  </conditionalFormatting>
  <conditionalFormatting sqref="G162 G166 G169 G171">
    <cfRule type="containsBlanks" dxfId="4579" priority="25">
      <formula>LEN(TRIM(G162))=0</formula>
    </cfRule>
  </conditionalFormatting>
  <conditionalFormatting sqref="E161 E163">
    <cfRule type="containsBlanks" dxfId="4578" priority="23">
      <formula>LEN(TRIM(E161))=0</formula>
    </cfRule>
  </conditionalFormatting>
  <conditionalFormatting sqref="E165 E167">
    <cfRule type="containsBlanks" dxfId="4577" priority="21">
      <formula>LEN(TRIM(E165))=0</formula>
    </cfRule>
  </conditionalFormatting>
  <conditionalFormatting sqref="G162 G166">
    <cfRule type="aboveAverage" dxfId="4576" priority="27"/>
  </conditionalFormatting>
  <conditionalFormatting sqref="G169 G171">
    <cfRule type="aboveAverage" dxfId="4575" priority="26"/>
  </conditionalFormatting>
  <conditionalFormatting sqref="E161 E163">
    <cfRule type="aboveAverage" dxfId="4574" priority="24"/>
  </conditionalFormatting>
  <conditionalFormatting sqref="E165 E167">
    <cfRule type="aboveAverage" dxfId="4573" priority="22"/>
  </conditionalFormatting>
  <conditionalFormatting sqref="G155 G157">
    <cfRule type="aboveAverage" dxfId="4572" priority="20"/>
  </conditionalFormatting>
  <conditionalFormatting sqref="G155 G157">
    <cfRule type="containsBlanks" dxfId="4571" priority="19">
      <formula>LEN(TRIM(G155))=0</formula>
    </cfRule>
  </conditionalFormatting>
  <conditionalFormatting sqref="E141 E145">
    <cfRule type="containsBlanks" dxfId="4570" priority="17">
      <formula>LEN(TRIM(E141))=0</formula>
    </cfRule>
    <cfRule type="aboveAverage" dxfId="4569" priority="18"/>
  </conditionalFormatting>
  <conditionalFormatting sqref="E149 E153">
    <cfRule type="containsBlanks" dxfId="4568" priority="15">
      <formula>LEN(TRIM(E149))=0</formula>
    </cfRule>
    <cfRule type="aboveAverage" dxfId="4567" priority="16"/>
  </conditionalFormatting>
  <conditionalFormatting sqref="G143 G151">
    <cfRule type="containsBlanks" dxfId="4566" priority="13">
      <formula>LEN(TRIM(G143))=0</formula>
    </cfRule>
    <cfRule type="aboveAverage" dxfId="4565" priority="14"/>
  </conditionalFormatting>
  <conditionalFormatting sqref="C140:C143 C147 C151">
    <cfRule type="containsText" dxfId="4564" priority="12" operator="containsText" text="I-Viru">
      <formula>NOT(ISERROR(SEARCH("I-Viru",C140)))</formula>
    </cfRule>
  </conditionalFormatting>
  <conditionalFormatting sqref="C140 C142">
    <cfRule type="aboveAverage" dxfId="4563" priority="11"/>
  </conditionalFormatting>
  <conditionalFormatting sqref="C140 C142">
    <cfRule type="containsBlanks" dxfId="4562" priority="10">
      <formula>LEN(TRIM(C140))=0</formula>
    </cfRule>
  </conditionalFormatting>
  <conditionalFormatting sqref="C144:C146">
    <cfRule type="containsText" dxfId="4561" priority="9" operator="containsText" text="I-Viru">
      <formula>NOT(ISERROR(SEARCH("I-Viru",C144)))</formula>
    </cfRule>
  </conditionalFormatting>
  <conditionalFormatting sqref="C144 C146">
    <cfRule type="aboveAverage" dxfId="4560" priority="8"/>
  </conditionalFormatting>
  <conditionalFormatting sqref="C144 C146">
    <cfRule type="containsBlanks" dxfId="4559" priority="7">
      <formula>LEN(TRIM(C144))=0</formula>
    </cfRule>
  </conditionalFormatting>
  <conditionalFormatting sqref="C148:C150">
    <cfRule type="containsText" dxfId="4558" priority="6" operator="containsText" text="I-Viru">
      <formula>NOT(ISERROR(SEARCH("I-Viru",C148)))</formula>
    </cfRule>
  </conditionalFormatting>
  <conditionalFormatting sqref="C148 C150">
    <cfRule type="aboveAverage" dxfId="4557" priority="5"/>
  </conditionalFormatting>
  <conditionalFormatting sqref="C148 C150">
    <cfRule type="containsBlanks" dxfId="4556" priority="4">
      <formula>LEN(TRIM(C148))=0</formula>
    </cfRule>
  </conditionalFormatting>
  <conditionalFormatting sqref="C152:C154">
    <cfRule type="containsText" dxfId="4555" priority="3" operator="containsText" text="I-Viru">
      <formula>NOT(ISERROR(SEARCH("I-Viru",C152)))</formula>
    </cfRule>
  </conditionalFormatting>
  <conditionalFormatting sqref="C152 C154">
    <cfRule type="aboveAverage" dxfId="4554" priority="2"/>
  </conditionalFormatting>
  <conditionalFormatting sqref="C152 C154">
    <cfRule type="containsBlanks" dxfId="4553" priority="1">
      <formula>LEN(TRIM(C152))=0</formula>
    </cfRule>
  </conditionalFormatting>
  <pageMargins left="0.78740157480314965" right="0.39370078740157483" top="0.78740157480314965" bottom="0.39370078740157483" header="0.78740157480314965" footer="0"/>
  <pageSetup paperSize="9" fitToHeight="0" orientation="landscape" verticalDpi="1200" r:id="rId1"/>
  <headerFooter>
    <oddHeader>&amp;R&amp;P. leht &amp;N&amp; -st</oddHeader>
  </headerFooter>
  <rowBreaks count="3" manualBreakCount="3">
    <brk id="98" max="16383" man="1"/>
    <brk id="136" max="16383" man="1"/>
    <brk id="297"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308"/>
  <sheetViews>
    <sheetView showGridLines="0" showRowColHeaders="0" workbookViewId="0">
      <pane ySplit="1" topLeftCell="A2" activePane="bottomLeft" state="frozen"/>
      <selection pane="bottomLeft" activeCell="A5" sqref="A5"/>
    </sheetView>
  </sheetViews>
  <sheetFormatPr defaultRowHeight="12.75" x14ac:dyDescent="0.2"/>
  <cols>
    <col min="1" max="1" width="3.28515625" style="1" customWidth="1"/>
    <col min="2" max="2" width="27.42578125" style="1" bestFit="1" customWidth="1"/>
    <col min="3" max="11" width="5.140625" style="1" customWidth="1"/>
    <col min="12" max="12" width="5.140625" style="1" bestFit="1" customWidth="1"/>
    <col min="13" max="13" width="3.42578125" style="1" bestFit="1" customWidth="1"/>
    <col min="14" max="14" width="9.140625" style="1" hidden="1" customWidth="1"/>
    <col min="15" max="15" width="5" style="1" bestFit="1" customWidth="1"/>
    <col min="16" max="16" width="9.140625" style="1" hidden="1" customWidth="1"/>
    <col min="17" max="17" width="5.5703125" style="1" hidden="1" customWidth="1"/>
    <col min="18" max="18" width="4.140625" style="1" hidden="1" customWidth="1"/>
    <col min="19" max="21" width="9.140625" style="1" hidden="1" customWidth="1"/>
    <col min="22" max="22" width="11.5703125" style="1" hidden="1" customWidth="1"/>
    <col min="23" max="23" width="9.140625" style="1" hidden="1" customWidth="1"/>
    <col min="24" max="16384" width="9.140625" style="1"/>
  </cols>
  <sheetData>
    <row r="1" spans="1:28" x14ac:dyDescent="0.2">
      <c r="A1" s="400" t="str">
        <f>UPPER((Kalend!E6)&amp;" - "&amp;(Kalend!C6))&amp;" - "&amp;LOWER(Kalend!D6)&amp;" - "&amp;(Kalend!A6)&amp;" kell "&amp;(Kalend!B6)&amp;" - "&amp;(Kalend!F6)</f>
        <v>V-N3 - VOKA 3. NOORTETURNIIR - duo - N, 24.10.2019 kell 16:00 - Voka petangihall</v>
      </c>
      <c r="L1" s="70"/>
      <c r="M1" s="271"/>
      <c r="N1" s="271"/>
      <c r="O1" s="271"/>
      <c r="P1" s="271"/>
      <c r="Q1" s="271"/>
      <c r="R1" s="271"/>
      <c r="S1" s="271"/>
      <c r="T1" s="271"/>
      <c r="U1" s="271"/>
      <c r="V1" s="271"/>
      <c r="W1" s="271"/>
      <c r="Z1" s="271"/>
      <c r="AA1" s="271"/>
    </row>
    <row r="2" spans="1:28" hidden="1" x14ac:dyDescent="0.2">
      <c r="F2" s="271"/>
      <c r="G2" s="312"/>
      <c r="H2" s="312"/>
      <c r="J2" s="141"/>
      <c r="K2" s="415"/>
      <c r="M2" s="409"/>
      <c r="N2" s="409"/>
      <c r="O2" s="271"/>
      <c r="P2" s="271"/>
      <c r="Q2" s="271"/>
      <c r="R2" s="271"/>
      <c r="S2" s="271"/>
      <c r="T2" s="409"/>
      <c r="U2" s="409"/>
      <c r="V2" s="409"/>
      <c r="W2" s="271"/>
      <c r="X2" s="271"/>
      <c r="Y2" s="271"/>
      <c r="Z2" s="271"/>
    </row>
    <row r="3" spans="1:28" hidden="1" x14ac:dyDescent="0.2">
      <c r="M3" s="409"/>
      <c r="N3" s="409"/>
      <c r="O3" s="271"/>
      <c r="P3" s="271"/>
      <c r="Q3" s="271"/>
      <c r="R3" s="271"/>
      <c r="S3" s="271"/>
      <c r="T3" s="409"/>
      <c r="U3" s="409"/>
      <c r="V3" s="409"/>
      <c r="W3" s="271"/>
      <c r="X3" s="271"/>
      <c r="Y3" s="271"/>
      <c r="Z3" s="271"/>
      <c r="AA3" s="271"/>
    </row>
    <row r="4" spans="1:28" hidden="1" x14ac:dyDescent="0.2">
      <c r="M4" s="271"/>
      <c r="N4" s="271"/>
      <c r="O4" s="271"/>
      <c r="P4" s="271"/>
      <c r="Q4" s="271"/>
      <c r="R4" s="271"/>
      <c r="S4" s="271"/>
      <c r="T4" s="271"/>
      <c r="U4" s="271"/>
      <c r="V4" s="271"/>
      <c r="W4" s="271"/>
      <c r="X4" s="271"/>
      <c r="Y4" s="271"/>
      <c r="Z4" s="271"/>
      <c r="AA4" s="271"/>
    </row>
    <row r="5" spans="1:28" x14ac:dyDescent="0.2">
      <c r="F5" s="271"/>
      <c r="G5" s="53"/>
      <c r="H5" s="53"/>
      <c r="I5" s="53"/>
      <c r="J5" s="53"/>
      <c r="K5" s="53"/>
      <c r="L5" s="312"/>
      <c r="M5" s="271"/>
      <c r="N5" s="271"/>
      <c r="O5" s="967" t="s">
        <v>476</v>
      </c>
      <c r="P5" s="271"/>
      <c r="Q5" s="271"/>
      <c r="R5" s="271"/>
      <c r="S5" s="271"/>
      <c r="T5" s="271"/>
      <c r="U5" s="271"/>
      <c r="V5" s="271"/>
      <c r="W5" s="271"/>
      <c r="X5" s="271"/>
      <c r="Y5" s="271"/>
      <c r="Z5" s="271"/>
      <c r="AA5" s="271"/>
    </row>
    <row r="6" spans="1:28" x14ac:dyDescent="0.2">
      <c r="A6" s="311"/>
      <c r="B6" s="416"/>
      <c r="C6" s="276">
        <v>1</v>
      </c>
      <c r="D6" s="276">
        <v>2</v>
      </c>
      <c r="E6" s="276">
        <v>3</v>
      </c>
      <c r="F6" s="276">
        <v>4</v>
      </c>
      <c r="G6" s="276">
        <v>5</v>
      </c>
      <c r="H6" s="276">
        <v>6</v>
      </c>
      <c r="I6" s="276">
        <v>7</v>
      </c>
      <c r="J6" s="276">
        <v>8</v>
      </c>
      <c r="K6" s="276" t="s">
        <v>168</v>
      </c>
      <c r="L6" s="275" t="s">
        <v>169</v>
      </c>
      <c r="M6" s="417" t="s">
        <v>257</v>
      </c>
      <c r="N6" s="418" t="s">
        <v>258</v>
      </c>
      <c r="O6" s="419" t="s">
        <v>259</v>
      </c>
      <c r="P6" s="419" t="s">
        <v>260</v>
      </c>
      <c r="Q6" s="420" t="s">
        <v>170</v>
      </c>
      <c r="R6" s="420" t="s">
        <v>170</v>
      </c>
      <c r="S6" s="421" t="s">
        <v>261</v>
      </c>
      <c r="T6" s="422" t="s">
        <v>21</v>
      </c>
      <c r="U6" s="422" t="b">
        <f>OR(AND(COUNTA(B7:B11)=3,COUNTA(C7:G11)=6),AND(COUNTA(B7:B11)=4,COUNTA(C7:G11)=12),AND(COUNTA(B7:B11)=5,COUNTA(C7:G11)=20))</f>
        <v>1</v>
      </c>
      <c r="V6" s="423" t="s">
        <v>262</v>
      </c>
      <c r="W6" s="424" t="s">
        <v>263</v>
      </c>
    </row>
    <row r="7" spans="1:28" x14ac:dyDescent="0.2">
      <c r="A7" s="316">
        <v>1</v>
      </c>
      <c r="B7" s="479" t="s">
        <v>291</v>
      </c>
      <c r="C7" s="319"/>
      <c r="D7" s="318">
        <v>12</v>
      </c>
      <c r="E7" s="545">
        <v>13</v>
      </c>
      <c r="F7" s="318">
        <v>12</v>
      </c>
      <c r="G7" s="545">
        <v>7</v>
      </c>
      <c r="H7" s="318">
        <v>13</v>
      </c>
      <c r="I7" s="318">
        <v>7</v>
      </c>
      <c r="J7" s="318">
        <v>13</v>
      </c>
      <c r="K7" s="317" t="str">
        <f>(IF(D7-C8&gt;0,1)+IF(E7-C9&gt;0,1)+IF(F7-C10&gt;0,1)+IF(G7-C11&gt;0,1)+IF(H7-C12&gt;0,1)+IF(I7-C13&gt;0,1)+IF(J7-C14&gt;0,1))&amp;"-"&amp;(IF(D7-C8&lt;0,1)+IF(E7-C9&lt;0,1)+IF(F7-C10&lt;0,1)+IF(G7-C11&lt;0,1)+IF(H7-C12&lt;0,1)+IF(I7-C13&lt;0,1)+IF(J7-C14&lt;0,1))</f>
        <v>3-4</v>
      </c>
      <c r="L7" s="468">
        <v>7</v>
      </c>
      <c r="M7" s="480">
        <v>1</v>
      </c>
      <c r="N7" s="481">
        <f>SUM(AND(W7=W8,D7&gt;C8),AND(W7=W9,E7&gt;C9),AND(W7=W10,F7&gt;C10),AND(W7=W11,G7&gt;C11))</f>
        <v>1</v>
      </c>
      <c r="O7" s="552">
        <v>-4</v>
      </c>
      <c r="P7" s="483">
        <f>SUM(AND(U7=U8,D7&gt;C8),AND(U7=U9,E7&gt;C9),AND(U7=U10,F7&gt;C10),AND(U7=U11,G7&gt;C11))</f>
        <v>0</v>
      </c>
      <c r="Q7" s="484" t="str">
        <f>SUM(C7:J7)&amp;"-"&amp;SUM(C7:C14)</f>
        <v>77-80</v>
      </c>
      <c r="R7" s="533">
        <f>D7+E7+F7+G7+H7+I7+J7-C8-C9-C10-C11-C12-C13-C14</f>
        <v>-3</v>
      </c>
      <c r="S7" s="485">
        <f>SUM(C7:G7,C7:C11)/SUM(C7:C11)</f>
        <v>1.88</v>
      </c>
      <c r="T7" s="320">
        <f>VALUE(LEFT(K7,1))</f>
        <v>3</v>
      </c>
      <c r="U7" s="321">
        <f>T7*100000+M7*10000+N7*1000+100*O7</f>
        <v>310600</v>
      </c>
      <c r="V7" s="486">
        <f>U7+P7*0.1+IF(ISNONTEXT(B7),0,0.01)+0.0001*R7</f>
        <v>310600.0097</v>
      </c>
      <c r="W7" s="487" t="str">
        <f t="shared" ref="W7:W13" si="0">T7&amp;M7</f>
        <v>31</v>
      </c>
      <c r="X7" s="477"/>
      <c r="Y7" s="477"/>
      <c r="Z7" s="477"/>
      <c r="AA7" s="477"/>
      <c r="AB7" s="477"/>
    </row>
    <row r="8" spans="1:28" x14ac:dyDescent="0.2">
      <c r="A8" s="316">
        <v>2</v>
      </c>
      <c r="B8" s="542" t="s">
        <v>290</v>
      </c>
      <c r="C8" s="318">
        <v>13</v>
      </c>
      <c r="D8" s="319"/>
      <c r="E8" s="318">
        <v>13</v>
      </c>
      <c r="F8" s="318">
        <v>13</v>
      </c>
      <c r="G8" s="318">
        <v>11</v>
      </c>
      <c r="H8" s="318">
        <v>13</v>
      </c>
      <c r="I8" s="318">
        <v>13</v>
      </c>
      <c r="J8" s="318">
        <v>13</v>
      </c>
      <c r="K8" s="317" t="str">
        <f>(IF(C8-D7&gt;0,1)+IF(E8-D9&gt;0,1)+IF(F8-D10&gt;0,1)+IF(G8-D11&gt;0,1)+IF(H8-D12&gt;0,1)+IF(I8-D13&gt;0,1)+IF(J8-D14&gt;0,1))&amp;"-"&amp;(IF(C8-D7&lt;0,1)+IF(E8-D9&lt;0,1)+IF(F8-D10&lt;0,1)+IF(G8-D11&lt;0,1)+IF(H8-D12&lt;0,1)+IF(I8-D13&lt;0,1)+IF(J8-D14&lt;0,1))</f>
        <v>6-1</v>
      </c>
      <c r="L8" s="468">
        <v>1</v>
      </c>
      <c r="M8" s="489"/>
      <c r="N8" s="483">
        <f>SUM(AND(W8=W7,C8&gt;D7),AND(W8=W9,E8&gt;D9),AND(W8=W10,F8&gt;D10),AND(W8=W11,G8&gt;D11))</f>
        <v>0</v>
      </c>
      <c r="O8" s="553"/>
      <c r="P8" s="483">
        <f>SUM(AND(U8=U7,C8&gt;D7),AND(U8=U9,E8&gt;D9),AND(U8=U10,F8&gt;D10),AND(U8=U11,G8&gt;D11))</f>
        <v>0</v>
      </c>
      <c r="Q8" s="484" t="str">
        <f>SUM(C8:J8)&amp;"-"&amp;SUM(D7:D14)</f>
        <v>89-66</v>
      </c>
      <c r="R8" s="533">
        <f>C8+E8+F8+G8+H8+I8+J8-D7-D9-D10-D11-D12-D13-D14</f>
        <v>23</v>
      </c>
      <c r="S8" s="485">
        <f>SUM(C8:G8,D7:D11)/SUM(D7:D11)</f>
        <v>2.3157894736842106</v>
      </c>
      <c r="T8" s="320">
        <f t="shared" ref="T8:T14" si="1">VALUE(LEFT(K8,1))</f>
        <v>6</v>
      </c>
      <c r="U8" s="321">
        <f>T8*100000+M8*10000+N8*1000+100*O8</f>
        <v>600000</v>
      </c>
      <c r="V8" s="486">
        <f>U8+P8*0.1+IF(ISNONTEXT(B8),0,0.01)+0.0001*R8</f>
        <v>600000.01230000006</v>
      </c>
      <c r="W8" s="487" t="str">
        <f t="shared" si="0"/>
        <v>6</v>
      </c>
      <c r="X8" s="477"/>
      <c r="Y8" s="477"/>
      <c r="Z8" s="477"/>
      <c r="AA8" s="477"/>
      <c r="AB8" s="477"/>
    </row>
    <row r="9" spans="1:28" x14ac:dyDescent="0.2">
      <c r="A9" s="316">
        <v>3</v>
      </c>
      <c r="B9" s="542" t="s">
        <v>289</v>
      </c>
      <c r="C9" s="545">
        <v>11</v>
      </c>
      <c r="D9" s="492">
        <v>1</v>
      </c>
      <c r="E9" s="319"/>
      <c r="F9" s="468">
        <v>13</v>
      </c>
      <c r="G9" s="545">
        <v>13</v>
      </c>
      <c r="H9" s="318">
        <v>11</v>
      </c>
      <c r="I9" s="318">
        <v>8</v>
      </c>
      <c r="J9" s="468">
        <v>13</v>
      </c>
      <c r="K9" s="317" t="str">
        <f>(IF(C9-E7&gt;0,1)+IF(D9-E8&gt;0,1)+IF(F9-E10&gt;0,1)+IF(G9-E11&gt;0,1)+IF(H9-E12&gt;0,1)+IF(I9-E13&gt;0,1)+IF(J9-E14&gt;0,1))&amp;"-"&amp;(IF(C9-E7&lt;0,1)+IF(D9-E8&lt;0,1)+IF(F9-E10&lt;0,1)+IF(G9-E11&lt;0,1)+IF(H9-E12&lt;0,1)+IF(I9-E13&lt;0,1)+IF(J9-E14&lt;0,1))</f>
        <v>3-4</v>
      </c>
      <c r="L9" s="468">
        <v>5</v>
      </c>
      <c r="M9" s="489">
        <v>1</v>
      </c>
      <c r="N9" s="483">
        <f>SUM(AND(W9=W7,C9&gt;E7),AND(W9=W8,D9&gt;E8),AND(W9=W10,F9&gt;E10),AND(W9=W11,G9&gt;E11))</f>
        <v>1</v>
      </c>
      <c r="O9" s="554">
        <v>5</v>
      </c>
      <c r="P9" s="483">
        <f>SUM(AND(U9=U7,C9&gt;E7),AND(U9=U8,D9&gt;E8),AND(U9=U10,F9&gt;E10),AND(U9=U11,G9&gt;E11))</f>
        <v>0</v>
      </c>
      <c r="Q9" s="484" t="str">
        <f>SUM(C9:J9)&amp;"-"&amp;SUM(E7:E14)</f>
        <v>70-72</v>
      </c>
      <c r="R9" s="533">
        <f>C9+D9+F9+G9+H9+I9+J9-E7-E8-E10-E11-E12-E13-E14</f>
        <v>-2</v>
      </c>
      <c r="S9" s="485">
        <f>SUM(C9:G9,E7:E11)/SUM(E7:E11)</f>
        <v>2.0270270270270272</v>
      </c>
      <c r="T9" s="320">
        <f t="shared" si="1"/>
        <v>3</v>
      </c>
      <c r="U9" s="321">
        <f>T9*100000+M9*10000+N9*1000+100*O9</f>
        <v>311500</v>
      </c>
      <c r="V9" s="486">
        <f>U9+P9*0.1+IF(ISNONTEXT(B9),0,0.01)+0.0001*R9</f>
        <v>311500.0098</v>
      </c>
      <c r="W9" s="487" t="str">
        <f t="shared" si="0"/>
        <v>31</v>
      </c>
      <c r="X9" s="477"/>
      <c r="Y9" s="477"/>
      <c r="Z9" s="477"/>
      <c r="AA9" s="477"/>
      <c r="AB9" s="477"/>
    </row>
    <row r="10" spans="1:28" x14ac:dyDescent="0.2">
      <c r="A10" s="316">
        <v>4</v>
      </c>
      <c r="B10" s="493" t="s">
        <v>288</v>
      </c>
      <c r="C10" s="318">
        <v>13</v>
      </c>
      <c r="D10" s="492">
        <v>12</v>
      </c>
      <c r="E10" s="318">
        <v>5</v>
      </c>
      <c r="F10" s="319"/>
      <c r="G10" s="468">
        <v>13</v>
      </c>
      <c r="H10" s="547">
        <v>13</v>
      </c>
      <c r="I10" s="546">
        <v>11</v>
      </c>
      <c r="J10" s="468">
        <v>13</v>
      </c>
      <c r="K10" s="317" t="str">
        <f>(IF(C10-F7&gt;0,1)+IF(D10-F8&gt;0,1)+IF(E10-F9&gt;0,1)+IF(G10-F11&gt;0,1)+IF(H10-F12&gt;0,1)+IF(I10-F13&gt;0,1)+IF(J10-F14&gt;0,1))&amp;"-"&amp;(IF(C10-F7&lt;0,1)+IF(D10-F8&lt;0,1)+IF(E10-F9&lt;0,1)+IF(G10-F11&lt;0,1)+IF(H10-F12&lt;0,1)+IF(I10-F13&lt;0,1)+IF(J10-F14&lt;0,1))</f>
        <v>4-3</v>
      </c>
      <c r="L10" s="468">
        <v>2</v>
      </c>
      <c r="M10" s="549">
        <v>1</v>
      </c>
      <c r="N10" s="483">
        <f>SUM(AND(W10=W7,C10&gt;F7),AND(W10=W8,D10&gt;F8),AND(W10=W9,E10&gt;F9),AND(W10=W11,G10&gt;F11))</f>
        <v>0</v>
      </c>
      <c r="O10" s="555">
        <v>4</v>
      </c>
      <c r="P10" s="483">
        <f>SUM(AND(U10=U7,C10&gt;F7),AND(U10=U8,D10&gt;F8),AND(U10=U9,E10&gt;F9),AND(U10=U11,G10&gt;F11))</f>
        <v>0</v>
      </c>
      <c r="Q10" s="484" t="str">
        <f>SUM(C10:J10)&amp;"-"&amp;SUM(F7:F14)</f>
        <v>80-70</v>
      </c>
      <c r="R10" s="533">
        <f>C10+D10+E10+G10+H10+I10+J10-F7-F8-F9-F11-F12-F13-F14</f>
        <v>10</v>
      </c>
      <c r="S10" s="485">
        <f>SUM(C10:G10,F7:F11)/SUM(F7:F11)</f>
        <v>2.0750000000000002</v>
      </c>
      <c r="T10" s="320">
        <f t="shared" si="1"/>
        <v>4</v>
      </c>
      <c r="U10" s="321">
        <f>T10*100000+M10*10000+N10*1000+100*O10</f>
        <v>410400</v>
      </c>
      <c r="V10" s="486">
        <f>U10+P10*0.1+IF(ISNONTEXT(B10),0,0.01)+0.0001*R10</f>
        <v>410400.011</v>
      </c>
      <c r="W10" s="487" t="str">
        <f t="shared" si="0"/>
        <v>41</v>
      </c>
      <c r="X10" s="477"/>
      <c r="Y10" s="477"/>
      <c r="Z10" s="477"/>
      <c r="AA10" s="477"/>
      <c r="AB10" s="477"/>
    </row>
    <row r="11" spans="1:28" x14ac:dyDescent="0.2">
      <c r="A11" s="316">
        <v>5</v>
      </c>
      <c r="B11" s="542" t="s">
        <v>292</v>
      </c>
      <c r="C11" s="545">
        <v>13</v>
      </c>
      <c r="D11" s="318">
        <v>13</v>
      </c>
      <c r="E11" s="545">
        <v>6</v>
      </c>
      <c r="F11" s="318">
        <v>2</v>
      </c>
      <c r="G11" s="319"/>
      <c r="H11" s="318">
        <v>6</v>
      </c>
      <c r="I11" s="468">
        <v>13</v>
      </c>
      <c r="J11" s="318">
        <v>8</v>
      </c>
      <c r="K11" s="317" t="str">
        <f>(IF(C11-G7&gt;0,1)+IF(D11-G8&gt;0,1)+IF(E11-G9&gt;0,1)+IF(F11-G10&gt;0,1)+IF(H11-G12&gt;0,1)+IF(I11-G13&gt;0,1)+IF(J11-G14&gt;0,1))&amp;"-"&amp;(IF(C11-G7&lt;0,1)+IF(D11-G8&lt;0,1)+IF(E11-G9&lt;0,1)+IF(F11-G10&lt;0,1)+IF(H11-G12&lt;0,1)+IF(I11-G13&lt;0,1)+IF(J11-G14&lt;0,1))</f>
        <v>3-4</v>
      </c>
      <c r="L11" s="468">
        <v>6</v>
      </c>
      <c r="M11" s="489">
        <v>1</v>
      </c>
      <c r="N11" s="483">
        <f>SUM(AND(W11=W7,C11&gt;G7),AND(W11=W8,D11&gt;G8),AND(W11=W9,E11&gt;G9),AND(W11=W10,F11&gt;G10))</f>
        <v>1</v>
      </c>
      <c r="O11" s="554">
        <v>-1</v>
      </c>
      <c r="P11" s="483">
        <f>SUM(AND(U11=U7,C11&gt;G7),AND(U11=U8,D11&gt;G8),AND(U11=U9,E11&gt;G9),AND(U11=U10,F11&gt;G10))</f>
        <v>0</v>
      </c>
      <c r="Q11" s="484" t="str">
        <f>SUM(C11:J11)&amp;"-"&amp;SUM(G7:G14)</f>
        <v>61-75</v>
      </c>
      <c r="R11" s="533">
        <f>C11+D11+E11+F11+H11+I11+J11-G7-G8-G9-G10-G12-G13-G14</f>
        <v>-14</v>
      </c>
      <c r="S11" s="485">
        <f>SUM(C11:G11,G7:G11)/SUM(G7:G11)</f>
        <v>1.7727272727272727</v>
      </c>
      <c r="T11" s="320">
        <f t="shared" si="1"/>
        <v>3</v>
      </c>
      <c r="U11" s="321">
        <f>T11*100000+M11*10000+N11*1000+100*O11</f>
        <v>310900</v>
      </c>
      <c r="V11" s="486">
        <f>U11+P11*0.1+IF(ISNONTEXT(B11),0,0.01)+0.0001*R11</f>
        <v>310900.0086</v>
      </c>
      <c r="W11" s="487" t="str">
        <f t="shared" si="0"/>
        <v>31</v>
      </c>
      <c r="X11" s="477"/>
      <c r="Y11" s="477"/>
      <c r="Z11" s="477"/>
      <c r="AA11" s="477"/>
      <c r="AB11" s="477"/>
    </row>
    <row r="12" spans="1:28" x14ac:dyDescent="0.2">
      <c r="A12" s="316">
        <v>6</v>
      </c>
      <c r="B12" s="488" t="s">
        <v>293</v>
      </c>
      <c r="C12" s="318">
        <v>9</v>
      </c>
      <c r="D12" s="492">
        <v>7</v>
      </c>
      <c r="E12" s="468">
        <v>13</v>
      </c>
      <c r="F12" s="546">
        <v>7</v>
      </c>
      <c r="G12" s="318">
        <v>13</v>
      </c>
      <c r="H12" s="319"/>
      <c r="I12" s="546">
        <v>13</v>
      </c>
      <c r="J12" s="468">
        <v>13</v>
      </c>
      <c r="K12" s="317" t="str">
        <f>(IF(C12-H7&gt;0,1)+IF(D12-H8&gt;0,1)+IF(E12-H9&gt;0,1)+IF(F12-H10&gt;0,1)+IF(G12-H11&gt;0,1)+IF(I12-H13&gt;0,1)+IF(J12-H14&gt;0,1))&amp;"-"&amp;(IF(C12-H7&lt;0,1)+IF(D12-H8&lt;0,1)+IF(E12-H9&lt;0,1)+IF(F12-H10&lt;0,1)+IF(G12-H11&lt;0,1)+IF(I12-H13&lt;0,1)+IF(J12-H14&lt;0,1))</f>
        <v>4-3</v>
      </c>
      <c r="L12" s="468">
        <v>3</v>
      </c>
      <c r="M12" s="550">
        <v>1</v>
      </c>
      <c r="O12" s="556">
        <v>2</v>
      </c>
      <c r="Q12" s="484" t="str">
        <f>SUM(C12:J12)&amp;"-"&amp;SUM(H7:H14)</f>
        <v>75-73</v>
      </c>
      <c r="R12" s="548">
        <f>C12+D12+E12+F12+G12+I12+J12-H7-H8-H9-H10-H11-H13-H14</f>
        <v>2</v>
      </c>
      <c r="T12" s="320">
        <f t="shared" si="1"/>
        <v>4</v>
      </c>
      <c r="W12" s="487" t="str">
        <f t="shared" si="0"/>
        <v>41</v>
      </c>
      <c r="X12" s="477"/>
      <c r="Y12" s="477"/>
      <c r="Z12" s="477"/>
      <c r="AA12" s="477"/>
      <c r="AB12" s="477"/>
    </row>
    <row r="13" spans="1:28" x14ac:dyDescent="0.2">
      <c r="A13" s="316">
        <v>7</v>
      </c>
      <c r="B13" s="493" t="s">
        <v>295</v>
      </c>
      <c r="C13" s="318">
        <v>13</v>
      </c>
      <c r="D13" s="492">
        <v>9</v>
      </c>
      <c r="E13" s="468">
        <v>13</v>
      </c>
      <c r="F13" s="547">
        <v>13</v>
      </c>
      <c r="G13" s="318">
        <v>5</v>
      </c>
      <c r="H13" s="546">
        <v>12</v>
      </c>
      <c r="I13" s="319"/>
      <c r="J13" s="468">
        <v>13</v>
      </c>
      <c r="K13" s="317" t="str">
        <f>(IF(C13-I7&gt;0,1)+IF(D13-I8&gt;0,1)+IF(E13-I9&gt;0,1)+IF(F13-I10&gt;0,1)+IF(G13-I11&gt;0,1)+IF(H13-I12&gt;0,1)+IF(J13-I14&gt;0,1))&amp;"-"&amp;(IF(C13-I7&lt;0,1)+IF(D13-I8&lt;0,1)+IF(E13-I9&lt;0,1)+IF(F13-I10&lt;0,1)+IF(G13-I11&lt;0,1)+IF(H13-I12&lt;0,1)+IF(J13-I14&lt;0,1))</f>
        <v>4-3</v>
      </c>
      <c r="L13" s="468">
        <v>4</v>
      </c>
      <c r="M13" s="550">
        <v>1</v>
      </c>
      <c r="O13" s="556">
        <v>-6</v>
      </c>
      <c r="Q13" s="484" t="str">
        <f>SUM(C13:J13)&amp;"-"&amp;SUM(I7:I14)</f>
        <v>78-73</v>
      </c>
      <c r="R13" s="548">
        <f>C13+D13+E13+F13+G13+H13+J13-I7-I8-I9-I10-I11-I12-I14</f>
        <v>5</v>
      </c>
      <c r="T13" s="320">
        <f t="shared" si="1"/>
        <v>4</v>
      </c>
      <c r="W13" s="487" t="str">
        <f t="shared" si="0"/>
        <v>41</v>
      </c>
      <c r="X13" s="477"/>
      <c r="Y13" s="477"/>
      <c r="Z13" s="477"/>
      <c r="AA13" s="477"/>
      <c r="AB13" s="477"/>
    </row>
    <row r="14" spans="1:28" x14ac:dyDescent="0.2">
      <c r="A14" s="316">
        <v>8</v>
      </c>
      <c r="B14" s="313" t="s">
        <v>294</v>
      </c>
      <c r="C14" s="318">
        <v>8</v>
      </c>
      <c r="D14" s="318">
        <v>12</v>
      </c>
      <c r="E14" s="318">
        <v>9</v>
      </c>
      <c r="F14" s="318">
        <v>10</v>
      </c>
      <c r="G14" s="318">
        <v>13</v>
      </c>
      <c r="H14" s="318">
        <v>5</v>
      </c>
      <c r="I14" s="318">
        <v>8</v>
      </c>
      <c r="J14" s="319"/>
      <c r="K14" s="317" t="str">
        <f>(IF(C14-J7&gt;0,1)+IF(D14-J8&gt;0,1)+IF(E14-J9&gt;0,1)+IF(F14-J10&gt;0,1)+IF(G14-J11&gt;0,1)+IF(H14-J12&gt;0,1)+IF(I14-J13&gt;0,1))&amp;"-"&amp;(IF(C14-J7&lt;0,1)+IF(D14-J8&lt;0,1)+IF(E14-J9&lt;0,1)+IF(F14-J10&lt;0,1)+IF(G14-J11&lt;0,1)+IF(H14-J12&lt;0,1)+IF(I14-J13&lt;0,1))</f>
        <v>1-6</v>
      </c>
      <c r="L14" s="468">
        <v>8</v>
      </c>
      <c r="M14" s="551"/>
      <c r="O14" s="557"/>
      <c r="Q14" s="484" t="str">
        <f>SUM(C14:J14)&amp;"-"&amp;SUM(J7:J14)</f>
        <v>65-86</v>
      </c>
      <c r="R14" s="548">
        <f>C14+D14+E14+F14+G14+H14+I14-J7-J8-J9-J10-J11-J12-J13</f>
        <v>-21</v>
      </c>
      <c r="T14" s="320">
        <f t="shared" si="1"/>
        <v>1</v>
      </c>
      <c r="X14" s="477"/>
      <c r="Y14" s="477"/>
      <c r="Z14" s="477"/>
      <c r="AA14" s="477"/>
      <c r="AB14" s="477"/>
    </row>
    <row r="15" spans="1:28" hidden="1" x14ac:dyDescent="0.2">
      <c r="V15" s="477"/>
      <c r="W15" s="477"/>
      <c r="X15" s="477"/>
      <c r="Y15" s="477"/>
      <c r="Z15" s="477"/>
      <c r="AA15" s="477"/>
      <c r="AB15" s="477"/>
    </row>
    <row r="16" spans="1:28" hidden="1" x14ac:dyDescent="0.2">
      <c r="B16" s="544" t="s">
        <v>171</v>
      </c>
      <c r="V16" s="477"/>
      <c r="W16" s="477"/>
      <c r="X16" s="477"/>
      <c r="Y16" s="477"/>
      <c r="Z16" s="477"/>
      <c r="AA16" s="477"/>
      <c r="AB16" s="477"/>
    </row>
    <row r="17" spans="2:28" hidden="1" x14ac:dyDescent="0.2">
      <c r="B17" s="544" t="s">
        <v>174</v>
      </c>
      <c r="V17" s="477"/>
      <c r="W17" s="477"/>
      <c r="X17" s="477"/>
      <c r="Y17" s="477"/>
      <c r="Z17" s="477"/>
      <c r="AA17" s="477"/>
      <c r="AB17" s="477"/>
    </row>
    <row r="18" spans="2:28" hidden="1" x14ac:dyDescent="0.2">
      <c r="B18" s="544" t="s">
        <v>177</v>
      </c>
      <c r="V18" s="477"/>
      <c r="W18" s="477"/>
      <c r="X18" s="477"/>
      <c r="Y18" s="477"/>
      <c r="Z18" s="477"/>
      <c r="AA18" s="477"/>
      <c r="AB18" s="477"/>
    </row>
    <row r="19" spans="2:28" hidden="1" x14ac:dyDescent="0.2">
      <c r="B19" s="544" t="s">
        <v>180</v>
      </c>
      <c r="V19" s="477"/>
      <c r="W19" s="477"/>
      <c r="X19" s="477"/>
      <c r="Y19" s="477"/>
      <c r="Z19" s="477"/>
      <c r="AA19" s="477"/>
      <c r="AB19" s="477"/>
    </row>
    <row r="20" spans="2:28" hidden="1" x14ac:dyDescent="0.2">
      <c r="B20" s="544" t="s">
        <v>182</v>
      </c>
      <c r="V20" s="477"/>
      <c r="W20" s="477"/>
      <c r="X20" s="477"/>
      <c r="Y20" s="477"/>
      <c r="Z20" s="477"/>
      <c r="AA20" s="477"/>
      <c r="AB20" s="477"/>
    </row>
    <row r="21" spans="2:28" hidden="1" x14ac:dyDescent="0.2">
      <c r="B21" s="544" t="s">
        <v>296</v>
      </c>
      <c r="V21" s="477"/>
      <c r="W21" s="477"/>
      <c r="X21" s="477"/>
      <c r="Y21" s="477"/>
      <c r="Z21" s="477"/>
      <c r="AA21" s="477"/>
      <c r="AB21" s="477"/>
    </row>
    <row r="22" spans="2:28" hidden="1" x14ac:dyDescent="0.2">
      <c r="B22" s="544" t="s">
        <v>297</v>
      </c>
      <c r="V22" s="477"/>
      <c r="W22" s="477"/>
      <c r="X22" s="477"/>
      <c r="Y22" s="477"/>
      <c r="Z22" s="477"/>
      <c r="AA22" s="477"/>
      <c r="AB22" s="477"/>
    </row>
    <row r="23" spans="2:28" hidden="1" x14ac:dyDescent="0.2">
      <c r="B23" s="544" t="s">
        <v>298</v>
      </c>
      <c r="V23" s="477"/>
      <c r="W23" s="477"/>
      <c r="X23" s="477"/>
      <c r="Y23" s="477"/>
      <c r="Z23" s="477"/>
      <c r="AA23" s="477"/>
      <c r="AB23" s="477"/>
    </row>
    <row r="24" spans="2:28" hidden="1" x14ac:dyDescent="0.2">
      <c r="V24" s="477"/>
      <c r="W24" s="477"/>
      <c r="X24" s="477"/>
      <c r="Y24" s="477"/>
      <c r="Z24" s="477"/>
      <c r="AA24" s="477"/>
      <c r="AB24" s="477"/>
    </row>
    <row r="25" spans="2:28" hidden="1" x14ac:dyDescent="0.2">
      <c r="V25" s="477"/>
      <c r="W25" s="477"/>
      <c r="X25" s="477"/>
      <c r="Y25" s="477"/>
      <c r="Z25" s="477"/>
      <c r="AA25" s="477"/>
      <c r="AB25" s="477"/>
    </row>
    <row r="26" spans="2:28" hidden="1" x14ac:dyDescent="0.2">
      <c r="V26" s="477"/>
      <c r="W26" s="477"/>
      <c r="X26" s="477"/>
      <c r="Y26" s="477"/>
      <c r="Z26" s="477"/>
      <c r="AA26" s="477"/>
      <c r="AB26" s="477"/>
    </row>
    <row r="27" spans="2:28" hidden="1" x14ac:dyDescent="0.2">
      <c r="V27" s="477"/>
      <c r="W27" s="477"/>
      <c r="X27" s="477"/>
      <c r="Y27" s="477"/>
      <c r="Z27" s="477"/>
      <c r="AA27" s="477"/>
      <c r="AB27" s="477"/>
    </row>
    <row r="28" spans="2:28" hidden="1" x14ac:dyDescent="0.2">
      <c r="V28" s="477"/>
      <c r="W28" s="477"/>
      <c r="X28" s="477"/>
      <c r="Y28" s="477"/>
      <c r="Z28" s="477"/>
      <c r="AA28" s="477"/>
      <c r="AB28" s="477"/>
    </row>
    <row r="29" spans="2:28" hidden="1" x14ac:dyDescent="0.2">
      <c r="V29" s="477"/>
      <c r="W29" s="477"/>
      <c r="X29" s="477"/>
      <c r="Y29" s="477"/>
      <c r="Z29" s="477"/>
      <c r="AA29" s="477"/>
      <c r="AB29" s="477"/>
    </row>
    <row r="30" spans="2:28" hidden="1" x14ac:dyDescent="0.2">
      <c r="V30" s="477"/>
      <c r="W30" s="477"/>
      <c r="X30" s="477"/>
      <c r="Y30" s="477"/>
      <c r="Z30" s="477"/>
      <c r="AA30" s="477"/>
      <c r="AB30" s="477"/>
    </row>
    <row r="31" spans="2:28" hidden="1" x14ac:dyDescent="0.2">
      <c r="V31" s="477"/>
      <c r="W31" s="477"/>
      <c r="X31" s="477"/>
      <c r="Y31" s="477"/>
      <c r="Z31" s="477"/>
      <c r="AA31" s="477"/>
      <c r="AB31" s="477"/>
    </row>
    <row r="32" spans="2:28"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spans="1:21" hidden="1" x14ac:dyDescent="0.2"/>
    <row r="50" spans="1:21" hidden="1" x14ac:dyDescent="0.2"/>
    <row r="51" spans="1:21" hidden="1" x14ac:dyDescent="0.2"/>
    <row r="52" spans="1:21" hidden="1" x14ac:dyDescent="0.2"/>
    <row r="53" spans="1:21" hidden="1" x14ac:dyDescent="0.2"/>
    <row r="54" spans="1:21" hidden="1" x14ac:dyDescent="0.2"/>
    <row r="55" spans="1:21" hidden="1" x14ac:dyDescent="0.2"/>
    <row r="56" spans="1:21" hidden="1" x14ac:dyDescent="0.2"/>
    <row r="57" spans="1:21" hidden="1" x14ac:dyDescent="0.2"/>
    <row r="58" spans="1:21" hidden="1" x14ac:dyDescent="0.2"/>
    <row r="59" spans="1:21" hidden="1" x14ac:dyDescent="0.2"/>
    <row r="60" spans="1:21" hidden="1" x14ac:dyDescent="0.2"/>
    <row r="61" spans="1:21" hidden="1" x14ac:dyDescent="0.2"/>
    <row r="62" spans="1:21" hidden="1" x14ac:dyDescent="0.2">
      <c r="A62" s="79"/>
      <c r="E62" s="79"/>
      <c r="F62" s="62"/>
      <c r="G62" s="79"/>
      <c r="H62" s="79"/>
      <c r="I62" s="79"/>
      <c r="J62" s="79"/>
      <c r="K62" s="62"/>
      <c r="L62" s="79"/>
      <c r="M62" s="62"/>
      <c r="N62" s="79"/>
      <c r="O62" s="299"/>
      <c r="P62" s="62"/>
      <c r="Q62" s="62"/>
      <c r="R62" s="62"/>
      <c r="S62" s="62"/>
      <c r="T62" s="62"/>
      <c r="U62" s="62"/>
    </row>
    <row r="63" spans="1:21" hidden="1" x14ac:dyDescent="0.2">
      <c r="A63" s="79"/>
      <c r="E63" s="79"/>
      <c r="F63" s="62"/>
      <c r="G63" s="79"/>
      <c r="H63" s="79"/>
      <c r="I63" s="79"/>
      <c r="J63" s="79"/>
      <c r="K63" s="62"/>
      <c r="L63" s="79"/>
      <c r="M63" s="62"/>
      <c r="N63" s="79"/>
      <c r="O63" s="299"/>
      <c r="P63" s="62"/>
      <c r="Q63" s="62"/>
      <c r="R63" s="62"/>
      <c r="S63" s="62"/>
      <c r="T63" s="62"/>
      <c r="U63" s="62"/>
    </row>
    <row r="64" spans="1:21" hidden="1" x14ac:dyDescent="0.2">
      <c r="A64" s="79"/>
      <c r="E64" s="79"/>
      <c r="F64" s="62"/>
      <c r="G64" s="79"/>
      <c r="H64" s="79"/>
      <c r="I64" s="79"/>
      <c r="J64" s="79"/>
      <c r="K64" s="62"/>
      <c r="L64" s="79"/>
      <c r="M64" s="62"/>
      <c r="N64" s="79"/>
      <c r="O64" s="299"/>
      <c r="P64" s="62"/>
      <c r="Q64" s="62"/>
      <c r="R64" s="62"/>
      <c r="S64" s="62"/>
      <c r="T64" s="62"/>
      <c r="U64" s="62"/>
    </row>
    <row r="65" spans="1:21" hidden="1" x14ac:dyDescent="0.2">
      <c r="A65" s="79"/>
      <c r="E65" s="79"/>
      <c r="F65" s="79"/>
      <c r="G65" s="79"/>
      <c r="H65" s="79"/>
      <c r="I65" s="79"/>
      <c r="J65" s="79"/>
      <c r="K65" s="62"/>
      <c r="L65" s="79"/>
      <c r="M65" s="62"/>
      <c r="N65" s="79"/>
      <c r="O65" s="299"/>
      <c r="P65" s="62"/>
      <c r="Q65" s="62"/>
      <c r="R65" s="62"/>
      <c r="S65" s="62"/>
      <c r="T65" s="62"/>
      <c r="U65" s="62"/>
    </row>
    <row r="66" spans="1:21" hidden="1" x14ac:dyDescent="0.2">
      <c r="A66" s="79"/>
      <c r="E66" s="79"/>
      <c r="F66" s="79"/>
      <c r="G66" s="79"/>
      <c r="H66" s="79"/>
      <c r="I66" s="79"/>
      <c r="J66" s="79"/>
      <c r="K66" s="62"/>
      <c r="L66" s="79"/>
      <c r="M66" s="62"/>
      <c r="N66" s="79"/>
      <c r="O66" s="299"/>
      <c r="P66" s="62"/>
      <c r="Q66" s="62"/>
      <c r="R66" s="62"/>
      <c r="S66" s="62"/>
      <c r="T66" s="62"/>
      <c r="U66" s="62"/>
    </row>
    <row r="67" spans="1:21" hidden="1" x14ac:dyDescent="0.2">
      <c r="A67" s="79"/>
      <c r="E67" s="79"/>
      <c r="F67" s="79"/>
      <c r="G67" s="79"/>
      <c r="H67" s="79"/>
      <c r="I67" s="79"/>
      <c r="J67" s="79"/>
      <c r="K67" s="62"/>
      <c r="L67" s="79"/>
      <c r="M67" s="62"/>
      <c r="N67" s="79"/>
      <c r="O67" s="299"/>
      <c r="P67" s="62"/>
      <c r="Q67" s="62"/>
      <c r="R67" s="62"/>
      <c r="S67" s="62"/>
      <c r="T67" s="62"/>
      <c r="U67" s="62"/>
    </row>
    <row r="68" spans="1:21" hidden="1" x14ac:dyDescent="0.2">
      <c r="A68" s="79"/>
      <c r="E68" s="79"/>
      <c r="F68" s="79"/>
      <c r="G68" s="79"/>
      <c r="H68" s="79"/>
      <c r="I68" s="79"/>
      <c r="J68" s="79"/>
      <c r="K68" s="62"/>
      <c r="L68" s="79"/>
      <c r="M68" s="62"/>
      <c r="N68" s="79"/>
      <c r="O68" s="299"/>
      <c r="P68" s="62"/>
      <c r="Q68" s="62"/>
      <c r="R68" s="62"/>
      <c r="S68" s="62"/>
      <c r="T68" s="62"/>
      <c r="U68" s="62"/>
    </row>
    <row r="69" spans="1:21" hidden="1" x14ac:dyDescent="0.2">
      <c r="A69" s="79"/>
      <c r="B69" s="330"/>
      <c r="C69" s="140"/>
      <c r="D69" s="140"/>
      <c r="E69" s="79"/>
      <c r="F69" s="79"/>
      <c r="G69" s="79"/>
      <c r="H69" s="79"/>
      <c r="I69" s="79"/>
      <c r="J69" s="79"/>
      <c r="K69" s="62"/>
      <c r="L69" s="79"/>
      <c r="M69" s="62"/>
      <c r="N69" s="79"/>
      <c r="O69" s="299"/>
      <c r="P69" s="62"/>
      <c r="Q69" s="62"/>
      <c r="R69" s="62"/>
      <c r="S69" s="62"/>
      <c r="T69" s="62"/>
      <c r="U69" s="62"/>
    </row>
    <row r="70" spans="1:21" hidden="1" x14ac:dyDescent="0.2">
      <c r="A70" s="79"/>
      <c r="E70" s="79"/>
      <c r="F70" s="62"/>
      <c r="G70" s="62"/>
      <c r="H70" s="79"/>
      <c r="I70" s="79"/>
      <c r="J70" s="79"/>
      <c r="K70" s="62"/>
      <c r="L70" s="79"/>
      <c r="M70" s="62"/>
      <c r="N70" s="79"/>
      <c r="O70" s="299"/>
      <c r="P70" s="62"/>
      <c r="Q70" s="62"/>
      <c r="R70" s="62"/>
      <c r="S70" s="62"/>
      <c r="T70" s="62"/>
      <c r="U70" s="62"/>
    </row>
    <row r="71" spans="1:21" hidden="1" x14ac:dyDescent="0.2">
      <c r="A71" s="79"/>
      <c r="E71" s="79"/>
      <c r="F71" s="62"/>
      <c r="G71" s="62"/>
      <c r="H71" s="62"/>
      <c r="I71" s="79"/>
      <c r="J71" s="79"/>
      <c r="K71" s="62"/>
      <c r="L71" s="79"/>
      <c r="M71" s="62"/>
      <c r="N71" s="79"/>
      <c r="O71" s="299"/>
      <c r="P71" s="62"/>
      <c r="Q71" s="62"/>
      <c r="R71" s="62"/>
      <c r="S71" s="62"/>
      <c r="T71" s="62"/>
      <c r="U71" s="62"/>
    </row>
    <row r="72" spans="1:21" hidden="1" x14ac:dyDescent="0.2">
      <c r="A72" s="79"/>
      <c r="E72" s="79"/>
      <c r="F72" s="62"/>
      <c r="G72" s="62"/>
      <c r="H72" s="79"/>
      <c r="I72" s="79"/>
      <c r="J72" s="79"/>
      <c r="K72" s="62"/>
      <c r="L72" s="79"/>
      <c r="M72" s="62"/>
      <c r="N72" s="79"/>
      <c r="O72" s="299"/>
      <c r="P72" s="62"/>
      <c r="Q72" s="62"/>
      <c r="R72" s="62"/>
      <c r="S72" s="62"/>
      <c r="T72" s="62"/>
      <c r="U72" s="62"/>
    </row>
    <row r="73" spans="1:21" hidden="1" x14ac:dyDescent="0.2">
      <c r="A73" s="79"/>
      <c r="E73" s="79"/>
      <c r="F73" s="62"/>
      <c r="G73" s="62"/>
      <c r="H73" s="79"/>
      <c r="I73" s="79"/>
      <c r="J73" s="79"/>
      <c r="K73" s="62"/>
      <c r="L73" s="79"/>
      <c r="M73" s="62"/>
      <c r="N73" s="79"/>
      <c r="O73" s="299"/>
      <c r="P73" s="62"/>
      <c r="Q73" s="62"/>
      <c r="R73" s="62"/>
      <c r="S73" s="62"/>
      <c r="T73" s="62"/>
      <c r="U73" s="62"/>
    </row>
    <row r="74" spans="1:21" hidden="1" x14ac:dyDescent="0.2">
      <c r="A74" s="79"/>
      <c r="E74" s="79"/>
      <c r="F74" s="62"/>
      <c r="G74" s="62"/>
      <c r="H74" s="79"/>
      <c r="I74" s="79"/>
      <c r="J74" s="79"/>
      <c r="K74" s="62"/>
      <c r="L74" s="79"/>
      <c r="M74" s="62"/>
      <c r="N74" s="79"/>
      <c r="O74" s="299"/>
      <c r="P74" s="62"/>
      <c r="Q74" s="62"/>
      <c r="R74" s="62"/>
      <c r="S74" s="62"/>
      <c r="T74" s="62"/>
      <c r="U74" s="62"/>
    </row>
    <row r="75" spans="1:21" hidden="1" x14ac:dyDescent="0.2"/>
    <row r="76" spans="1:21" hidden="1" x14ac:dyDescent="0.2"/>
    <row r="77" spans="1:21" hidden="1" x14ac:dyDescent="0.2"/>
    <row r="78" spans="1:21" hidden="1" x14ac:dyDescent="0.2"/>
    <row r="79" spans="1:21" hidden="1" x14ac:dyDescent="0.2"/>
    <row r="80" spans="1:21"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spans="1:9" hidden="1" x14ac:dyDescent="0.2"/>
    <row r="98" spans="1:9" hidden="1" x14ac:dyDescent="0.2"/>
    <row r="100" spans="1:9" x14ac:dyDescent="0.2">
      <c r="A100" s="286" t="s">
        <v>192</v>
      </c>
      <c r="H100" s="269"/>
      <c r="I100" s="151"/>
    </row>
    <row r="101" spans="1:9" x14ac:dyDescent="0.2">
      <c r="H101" s="269"/>
      <c r="I101" s="151"/>
    </row>
    <row r="102" spans="1:9" ht="13.5" thickBot="1" x14ac:dyDescent="0.25">
      <c r="H102" s="452" t="str">
        <f>IFERROR(INDEX(B$1:B$100,MATCH(1,L$1:L$100,0)),"")</f>
        <v>Kaspar Mänd (Toila)</v>
      </c>
      <c r="I102" s="269"/>
    </row>
    <row r="103" spans="1:9" x14ac:dyDescent="0.2">
      <c r="H103" s="290" t="s">
        <v>185</v>
      </c>
      <c r="I103" s="453"/>
    </row>
    <row r="104" spans="1:9" x14ac:dyDescent="0.2">
      <c r="H104" s="269"/>
      <c r="I104" s="269"/>
    </row>
    <row r="105" spans="1:9" ht="13.5" thickBot="1" x14ac:dyDescent="0.25">
      <c r="H105" s="452" t="str">
        <f>IFERROR(INDEX(B$1:B$100,MATCH(2,L$1:L$100,0)),"")</f>
        <v>Marko Tarassov (Konju)</v>
      </c>
      <c r="I105" s="454"/>
    </row>
    <row r="106" spans="1:9" x14ac:dyDescent="0.2">
      <c r="H106" s="290" t="s">
        <v>186</v>
      </c>
      <c r="I106" s="287"/>
    </row>
    <row r="107" spans="1:9" x14ac:dyDescent="0.2">
      <c r="H107" s="269"/>
      <c r="I107" s="269"/>
    </row>
    <row r="108" spans="1:9" ht="13.5" thickBot="1" x14ac:dyDescent="0.25">
      <c r="H108" s="452" t="str">
        <f>IFERROR(INDEX(B$1:B$100,MATCH(3,L$1:L$100,0)),"")</f>
        <v>Daniel Lehtsaar (Tartu)</v>
      </c>
      <c r="I108" s="454"/>
    </row>
    <row r="109" spans="1:9" x14ac:dyDescent="0.2">
      <c r="H109" s="296" t="s">
        <v>187</v>
      </c>
      <c r="I109" s="287"/>
    </row>
    <row r="110" spans="1:9" x14ac:dyDescent="0.2">
      <c r="H110" s="287"/>
      <c r="I110" s="287"/>
    </row>
    <row r="111" spans="1:9" ht="13.5" thickBot="1" x14ac:dyDescent="0.25">
      <c r="H111" s="452" t="str">
        <f>IFERROR(INDEX(B$1:B$100,MATCH(4,L$1:L$100,0)),"")</f>
        <v>Merilyn-Žanette Järveots (Tartu)</v>
      </c>
      <c r="I111" s="454"/>
    </row>
    <row r="112" spans="1:9" x14ac:dyDescent="0.2">
      <c r="H112" s="268" t="s">
        <v>188</v>
      </c>
      <c r="I112" s="269"/>
    </row>
    <row r="113" spans="8:9" x14ac:dyDescent="0.2">
      <c r="H113" s="269"/>
      <c r="I113" s="269"/>
    </row>
    <row r="114" spans="8:9" ht="13.5" thickBot="1" x14ac:dyDescent="0.25">
      <c r="H114" s="452" t="str">
        <f>IFERROR(INDEX(B$1:B$100,MATCH(5,L$1:L$100,0)),"")</f>
        <v>Veroonika Mendes (Jõhvi)</v>
      </c>
      <c r="I114" s="269"/>
    </row>
    <row r="115" spans="8:9" x14ac:dyDescent="0.2">
      <c r="H115" s="290" t="s">
        <v>189</v>
      </c>
      <c r="I115" s="453"/>
    </row>
    <row r="116" spans="8:9" x14ac:dyDescent="0.2">
      <c r="H116" s="269"/>
      <c r="I116" s="269"/>
    </row>
    <row r="117" spans="8:9" ht="13.5" thickBot="1" x14ac:dyDescent="0.25">
      <c r="H117" s="452" t="str">
        <f>IFERROR(INDEX(B$1:B$100,MATCH(6,L$1:L$100,0)),"")</f>
        <v>Aurelia Meldre (Tartu)</v>
      </c>
      <c r="I117" s="454"/>
    </row>
    <row r="118" spans="8:9" x14ac:dyDescent="0.2">
      <c r="H118" s="290" t="s">
        <v>190</v>
      </c>
      <c r="I118" s="287"/>
    </row>
    <row r="119" spans="8:9" x14ac:dyDescent="0.2">
      <c r="H119" s="287"/>
      <c r="I119" s="287"/>
    </row>
    <row r="120" spans="8:9" ht="13.5" thickBot="1" x14ac:dyDescent="0.25">
      <c r="H120" s="452" t="str">
        <f>IFERROR(INDEX(B$1:B$100,MATCH(7,L$1:L$100,0)),"")</f>
        <v>Kristiin-Marleen Neiland (Voka)</v>
      </c>
      <c r="I120" s="454"/>
    </row>
    <row r="121" spans="8:9" x14ac:dyDescent="0.2">
      <c r="H121" s="290" t="s">
        <v>201</v>
      </c>
      <c r="I121" s="287"/>
    </row>
    <row r="123" spans="8:9" ht="13.5" thickBot="1" x14ac:dyDescent="0.25">
      <c r="H123" s="452" t="str">
        <f>IFERROR(INDEX(B$1:B$100,MATCH(8,L$1:L$100,0)),"")</f>
        <v>Ksenija Matšneva (Voka)</v>
      </c>
      <c r="I123" s="454"/>
    </row>
    <row r="124" spans="8:9" x14ac:dyDescent="0.2">
      <c r="H124" s="290" t="s">
        <v>202</v>
      </c>
      <c r="I124" s="79"/>
    </row>
    <row r="125" spans="8:9" hidden="1" x14ac:dyDescent="0.2"/>
    <row r="126" spans="8:9" hidden="1" x14ac:dyDescent="0.2"/>
    <row r="127" spans="8:9" hidden="1" x14ac:dyDescent="0.2"/>
    <row r="128" spans="8:9"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3" hidden="1" x14ac:dyDescent="0.2"/>
    <row r="290" spans="1:3" hidden="1" x14ac:dyDescent="0.2"/>
    <row r="291" spans="1:3" hidden="1" x14ac:dyDescent="0.2"/>
    <row r="292" spans="1:3" hidden="1" x14ac:dyDescent="0.2"/>
    <row r="293" spans="1:3" hidden="1" x14ac:dyDescent="0.2"/>
    <row r="294" spans="1:3" hidden="1" x14ac:dyDescent="0.2"/>
    <row r="295" spans="1:3" hidden="1" x14ac:dyDescent="0.2"/>
    <row r="296" spans="1:3" hidden="1" x14ac:dyDescent="0.2"/>
    <row r="297" spans="1:3" hidden="1" x14ac:dyDescent="0.2"/>
    <row r="298" spans="1:3" hidden="1" x14ac:dyDescent="0.2"/>
    <row r="299" spans="1:3" x14ac:dyDescent="0.2">
      <c r="A299" s="271"/>
      <c r="B299" s="271"/>
      <c r="C299" s="401"/>
    </row>
    <row r="300" spans="1:3" x14ac:dyDescent="0.2">
      <c r="A300" s="530">
        <v>1</v>
      </c>
      <c r="B300" s="529" t="str">
        <f t="shared" ref="B300:B307" si="2">IFERROR(INDEX(H$100:H$300,MATCH(A300&amp;". koht",H$101:H$301,0)),"")</f>
        <v>Kaspar Mänd (Toila)</v>
      </c>
      <c r="C300" s="499"/>
    </row>
    <row r="301" spans="1:3" x14ac:dyDescent="0.2">
      <c r="A301" s="530">
        <v>2</v>
      </c>
      <c r="B301" s="529" t="str">
        <f t="shared" si="2"/>
        <v>Marko Tarassov (Konju)</v>
      </c>
      <c r="C301" s="499"/>
    </row>
    <row r="302" spans="1:3" x14ac:dyDescent="0.2">
      <c r="A302" s="530">
        <v>3</v>
      </c>
      <c r="B302" s="529" t="str">
        <f t="shared" si="2"/>
        <v>Daniel Lehtsaar (Tartu)</v>
      </c>
      <c r="C302" s="499"/>
    </row>
    <row r="303" spans="1:3" x14ac:dyDescent="0.2">
      <c r="A303" s="530">
        <v>4</v>
      </c>
      <c r="B303" s="529" t="str">
        <f t="shared" si="2"/>
        <v>Merilyn-Žanette Järveots (Tartu)</v>
      </c>
      <c r="C303" s="499"/>
    </row>
    <row r="304" spans="1:3" x14ac:dyDescent="0.2">
      <c r="A304" s="530">
        <v>5</v>
      </c>
      <c r="B304" s="529" t="str">
        <f t="shared" si="2"/>
        <v>Veroonika Mendes (Jõhvi)</v>
      </c>
      <c r="C304" s="499"/>
    </row>
    <row r="305" spans="1:3" x14ac:dyDescent="0.2">
      <c r="A305" s="530">
        <v>6</v>
      </c>
      <c r="B305" s="529" t="str">
        <f t="shared" si="2"/>
        <v>Aurelia Meldre (Tartu)</v>
      </c>
      <c r="C305" s="499"/>
    </row>
    <row r="306" spans="1:3" x14ac:dyDescent="0.2">
      <c r="A306" s="530">
        <v>7</v>
      </c>
      <c r="B306" s="529" t="str">
        <f t="shared" si="2"/>
        <v>Kristiin-Marleen Neiland (Voka)</v>
      </c>
      <c r="C306" s="499"/>
    </row>
    <row r="307" spans="1:3" x14ac:dyDescent="0.2">
      <c r="A307" s="530">
        <v>8</v>
      </c>
      <c r="B307" s="529" t="str">
        <f t="shared" si="2"/>
        <v>Ksenija Matšneva (Voka)</v>
      </c>
      <c r="C307" s="499"/>
    </row>
    <row r="308" spans="1:3" x14ac:dyDescent="0.2">
      <c r="C308" s="477"/>
    </row>
  </sheetData>
  <conditionalFormatting sqref="D7 C8">
    <cfRule type="aboveAverage" dxfId="4552" priority="416"/>
  </conditionalFormatting>
  <conditionalFormatting sqref="E7 C9 C12">
    <cfRule type="aboveAverage" dxfId="4551" priority="415"/>
  </conditionalFormatting>
  <conditionalFormatting sqref="F7 C10 C13 H7 J7">
    <cfRule type="aboveAverage" dxfId="4550" priority="414"/>
  </conditionalFormatting>
  <conditionalFormatting sqref="E8 D9 D12">
    <cfRule type="aboveAverage" dxfId="4549" priority="413"/>
  </conditionalFormatting>
  <conditionalFormatting sqref="G7 C11 C14 I7">
    <cfRule type="aboveAverage" dxfId="4548" priority="412"/>
  </conditionalFormatting>
  <conditionalFormatting sqref="F8 D10 D13 H8 J8">
    <cfRule type="aboveAverage" dxfId="4547" priority="411"/>
  </conditionalFormatting>
  <conditionalFormatting sqref="G8 D11 D14 I8">
    <cfRule type="aboveAverage" dxfId="4546" priority="410"/>
  </conditionalFormatting>
  <conditionalFormatting sqref="F9 E10 F12 E13 H9 J9 H12 J12">
    <cfRule type="aboveAverage" dxfId="4545" priority="409"/>
  </conditionalFormatting>
  <conditionalFormatting sqref="G9 E11 G12 E14 I9 I12">
    <cfRule type="aboveAverage" dxfId="4544" priority="408"/>
  </conditionalFormatting>
  <conditionalFormatting sqref="F11 G10 F14 G13 H11 J11 I10 H14 J14 I13">
    <cfRule type="aboveAverage" dxfId="4543" priority="407"/>
  </conditionalFormatting>
  <conditionalFormatting sqref="B7 B10 B12:B13">
    <cfRule type="duplicateValues" dxfId="4542" priority="322"/>
  </conditionalFormatting>
  <conditionalFormatting sqref="R7:R11">
    <cfRule type="expression" dxfId="4541" priority="313">
      <formula>OR(AND(M7=1,N7=1,O7=0,P7=1),AND(M7=2,N7=2,O7=0,P7=2))</formula>
    </cfRule>
  </conditionalFormatting>
  <conditionalFormatting sqref="P7:P11">
    <cfRule type="expression" dxfId="4540" priority="306">
      <formula>AND(O7&gt;0,IF(COUNTIF(O$7:O$11,O7)&gt;1,TRUE,FALSE))</formula>
    </cfRule>
    <cfRule type="expression" dxfId="4539" priority="307">
      <formula>AND(IF(COUNTIF(U$7:U$11,"=1")=2,TRUE),IF(COUNTIF(U$7:U$11,"=2")=2,TRUE))</formula>
    </cfRule>
    <cfRule type="expression" dxfId="4538" priority="308">
      <formula>AND(U7=4,IF(COUNTIF(U$7:U$11,"=4")=1,TRUE))</formula>
    </cfRule>
    <cfRule type="expression" dxfId="4537" priority="309">
      <formula>AND(U7=3,IF(COUNTIF(U$7:U$11,"=3")=1,TRUE))</formula>
    </cfRule>
    <cfRule type="expression" dxfId="4536" priority="310">
      <formula>AND(U7=2,IF(COUNTIF(U$7:U$11,"=2")=1,TRUE))</formula>
    </cfRule>
    <cfRule type="expression" dxfId="4535" priority="311">
      <formula>AND(U7=1,IF(COUNTIF(U$7:U$11,"=1")=1,TRUE))</formula>
    </cfRule>
    <cfRule type="expression" dxfId="4534" priority="312">
      <formula>OR(U7=0,U7=5)</formula>
    </cfRule>
  </conditionalFormatting>
  <conditionalFormatting sqref="M7:M11">
    <cfRule type="expression" dxfId="4533" priority="301">
      <formula>AND(T7=4,IF(COUNTIF(T$7:T$11,"=4")&gt;=2,TRUE))</formula>
    </cfRule>
    <cfRule type="expression" dxfId="4532" priority="302">
      <formula>AND(T7=3,IF(COUNTIF(T$7:T$11,"=3")&gt;=2,TRUE))</formula>
    </cfRule>
    <cfRule type="expression" dxfId="4531" priority="303">
      <formula>AND(T7=2,IF(COUNTIF(T$7:T$11,"=2")&gt;=2,TRUE))</formula>
    </cfRule>
    <cfRule type="expression" dxfId="4530" priority="304">
      <formula>AND(T7=1,IF(COUNTIF(T$7:T$11,"=1")&gt;=2,TRUE))</formula>
    </cfRule>
  </conditionalFormatting>
  <conditionalFormatting sqref="K7:K14">
    <cfRule type="expression" dxfId="4529" priority="268">
      <formula>AND(T7=4,IF(COUNTIF(T$7:T$14,"=4")&gt;=2,TRUE))</formula>
    </cfRule>
    <cfRule type="expression" dxfId="4528" priority="420">
      <formula>AND(T7=3,IF(COUNTIF(T$7:T$14,"=3")&gt;=2,TRUE))</formula>
    </cfRule>
    <cfRule type="expression" dxfId="4527" priority="421">
      <formula>AND(T7=2,IF(COUNTIF(T$7:T$14,"=2")&gt;=2,TRUE))</formula>
    </cfRule>
    <cfRule type="expression" dxfId="4526" priority="422">
      <formula>AND(T7=1,IF(COUNTIF(T$7:T$14,"=1")&gt;=2,TRUE))</formula>
    </cfRule>
  </conditionalFormatting>
  <conditionalFormatting sqref="N7:N11">
    <cfRule type="expression" dxfId="4525" priority="423">
      <formula>AND(M7&gt;0,IF(COUNTIF(M$7:M$11,"=1")=2,TRUE),IF(COUNTIF(M$7:M$11,"=2")=2,TRUE))</formula>
    </cfRule>
    <cfRule type="expression" dxfId="4524" priority="424">
      <formula>IF(COUNTIF(O$7:O$11,"=2")=2,TRUE)</formula>
    </cfRule>
    <cfRule type="expression" dxfId="4523" priority="425">
      <formula>IF(COUNTIF(O$7:O$11,"=1")=2,TRUE)</formula>
    </cfRule>
    <cfRule type="expression" dxfId="4522" priority="426">
      <formula>AND(IF(COUNTIF(U$7:U$11,"=1")=2,TRUE),IF(COUNTIF(V$7:V$11,"=2")=2,TRUE))</formula>
    </cfRule>
    <cfRule type="expression" dxfId="4521" priority="427">
      <formula>AND(U7=4,IF(COUNTIF(U$7:U$11,"=4")=1,TRUE))</formula>
    </cfRule>
    <cfRule type="expression" dxfId="4520" priority="428">
      <formula>AND(U7=3,IF(COUNTIF(U$7:U$11,"=3")=1,TRUE))</formula>
    </cfRule>
    <cfRule type="expression" dxfId="4519" priority="429">
      <formula>AND(U7=2,IF(COUNTIF(U$7:U$11,"=2")=1,TRUE))</formula>
    </cfRule>
    <cfRule type="expression" dxfId="4518" priority="430">
      <formula>AND(U7=1,IF(COUNTIF(U$7:U$11,"=1")=1,TRUE))</formula>
    </cfRule>
    <cfRule type="expression" dxfId="4517" priority="431">
      <formula>OR(U7=0,U7=5)</formula>
    </cfRule>
  </conditionalFormatting>
  <conditionalFormatting sqref="H130 H100:H121 H123:H124">
    <cfRule type="containsText" dxfId="4516" priority="62" operator="containsText" text="I-Viru">
      <formula>NOT(ISERROR(SEARCH("I-Viru",H100)))</formula>
    </cfRule>
  </conditionalFormatting>
  <conditionalFormatting sqref="B300:B307">
    <cfRule type="expression" dxfId="4515" priority="465">
      <formula>A300=3</formula>
    </cfRule>
    <cfRule type="expression" dxfId="4514" priority="466">
      <formula>A300=2</formula>
    </cfRule>
    <cfRule type="expression" dxfId="4513" priority="467">
      <formula>A300=1</formula>
    </cfRule>
    <cfRule type="containsBlanks" dxfId="4512" priority="468">
      <formula>LEN(TRIM(B300))=0</formula>
    </cfRule>
    <cfRule type="duplicateValues" dxfId="4511" priority="469"/>
  </conditionalFormatting>
  <pageMargins left="0.78740157480314965" right="0.39370078740157483" top="0.78740157480314965" bottom="0.39370078740157483" header="0.78740157480314965" footer="0"/>
  <pageSetup paperSize="9" fitToHeight="0" orientation="portrait" verticalDpi="1200" r:id="rId1"/>
  <headerFooter>
    <oddHeader>&amp;R&amp;P. leht &amp;N&amp; -st</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pageSetUpPr fitToPage="1"/>
  </sheetPr>
  <dimension ref="A1:AP317"/>
  <sheetViews>
    <sheetView showGridLines="0" showRowColHeaders="0" workbookViewId="0">
      <pane ySplit="1" topLeftCell="A5" activePane="bottomLeft" state="frozen"/>
      <selection pane="bottomLeft" activeCell="A5" sqref="A5"/>
    </sheetView>
  </sheetViews>
  <sheetFormatPr defaultRowHeight="12.75" x14ac:dyDescent="0.2"/>
  <cols>
    <col min="1" max="1" width="3.28515625" style="1" customWidth="1"/>
    <col min="2" max="2" width="38.85546875" style="1" bestFit="1" customWidth="1"/>
    <col min="3" max="9" width="5.85546875" style="1" customWidth="1"/>
    <col min="10" max="15" width="5.5703125" style="1" customWidth="1"/>
    <col min="16" max="18" width="9.140625" style="1" hidden="1" customWidth="1"/>
    <col min="19" max="19" width="11.5703125" style="1" hidden="1" customWidth="1"/>
    <col min="20" max="20" width="9.140625" style="1" hidden="1" customWidth="1"/>
    <col min="21" max="21" width="9.140625" style="1"/>
    <col min="22" max="27" width="0" style="1" hidden="1" customWidth="1"/>
    <col min="28" max="28" width="9.140625" style="1" hidden="1" customWidth="1"/>
    <col min="29" max="29" width="9.140625" style="1" customWidth="1"/>
    <col min="30" max="31" width="9.140625" style="1" hidden="1" customWidth="1"/>
    <col min="32" max="32" width="18.140625" style="1" hidden="1" customWidth="1"/>
    <col min="33" max="33" width="9.140625" style="1" hidden="1" customWidth="1"/>
    <col min="34" max="34" width="29.28515625" style="1" hidden="1" customWidth="1"/>
    <col min="35" max="35" width="9.140625" style="1" hidden="1" customWidth="1"/>
    <col min="36" max="36" width="17.28515625" style="1" hidden="1" customWidth="1"/>
    <col min="37" max="37" width="9.140625" style="1" hidden="1" customWidth="1"/>
    <col min="38" max="38" width="13.85546875" style="1" hidden="1" customWidth="1"/>
    <col min="39" max="39" width="9.140625" style="1" hidden="1" customWidth="1"/>
    <col min="40" max="40" width="17.28515625" style="1" hidden="1" customWidth="1"/>
    <col min="41" max="41" width="0" style="1" hidden="1" customWidth="1"/>
    <col min="42" max="42" width="13.85546875" style="1" hidden="1" customWidth="1"/>
    <col min="43" max="16384" width="9.140625" style="1"/>
  </cols>
  <sheetData>
    <row r="1" spans="1:42" x14ac:dyDescent="0.2">
      <c r="A1" s="400" t="str">
        <f>UPPER((Kalend!E7)&amp;" - "&amp;(Kalend!C7))&amp;" - "&amp;LOWER(Kalend!D7)&amp;" - "&amp;(Kalend!A7)&amp;" kell "&amp;(Kalend!B7)&amp;" - "&amp;(Kalend!F7)</f>
        <v>V2 - VOKA III SISE-KV 2. ETAPP - duo - P, 27.10.2019 kell 11:30 - Voka petangihall</v>
      </c>
      <c r="C1" s="477"/>
      <c r="D1" s="477"/>
      <c r="E1" s="477"/>
      <c r="F1" s="477"/>
      <c r="G1" s="477"/>
      <c r="H1" s="477"/>
      <c r="I1" s="477"/>
      <c r="J1" s="477"/>
      <c r="K1" s="477"/>
      <c r="L1" s="477"/>
      <c r="M1" s="477"/>
      <c r="N1" s="477"/>
      <c r="P1" s="447" t="s">
        <v>94</v>
      </c>
      <c r="Q1" s="448"/>
      <c r="R1" s="448"/>
      <c r="S1" s="448"/>
      <c r="T1" s="448"/>
      <c r="U1" s="70"/>
      <c r="V1" s="291"/>
      <c r="W1" s="271"/>
      <c r="X1" s="271"/>
      <c r="Y1" s="271"/>
      <c r="AD1" s="152" t="s">
        <v>94</v>
      </c>
      <c r="AE1" s="402"/>
      <c r="AF1" s="402"/>
      <c r="AG1" s="402"/>
      <c r="AH1" s="402"/>
      <c r="AI1" s="402"/>
      <c r="AJ1" s="402"/>
      <c r="AK1" s="402"/>
      <c r="AL1" s="402"/>
      <c r="AM1" s="402"/>
      <c r="AN1" s="402"/>
      <c r="AO1" s="532"/>
      <c r="AP1" s="532"/>
    </row>
    <row r="2" spans="1:42" hidden="1" x14ac:dyDescent="0.2">
      <c r="A2" s="477"/>
      <c r="C2" s="477"/>
      <c r="D2" s="477"/>
      <c r="E2" s="477"/>
      <c r="F2" s="477"/>
      <c r="G2" s="477"/>
      <c r="H2" s="477"/>
      <c r="I2" s="477"/>
      <c r="J2" s="477"/>
      <c r="K2" s="477"/>
      <c r="L2" s="477"/>
      <c r="M2" s="477"/>
      <c r="N2" s="477"/>
      <c r="O2" s="477"/>
      <c r="P2" s="271"/>
      <c r="Q2" s="271"/>
      <c r="R2" s="271"/>
      <c r="S2" s="271"/>
      <c r="T2" s="409"/>
      <c r="U2" s="409"/>
      <c r="V2" s="271"/>
      <c r="W2" s="271"/>
      <c r="X2" s="271"/>
      <c r="AD2" s="271"/>
      <c r="AE2" s="271"/>
      <c r="AF2" s="271"/>
      <c r="AG2" s="271"/>
      <c r="AH2" s="271"/>
      <c r="AI2" s="271"/>
      <c r="AJ2" s="412"/>
      <c r="AK2" s="271"/>
      <c r="AL2" s="271"/>
      <c r="AM2" s="271"/>
      <c r="AN2" s="271"/>
    </row>
    <row r="3" spans="1:42" hidden="1" x14ac:dyDescent="0.2">
      <c r="A3" s="477"/>
      <c r="C3" s="477"/>
      <c r="D3" s="477"/>
      <c r="E3" s="477"/>
      <c r="F3" s="477"/>
      <c r="G3" s="477"/>
      <c r="H3" s="477"/>
      <c r="I3" s="477"/>
      <c r="J3" s="477"/>
      <c r="K3" s="477"/>
      <c r="L3" s="477"/>
      <c r="M3" s="477"/>
      <c r="N3" s="477"/>
      <c r="O3" s="477"/>
      <c r="P3" s="271"/>
      <c r="Q3" s="271"/>
      <c r="R3" s="271"/>
      <c r="S3" s="271"/>
      <c r="T3" s="409"/>
      <c r="U3" s="409"/>
      <c r="V3" s="271"/>
      <c r="W3" s="271"/>
      <c r="X3" s="271"/>
      <c r="Y3" s="271"/>
      <c r="AE3" s="271"/>
      <c r="AG3" s="271"/>
      <c r="AH3" s="271"/>
      <c r="AI3" s="271"/>
      <c r="AJ3" s="271"/>
      <c r="AK3" s="271"/>
      <c r="AL3" s="271"/>
      <c r="AM3" s="271"/>
      <c r="AN3" s="271"/>
    </row>
    <row r="4" spans="1:42" hidden="1" x14ac:dyDescent="0.2">
      <c r="A4" s="477"/>
      <c r="C4" s="477"/>
      <c r="D4" s="477"/>
      <c r="E4" s="477"/>
      <c r="F4" s="477"/>
      <c r="G4" s="477"/>
      <c r="H4" s="477"/>
      <c r="I4" s="477"/>
      <c r="J4" s="477"/>
      <c r="K4" s="477"/>
      <c r="L4" s="477"/>
      <c r="M4" s="477"/>
      <c r="N4" s="477"/>
      <c r="O4" s="477"/>
      <c r="P4" s="271"/>
      <c r="Q4" s="271"/>
      <c r="R4" s="271"/>
      <c r="S4" s="271"/>
      <c r="T4" s="271"/>
      <c r="U4" s="271"/>
      <c r="V4" s="271"/>
      <c r="W4" s="271"/>
      <c r="X4" s="271"/>
      <c r="Y4" s="271"/>
      <c r="AE4" s="409"/>
      <c r="AF4" s="409"/>
      <c r="AG4" s="409"/>
      <c r="AH4" s="376"/>
      <c r="AI4" s="409"/>
      <c r="AJ4" s="409"/>
      <c r="AK4" s="409"/>
      <c r="AL4" s="409"/>
      <c r="AM4" s="409"/>
      <c r="AN4" s="409"/>
      <c r="AO4" s="409"/>
      <c r="AP4" s="409"/>
    </row>
    <row r="5" spans="1:42" x14ac:dyDescent="0.2">
      <c r="C5" s="477"/>
      <c r="D5" s="477"/>
      <c r="E5" s="477"/>
      <c r="F5" s="477"/>
      <c r="G5" s="477"/>
      <c r="H5" s="477"/>
      <c r="I5" s="477"/>
      <c r="J5" s="477"/>
      <c r="K5" s="477"/>
      <c r="L5" s="477"/>
      <c r="M5" s="477"/>
      <c r="N5" s="967" t="s">
        <v>476</v>
      </c>
      <c r="O5" s="477"/>
      <c r="P5" s="271"/>
      <c r="Q5" s="271"/>
      <c r="R5" s="271"/>
      <c r="S5" s="271"/>
      <c r="T5" s="271"/>
      <c r="U5" s="271"/>
      <c r="V5" s="271"/>
      <c r="W5" s="271"/>
      <c r="X5" s="271"/>
      <c r="Y5" s="271"/>
      <c r="AA5" s="271"/>
      <c r="AD5" s="964" t="s">
        <v>214</v>
      </c>
    </row>
    <row r="6" spans="1:42" x14ac:dyDescent="0.2">
      <c r="A6" s="316" t="s">
        <v>0</v>
      </c>
      <c r="B6" s="466"/>
      <c r="C6" s="467">
        <v>1</v>
      </c>
      <c r="D6" s="467">
        <v>2</v>
      </c>
      <c r="E6" s="467">
        <v>3</v>
      </c>
      <c r="F6" s="467"/>
      <c r="G6" s="467"/>
      <c r="H6" s="467" t="s">
        <v>168</v>
      </c>
      <c r="I6" s="275" t="s">
        <v>169</v>
      </c>
      <c r="J6" s="469" t="s">
        <v>257</v>
      </c>
      <c r="K6" s="470" t="s">
        <v>258</v>
      </c>
      <c r="L6" s="471" t="s">
        <v>259</v>
      </c>
      <c r="M6" s="471" t="s">
        <v>260</v>
      </c>
      <c r="N6" s="472" t="s">
        <v>170</v>
      </c>
      <c r="O6" s="472" t="s">
        <v>170</v>
      </c>
      <c r="P6" s="473" t="s">
        <v>261</v>
      </c>
      <c r="Q6" s="474" t="s">
        <v>21</v>
      </c>
      <c r="R6" s="474" t="b">
        <f>OR(AND(COUNTA(B7:B11)=3,COUNTA(C7:G11)=6),AND(COUNTA(B7:B11)=4,COUNTA(C7:G11)=12),AND(COUNTA(B7:B11)=5,COUNTA(C7:G11)=20))</f>
        <v>1</v>
      </c>
      <c r="S6" s="475" t="s">
        <v>262</v>
      </c>
      <c r="T6" s="476" t="s">
        <v>263</v>
      </c>
      <c r="U6" s="477"/>
      <c r="V6" s="477"/>
      <c r="W6" s="477"/>
      <c r="X6" s="477"/>
      <c r="Y6" s="477"/>
      <c r="Z6" s="477"/>
      <c r="AA6" s="478"/>
      <c r="AD6" s="272" t="s">
        <v>370</v>
      </c>
      <c r="AE6" s="273"/>
      <c r="AF6" s="273" t="s">
        <v>249</v>
      </c>
      <c r="AG6" s="273"/>
      <c r="AH6" s="403" t="s">
        <v>250</v>
      </c>
      <c r="AI6" s="273"/>
      <c r="AJ6" s="273" t="s">
        <v>251</v>
      </c>
      <c r="AK6" s="274"/>
      <c r="AL6" s="273" t="s">
        <v>252</v>
      </c>
      <c r="AM6" s="274"/>
      <c r="AN6" s="274" t="s">
        <v>472</v>
      </c>
      <c r="AO6" s="945"/>
      <c r="AP6" s="274" t="s">
        <v>473</v>
      </c>
    </row>
    <row r="7" spans="1:42" x14ac:dyDescent="0.2">
      <c r="A7" s="316">
        <v>1</v>
      </c>
      <c r="B7" s="479" t="s">
        <v>276</v>
      </c>
      <c r="C7" s="319"/>
      <c r="D7" s="318">
        <v>9</v>
      </c>
      <c r="E7" s="318">
        <v>9</v>
      </c>
      <c r="F7" s="318"/>
      <c r="G7" s="318"/>
      <c r="H7" s="317" t="str">
        <f>(IF(D7-C8&gt;0,1)+IF(E7-C9&gt;0,1)+IF(F7-C10&gt;0,1)+IF(G7-C11&gt;0,1))&amp;"-"&amp;(IF(D7-C8&lt;0,1)+IF(E7-C9&lt;0,1)+IF(F7-C10&lt;0,1)+IF(G7-C11&lt;0,1))</f>
        <v>0-2</v>
      </c>
      <c r="I7" s="318" t="str">
        <f>IF(AND(B7&lt;&gt;"",R$6=TRUE),A$6&amp;RANK(S7,S$7:S$11,0)," ")</f>
        <v>A3</v>
      </c>
      <c r="J7" s="480">
        <f>IF(AND(Q7=1,Q8=1,D7&gt;C8),1)+IF(AND(Q7=1,Q9=1,E7&gt;C9),1)+IF(AND(Q7=1,Q10=1,F7&gt;C10),1)+IF(AND(Q7=1,Q11=1,G7&gt;C11),1)+IF(AND(Q7=2,Q8=2,D7&gt;C8),1)+IF(AND(Q7=2,Q9=2,E7&gt;C9),1)+IF(AND(Q7=2,Q10=2,F7&gt;C10),1)+IF(AND(Q7=2,Q11=2,G7&gt;C11),1)+IF(AND(Q7=3,Q8=3,D7&gt;C8),1)+IF(AND(Q7=3,Q9=3,E7&gt;C9),1)+IF(AND(Q7=3,Q10=3,F7&gt;C10),1)+IF(AND(Q7=3,Q11=3,G7&gt;C11),1)</f>
        <v>0</v>
      </c>
      <c r="K7" s="481">
        <f>SUM(AND(T7=T8,D7&gt;C8),AND(T7=T9,E7&gt;C9),AND(T7=T10,F7&gt;C10),AND(T7=T11,G7&gt;C11))</f>
        <v>0</v>
      </c>
      <c r="L7" s="482">
        <f>IF(AND(Q7=1,Q8=1),D7-C8)+IF(AND(Q7=1,Q9=1),E7-C9)+IF(AND(Q7=1,Q10=1),F7-C10)+IF(AND(Q7=1,Q11=1),G7-C11)+IF(AND(Q7=2,Q8=2),D7-C8)+IF(AND(Q7=2,Q9=2),E7-C9)+IF(AND(Q7=2,Q10=2),F7-C10)+IF(AND(Q7=2,Q11=2),G7-C11)+IF(AND(Q7=3,Q8=3),D7-C8)+IF(AND(Q7=3,Q9=3),E7-C9)+IF(AND(Q7=3,Q10=3),F7-C10)+IF(AND(Q7=3,Q11=3),G7-C11)+IF(AND(Q7=4,Q8=4),D7-C8)+IF(AND(Q7=4,Q9=4),E7-C9)+IF(AND(Q7=4,Q10=4),F7-C10)+IF(AND(Q7=4,Q11=4),G7-C11)</f>
        <v>0</v>
      </c>
      <c r="M7" s="483">
        <f>SUM(AND(R7=R8,D7&gt;C8),AND(R7=R9,E7&gt;C9),AND(R7=R10,F7&gt;C10),AND(R7=R11,G7&gt;C11))</f>
        <v>0</v>
      </c>
      <c r="N7" s="537" t="str">
        <f>SUM(C7:G7)&amp;"-"&amp;SUM(C7:C11)</f>
        <v>18-26</v>
      </c>
      <c r="O7" s="538">
        <f>D7+E7+F7+G7-C8-C9-C10-C11</f>
        <v>-8</v>
      </c>
      <c r="P7" s="485">
        <f>SUM(C7:G7,C7:C11)/SUM(C7:C11)</f>
        <v>1.6923076923076923</v>
      </c>
      <c r="Q7" s="320">
        <f>VALUE(LEFT(H7,1))</f>
        <v>0</v>
      </c>
      <c r="R7" s="321">
        <f>Q7*100000+J7*10000+K7*1000+100*L7</f>
        <v>0</v>
      </c>
      <c r="S7" s="486">
        <f>R7+M7*0.1+IF(ISNONTEXT(B7),0,0.01)+0.0001*O7</f>
        <v>9.1999999999999998E-3</v>
      </c>
      <c r="T7" s="487" t="str">
        <f>Q7&amp;J7</f>
        <v>00</v>
      </c>
      <c r="U7" s="477"/>
      <c r="V7" s="477"/>
      <c r="W7" s="477"/>
      <c r="X7" s="477"/>
      <c r="Y7" s="477"/>
      <c r="Z7" s="477"/>
      <c r="AA7" s="477"/>
      <c r="AD7" s="405">
        <f t="shared" ref="AD7:AD44" si="0">SUM(AE7:AP7)</f>
        <v>356</v>
      </c>
      <c r="AE7" s="406">
        <f>IFERROR(INDEX(V!$R:$R,MATCH(AF7,V!$L:$L,0)),"")</f>
        <v>178</v>
      </c>
      <c r="AF7" s="407" t="str">
        <f>IFERROR(LEFT($B7,(FIND(",",$B7,1)-1)),"")</f>
        <v>Jaan Sepp</v>
      </c>
      <c r="AG7" s="406">
        <f>IFERROR(INDEX(V!$R:$R,MATCH(AH7,V!$L:$L,0)),"")</f>
        <v>178</v>
      </c>
      <c r="AH7" s="407" t="str">
        <f>IFERROR(MID($B7,FIND(", ",$B7)+2,256),"")</f>
        <v>Oskar Sepp</v>
      </c>
      <c r="AI7" s="406" t="str">
        <f>IFERROR(INDEX(V!$R:$R,MATCH(AJ7,V!$L:$L,0)),"")</f>
        <v/>
      </c>
      <c r="AJ7" s="407" t="str">
        <f>IFERROR(MID($B7,FIND("^",SUBSTITUTE($B7,", ","^",1))+2,FIND("^",SUBSTITUTE($B7,", ","^",2))-FIND("^",SUBSTITUTE($B7,", ","^",1))-2),"")</f>
        <v/>
      </c>
      <c r="AK7" s="406" t="str">
        <f>IFERROR(INDEX(V!$R:$R,MATCH(AL7,V!$L:$L,0)),"")</f>
        <v/>
      </c>
      <c r="AL7" s="407" t="str">
        <f>IFERROR(MID($B7,FIND(", ",$B7,FIND(", ",$B7,FIND(", ",$B7))+1)+2,30000),"")</f>
        <v/>
      </c>
      <c r="AM7" s="406" t="str">
        <f>IFERROR(INDEX(V!$R:$R,MATCH(AN7,V!$L:$L,0)),"")</f>
        <v/>
      </c>
      <c r="AN7" s="407" t="str">
        <f>IFERROR(MID($B7,FIND(", ",$B7,FIND(", ",$B7)+1)+2,FIND(", ",$B7,FIND(", ",$B7,FIND(", ",$B7)+1)+1)-FIND(", ",$B7,FIND(", ",$B7)+1)-2),"")</f>
        <v/>
      </c>
      <c r="AO7" s="406" t="str">
        <f>IFERROR(INDEX(V!$R:$R,MATCH(AP7,V!$L:$L,0)),"")</f>
        <v/>
      </c>
      <c r="AP7" s="407" t="str">
        <f>IFERROR(MID($B7,FIND(", ",$B7,FIND(", ",$B7,FIND(", ",$B7)+1)+1)+2,30000),"")</f>
        <v/>
      </c>
    </row>
    <row r="8" spans="1:42" x14ac:dyDescent="0.2">
      <c r="A8" s="316">
        <v>2</v>
      </c>
      <c r="B8" s="488" t="s">
        <v>307</v>
      </c>
      <c r="C8" s="318">
        <v>13</v>
      </c>
      <c r="D8" s="319"/>
      <c r="E8" s="318">
        <v>13</v>
      </c>
      <c r="F8" s="318"/>
      <c r="G8" s="318"/>
      <c r="H8" s="317" t="str">
        <f>(IF(C8-D7&gt;0,1)+IF(E8-D9&gt;0,1)+IF(F8-D10&gt;0,1)+IF(G8-D11&gt;0,1))&amp;"-"&amp;(IF(C8-D7&lt;0,1)+IF(E8-D9&lt;0,1)+IF(F8-D10&lt;0,1)+IF(G8-D11&lt;0,1))</f>
        <v>2-0</v>
      </c>
      <c r="I8" s="318" t="str">
        <f>IF(AND(B8&lt;&gt;"",R$6=TRUE),A$6&amp;RANK(S8,S$7:S$11,0)," ")</f>
        <v>A1</v>
      </c>
      <c r="J8" s="489">
        <f>IF(AND(Q8=1,Q7=1,C8&gt;D7),1)+IF(AND(Q8=1,Q9=1,E8&gt;D9),1)+IF(AND(Q8=1,Q10=1,F8&gt;D10),1)+IF(AND(Q8=1,Q11=1,G8&gt;D11),1)+IF(AND(Q8=2,Q7=2,C8&gt;D7),1)+IF(AND(Q8=2,Q9=2,E8&gt;D9),1)+IF(AND(Q8=2,Q10=2,F8&gt;D10),1)+IF(AND(Q8=2,Q11=2,G8&gt;D11),1)+IF(AND(Q8=3,Q7=3,C8&gt;D7),1)+IF(AND(Q8=3,Q9=3,E8&gt;D9),1)+IF(AND(Q8=3,Q10=3,F8&gt;D10),1)+IF(AND(Q8=3,Q11=3,G8&gt;D11),1)</f>
        <v>0</v>
      </c>
      <c r="K8" s="483">
        <f>SUM(AND(T8=T7,C8&gt;D7),AND(T8=T9,E8&gt;D9),AND(T8=T10,F8&gt;D10),AND(T8=T11,G8&gt;D11))</f>
        <v>0</v>
      </c>
      <c r="L8" s="490">
        <f>IF(AND(Q8=1,Q7=1),C8-D7)+IF(AND(Q8=1,Q9=1),E8-D9)+IF(AND(Q8=1,Q10=1),F8-D10)+IF(AND(Q8=1,Q11=1),G8-D11)+IF(AND(Q8=2,Q7=2),C8-D7)+IF(AND(Q8=2,Q9=2),E8-D9)+IF(AND(Q8=2,Q10=2),F8-D10)+IF(AND(Q8=2,Q11=2),G8-D11)+IF(AND(Q8=3,Q7=3),C8-D7)+IF(AND(Q8=3,Q9=3),E8-D9)+IF(AND(Q8=3,Q10=3),F8-D10)+IF(AND(Q8=3,Q11=3),G8-D11)+IF(AND(Q8=4,Q7=4),C8-D7)+IF(AND(Q8=4,Q9=4),E8-D9)+IF(AND(Q8=4,Q10=4),F8-D10)+IF(AND(Q8=4,Q11=4),G8-D11)</f>
        <v>0</v>
      </c>
      <c r="M8" s="483">
        <f>SUM(AND(R8=R7,C8&gt;D7),AND(R8=R9,E8&gt;D9),AND(R8=R10,F8&gt;D10),AND(R8=R11,G8&gt;D11))</f>
        <v>0</v>
      </c>
      <c r="N8" s="537" t="str">
        <f>SUM(C8:G8)&amp;"-"&amp;SUM(D7:D11)</f>
        <v>26-21</v>
      </c>
      <c r="O8" s="538">
        <f>C8+E8+F8+G8-D7-D9-D10-D11</f>
        <v>5</v>
      </c>
      <c r="P8" s="485">
        <f>SUM(C8:G8,D7:D11)/SUM(D7:D11)</f>
        <v>2.2380952380952381</v>
      </c>
      <c r="Q8" s="491">
        <f>VALUE(LEFT(H8,1))</f>
        <v>2</v>
      </c>
      <c r="R8" s="321">
        <f>Q8*100000+J8*10000+K8*1000+100*L8</f>
        <v>200000</v>
      </c>
      <c r="S8" s="486">
        <f>R8+M8*0.1+IF(ISNONTEXT(B8),0,0.01)+0.0001*O8</f>
        <v>200000.0105</v>
      </c>
      <c r="T8" s="487" t="str">
        <f>Q8&amp;J8</f>
        <v>20</v>
      </c>
      <c r="U8" s="477"/>
      <c r="V8" s="477"/>
      <c r="W8" s="477"/>
      <c r="X8" s="477"/>
      <c r="Y8" s="477"/>
      <c r="Z8" s="477"/>
      <c r="AA8" s="485"/>
      <c r="AD8" s="405">
        <f t="shared" si="0"/>
        <v>190</v>
      </c>
      <c r="AE8" s="406">
        <f>IFERROR(INDEX(V!$R:$R,MATCH(AF8,V!$L:$L,0)),"")</f>
        <v>126</v>
      </c>
      <c r="AF8" s="407" t="str">
        <f t="shared" ref="AF8:AF44" si="1">IFERROR(LEFT($B8,(FIND(",",$B8,1)-1)),"")</f>
        <v>Oleg Rõndenkov</v>
      </c>
      <c r="AG8" s="406">
        <f>IFERROR(INDEX(V!$R:$R,MATCH(AH8,V!$L:$L,0)),"")</f>
        <v>64</v>
      </c>
      <c r="AH8" s="407" t="str">
        <f t="shared" ref="AH8:AH44" si="2">IFERROR(MID($B8,FIND(", ",$B8)+2,256),"")</f>
        <v>Toomas Tedrekull</v>
      </c>
      <c r="AI8" s="406" t="str">
        <f>IFERROR(INDEX(V!$R:$R,MATCH(AJ8,V!$L:$L,0)),"")</f>
        <v/>
      </c>
      <c r="AJ8" s="407" t="str">
        <f t="shared" ref="AJ8:AJ44" si="3">IFERROR(MID($B8,FIND("^",SUBSTITUTE($B8,", ","^",1))+2,FIND("^",SUBSTITUTE($B8,", ","^",2))-FIND("^",SUBSTITUTE($B8,", ","^",1))-2),"")</f>
        <v/>
      </c>
      <c r="AK8" s="406" t="str">
        <f>IFERROR(INDEX(V!$R:$R,MATCH(AL8,V!$L:$L,0)),"")</f>
        <v/>
      </c>
      <c r="AL8" s="407" t="str">
        <f t="shared" ref="AL8:AL44" si="4">IFERROR(MID($B8,FIND(", ",$B8,FIND(", ",$B8,FIND(", ",$B8))+1)+2,30000),"")</f>
        <v/>
      </c>
      <c r="AM8" s="406" t="str">
        <f>IFERROR(INDEX(V!$R:$R,MATCH(AN8,V!$L:$L,0)),"")</f>
        <v/>
      </c>
      <c r="AN8" s="407" t="str">
        <f t="shared" ref="AN8:AN44" si="5">IFERROR(MID($B8,FIND(", ",$B8,FIND(", ",$B8)+1)+2,FIND(", ",$B8,FIND(", ",$B8,FIND(", ",$B8)+1)+1)-FIND(", ",$B8,FIND(", ",$B8)+1)-2),"")</f>
        <v/>
      </c>
      <c r="AO8" s="406" t="str">
        <f>IFERROR(INDEX(V!$R:$R,MATCH(AP8,V!$L:$L,0)),"")</f>
        <v/>
      </c>
      <c r="AP8" s="407" t="str">
        <f t="shared" ref="AP8:AP44" si="6">IFERROR(MID($B8,FIND(", ",$B8,FIND(", ",$B8,FIND(", ",$B8)+1)+1)+2,30000),"")</f>
        <v/>
      </c>
    </row>
    <row r="9" spans="1:42" x14ac:dyDescent="0.2">
      <c r="A9" s="316">
        <v>3</v>
      </c>
      <c r="B9" s="488" t="s">
        <v>317</v>
      </c>
      <c r="C9" s="318">
        <v>13</v>
      </c>
      <c r="D9" s="492">
        <v>12</v>
      </c>
      <c r="E9" s="319"/>
      <c r="F9" s="318"/>
      <c r="G9" s="318"/>
      <c r="H9" s="317" t="str">
        <f>(IF(C9-E7&gt;0,1)+IF(D9-E8&gt;0,1)+IF(F9-E10&gt;0,1)+IF(G9-E11&gt;0,1))&amp;"-"&amp;(IF(C9-E7&lt;0,1)+IF(D9-E8&lt;0,1)+IF(F9-E10&lt;0,1)+IF(G9-E11&lt;0,1))</f>
        <v>1-1</v>
      </c>
      <c r="I9" s="318" t="str">
        <f>IF(AND(B9&lt;&gt;"",R$6=TRUE),A$6&amp;RANK(S9,S$7:S$11,0)," ")</f>
        <v>A2</v>
      </c>
      <c r="J9" s="489">
        <f>IF(AND(Q9=1,Q7=1,C9&gt;E7),1)+IF(AND(Q9=1,Q8=1,D9&gt;E8),1)+IF(AND(Q9=1,Q10=1,F9&gt;E10),1)+IF(AND(Q9=1,Q11=1,G9&gt;E11),1)+IF(AND(Q9=2,Q7=2,C9&gt;E7),1)+IF(AND(Q9=2,Q8=2,D9&gt;E8),1)+IF(AND(Q9=2,Q10=2,F9&gt;E10),1)+IF(AND(Q9=2,Q11=2,G9&gt;E11),1)+IF(AND(Q9=3,Q7=3,C9&gt;E7),1)+IF(AND(Q9=3,Q8=3,D9&gt;E8),1)+IF(AND(Q9=3,Q10=3,F9&gt;E10),1)+IF(AND(Q9=3,Q11=3,G9&gt;E11),1)</f>
        <v>0</v>
      </c>
      <c r="K9" s="483">
        <f>SUM(AND(T9=T7,C9&gt;E7),AND(T9=T8,D9&gt;E8),AND(T9=T10,F9&gt;E10),AND(T9=T11,G9&gt;E11))</f>
        <v>0</v>
      </c>
      <c r="L9" s="490">
        <f>IF(AND(Q9=1,Q7=1),C9-E7)+IF(AND(Q9=1,Q8=1),D9-E8)+IF(AND(Q9=1,Q10=1),F9-E10)+IF(AND(Q9=1,Q11=1),G9-E11)+IF(AND(Q9=2,Q7=2),C9-E7)+IF(AND(Q9=2,Q8=2),D9-E8)+IF(AND(Q9=2,Q10=2),F9-E10)+IF(AND(Q9=2,Q11=2),G9-E11)+IF(AND(Q9=3,Q7=3),C9-E7)+IF(AND(Q9=3,Q8=3),D9-E8)+IF(AND(Q9=3,Q10=3),F9-E10)+IF(AND(Q9=3,Q11=3),G9-E11)+IF(AND(Q9=4,Q7=4),C9-E7)+IF(AND(Q9=4,Q8=4),D9-E8)+IF(AND(Q9=4,Q10=4),F9-E10)+IF(AND(Q9=4,Q11=4),G9-E11)</f>
        <v>0</v>
      </c>
      <c r="M9" s="483">
        <f>SUM(AND(R9=R7,C9&gt;E7),AND(R9=R8,D9&gt;E8),AND(R9=R10,F9&gt;E10),AND(R9=R11,G9&gt;E11))</f>
        <v>0</v>
      </c>
      <c r="N9" s="537" t="str">
        <f>SUM(C9:G9)&amp;"-"&amp;SUM(E7:E11)</f>
        <v>25-22</v>
      </c>
      <c r="O9" s="538">
        <f>C9+D9+F9+G9-E7-E8-E10-E11</f>
        <v>3</v>
      </c>
      <c r="P9" s="485">
        <f>SUM(C9:G9,E7:E11)/SUM(E7:E11)</f>
        <v>2.1363636363636362</v>
      </c>
      <c r="Q9" s="491">
        <f>VALUE(LEFT(H9,1))</f>
        <v>1</v>
      </c>
      <c r="R9" s="321">
        <f>Q9*100000+J9*10000+K9*1000+100*L9</f>
        <v>100000</v>
      </c>
      <c r="S9" s="486">
        <f>R9+M9*0.1+IF(ISNONTEXT(B9),0,0.01)+0.0001*O9</f>
        <v>100000.01029999999</v>
      </c>
      <c r="T9" s="487" t="str">
        <f>Q9&amp;J9</f>
        <v>10</v>
      </c>
      <c r="U9" s="477"/>
      <c r="V9" s="477"/>
      <c r="W9" s="477"/>
      <c r="X9" s="477"/>
      <c r="Y9" s="477"/>
      <c r="Z9" s="477"/>
      <c r="AA9" s="485"/>
      <c r="AD9" s="405">
        <f t="shared" si="0"/>
        <v>286.5</v>
      </c>
      <c r="AE9" s="406">
        <f>IFERROR(INDEX(V!$R:$R,MATCH(AF9,V!$L:$L,0)),"")</f>
        <v>14</v>
      </c>
      <c r="AF9" s="407" t="str">
        <f t="shared" si="1"/>
        <v>Argo Sepp</v>
      </c>
      <c r="AG9" s="406" t="str">
        <f>IFERROR(INDEX(V!$R:$R,MATCH(AH9,V!$L:$L,0)),"")</f>
        <v/>
      </c>
      <c r="AH9" s="407" t="str">
        <f t="shared" si="2"/>
        <v>Johannes Neiland, Karla Purgats</v>
      </c>
      <c r="AI9" s="406">
        <f>IFERROR(INDEX(V!$R:$R,MATCH(AJ9,V!$L:$L,0)),"")</f>
        <v>122</v>
      </c>
      <c r="AJ9" s="407" t="str">
        <f t="shared" si="3"/>
        <v>Johannes Neiland</v>
      </c>
      <c r="AK9" s="406">
        <f>IFERROR(INDEX(V!$R:$R,MATCH(AL9,V!$L:$L,0)),"")</f>
        <v>150.5</v>
      </c>
      <c r="AL9" s="407" t="str">
        <f t="shared" si="4"/>
        <v>Karla Purgats</v>
      </c>
      <c r="AM9" s="406" t="str">
        <f>IFERROR(INDEX(V!$R:$R,MATCH(AN9,V!$L:$L,0)),"")</f>
        <v/>
      </c>
      <c r="AN9" s="407" t="str">
        <f t="shared" si="5"/>
        <v/>
      </c>
      <c r="AO9" s="406" t="str">
        <f>IFERROR(INDEX(V!$R:$R,MATCH(AP9,V!$L:$L,0)),"")</f>
        <v/>
      </c>
      <c r="AP9" s="407" t="str">
        <f t="shared" si="6"/>
        <v/>
      </c>
    </row>
    <row r="10" spans="1:42" hidden="1" x14ac:dyDescent="0.2">
      <c r="A10" s="316">
        <v>4</v>
      </c>
      <c r="B10" s="493"/>
      <c r="C10" s="318"/>
      <c r="D10" s="492"/>
      <c r="E10" s="318"/>
      <c r="F10" s="319"/>
      <c r="G10" s="318"/>
      <c r="H10" s="317" t="str">
        <f>(IF(C10-F7&gt;0,1)+IF(D10-F8&gt;0,1)+IF(E10-F9&gt;0,1)+IF(G10-F11&gt;0,1))&amp;"-"&amp;(IF(C10-F7&lt;0,1)+IF(D10-F8&lt;0,1)+IF(E10-F9&lt;0,1)+IF(G10-F11&lt;0,1))</f>
        <v>0-0</v>
      </c>
      <c r="I10" s="318" t="str">
        <f>IF(AND(B10&lt;&gt;"",R$6=TRUE),A$6&amp;RANK(S10,S$7:S$11,0)," ")</f>
        <v xml:space="preserve"> </v>
      </c>
      <c r="J10" s="489">
        <f>IF(AND(Q10=1,Q7=1,C10&gt;F7),1)+IF(AND(Q10=1,Q8=1,D10&gt;F8),1)+IF(AND(Q10=1,Q9=1,E10&gt;F9),1)+IF(AND(Q10=1,Q11=1,G10&gt;F11),1)+IF(AND(Q10=2,Q7=2,C10&gt;F7),1)+IF(AND(Q10=2,Q8=2,D10&gt;F8),1)+IF(AND(Q10=2,Q9=2,E10&gt;F9),1)+IF(AND(Q10=2,Q11=2,G10&gt;F11),1)+IF(AND(Q10=3,Q7=3,C10&gt;F7),1)+IF(AND(Q10=3,Q8=3,D10&gt;F8),1)+IF(AND(Q10=3,Q9=3,E10&gt;F9),1)+IF(AND(Q10=3,Q11=3,G10&gt;F11),1)</f>
        <v>0</v>
      </c>
      <c r="K10" s="483">
        <f>SUM(AND(T10=T7,C10&gt;F7),AND(T10=T8,D10&gt;F8),AND(T10=T9,E10&gt;F9),AND(T10=T11,G10&gt;F11))</f>
        <v>0</v>
      </c>
      <c r="L10" s="490">
        <f>IF(AND(Q10=1,Q7=1),C10-F7)+IF(AND(Q10=1,Q8=1),D10-F8)+IF(AND(Q10=1,Q9=1),E10-F9)+IF(AND(Q10=1,Q11=1),G10-F11)+IF(AND(Q10=2,Q7=2),C10-F7)+IF(AND(Q10=2,Q8=2),D10-F8)+IF(AND(Q10=2,Q9=2),E10-F9)+IF(AND(Q10=2,Q11=2),G10-F11)+IF(AND(Q10=3,Q7=3),C10-F7)+IF(AND(Q10=3,Q8=3),D10-F8)+IF(AND(Q10=3,Q9=3),E10-F9)+IF(AND(Q10=3,Q11=3),G10-F11)+IF(AND(Q10=4,Q7=4),C10-F7)+IF(AND(Q10=4,Q8=4),D10-F8)+IF(AND(Q10=4,Q9=4),E10-F9)+IF(AND(Q10=4,Q11=4),G10-F11)</f>
        <v>0</v>
      </c>
      <c r="M10" s="483">
        <f>SUM(AND(R10=R7,C10&gt;F7),AND(R10=R8,D10&gt;F8),AND(R10=R9,E10&gt;F9),AND(R10=R11,G10&gt;F11))</f>
        <v>0</v>
      </c>
      <c r="N10" s="537" t="str">
        <f>SUM(C10:G10)&amp;"-"&amp;SUM(F7:F11)</f>
        <v>0-0</v>
      </c>
      <c r="O10" s="538">
        <f>C10+D10+E10+G10-F7-F8-F9-F11</f>
        <v>0</v>
      </c>
      <c r="P10" s="485" t="e">
        <f>SUM(C10:G10,F7:F11)/SUM(F7:F11)</f>
        <v>#DIV/0!</v>
      </c>
      <c r="Q10" s="491">
        <f>VALUE(LEFT(H10,1))</f>
        <v>0</v>
      </c>
      <c r="R10" s="321">
        <f>Q10*100000+J10*10000+K10*1000+100*L10</f>
        <v>0</v>
      </c>
      <c r="S10" s="486">
        <f>R10+M10*0.1+IF(ISNONTEXT(B10),0,0.01)+0.0001*O10</f>
        <v>0</v>
      </c>
      <c r="T10" s="487" t="str">
        <f>Q10&amp;J10</f>
        <v>00</v>
      </c>
      <c r="U10" s="477"/>
      <c r="V10" s="477"/>
      <c r="W10" s="477"/>
      <c r="X10" s="477"/>
      <c r="Y10" s="477"/>
      <c r="Z10" s="477"/>
      <c r="AA10" s="485"/>
      <c r="AD10" s="405">
        <f t="shared" si="0"/>
        <v>0</v>
      </c>
      <c r="AE10" s="406" t="str">
        <f>IFERROR(INDEX(V!$R:$R,MATCH(AF10,V!$L:$L,0)),"")</f>
        <v/>
      </c>
      <c r="AF10" s="407" t="str">
        <f t="shared" si="1"/>
        <v/>
      </c>
      <c r="AG10" s="406" t="str">
        <f>IFERROR(INDEX(V!$R:$R,MATCH(AH10,V!$L:$L,0)),"")</f>
        <v/>
      </c>
      <c r="AH10" s="407" t="str">
        <f t="shared" si="2"/>
        <v/>
      </c>
      <c r="AI10" s="406" t="str">
        <f>IFERROR(INDEX(V!$R:$R,MATCH(AJ10,V!$L:$L,0)),"")</f>
        <v/>
      </c>
      <c r="AJ10" s="407" t="str">
        <f t="shared" si="3"/>
        <v/>
      </c>
      <c r="AK10" s="406" t="str">
        <f>IFERROR(INDEX(V!$R:$R,MATCH(AL10,V!$L:$L,0)),"")</f>
        <v/>
      </c>
      <c r="AL10" s="407" t="str">
        <f t="shared" si="4"/>
        <v/>
      </c>
      <c r="AM10" s="406" t="str">
        <f>IFERROR(INDEX(V!$R:$R,MATCH(AN10,V!$L:$L,0)),"")</f>
        <v/>
      </c>
      <c r="AN10" s="407" t="str">
        <f t="shared" si="5"/>
        <v/>
      </c>
      <c r="AO10" s="406" t="str">
        <f>IFERROR(INDEX(V!$R:$R,MATCH(AP10,V!$L:$L,0)),"")</f>
        <v/>
      </c>
      <c r="AP10" s="407" t="str">
        <f t="shared" si="6"/>
        <v/>
      </c>
    </row>
    <row r="11" spans="1:42" hidden="1" x14ac:dyDescent="0.2">
      <c r="A11" s="316">
        <v>5</v>
      </c>
      <c r="B11" s="493"/>
      <c r="C11" s="318"/>
      <c r="D11" s="318"/>
      <c r="E11" s="318"/>
      <c r="F11" s="318"/>
      <c r="G11" s="319"/>
      <c r="H11" s="317" t="str">
        <f>(IF(C11-G7&gt;0,1)+IF(D11-G8&gt;0,1)+IF(E11-G9&gt;0,1)+IF(F11-G10&gt;0,1))&amp;"-"&amp;(IF(C11-G7&lt;0,1)+IF(D11-G8&lt;0,1)+IF(E11-G9&lt;0,1)+IF(F11-G10&lt;0,1))</f>
        <v>0-0</v>
      </c>
      <c r="I11" s="318" t="str">
        <f>IF(AND(B11&lt;&gt;"",R$6=TRUE),A$6&amp;RANK(S11,S$7:S$11,0)," ")</f>
        <v xml:space="preserve"> </v>
      </c>
      <c r="J11" s="489">
        <f>IF(AND(Q11=1,Q7=1,C11&gt;G7),1)+IF(AND(Q11=1,Q8=1,D11&gt;G8),1)+IF(AND(Q11=1,Q9=1,E11&gt;G9),1)+IF(AND(Q11=1,Q10=1,F11&gt;G10),1)+IF(AND(Q11=2,Q7=2,C11&gt;G7),1)+IF(AND(Q11=2,Q8=2,D11&gt;G8),1)+IF(AND(Q11=2,Q9=2,E11&gt;G9),1)+IF(AND(Q11=2,Q10=2,F11&gt;G10),1)+IF(AND(Q11=3,Q7=3,C11&gt;G7),1)+IF(AND(Q11=3,Q8=3,D11&gt;G8),1)+IF(AND(Q11=3,Q9=3,E11&gt;G9),1)+IF(AND(Q11=3,Q10=3,F11&gt;G10),1)</f>
        <v>0</v>
      </c>
      <c r="K11" s="483">
        <f>SUM(AND(T11=T7,C11&gt;G7),AND(T11=T8,D11&gt;G8),AND(T11=T9,E11&gt;G9),AND(T11=T10,F11&gt;G10))</f>
        <v>0</v>
      </c>
      <c r="L11" s="490">
        <f>IF(AND(Q11=1,Q7=1),C11-G7)+IF(AND(Q11=1,Q8=1),D11-G8)+IF(AND(Q11=1,Q9=1),E11-G9)+IF(AND(Q11=1,Q10=1),F11-G10)+IF(AND(Q11=2,Q7=2),C11-G7)+IF(AND(Q11=2,Q8=2),D11-G8)+IF(AND(Q11=2,Q9=2),E11-G9)+IF(AND(Q11=2,Q10=2),F11-G10)+IF(AND(Q11=3,Q7=3),C11-G7)+IF(AND(Q11=3,Q8=3),D11-G8)+IF(AND(Q11=3,Q9=3),E11-G9)+IF(AND(Q11=3,Q10=3),F11-G10)+IF(AND(Q11=4,Q7=4),C11-G7)+IF(AND(Q11=4,Q8=4),D11-G8)+IF(AND(Q11=4,Q9=4),E11-G9)+IF(AND(Q11=4,Q10=4),F11-G10)</f>
        <v>0</v>
      </c>
      <c r="M11" s="483">
        <f>SUM(AND(R11=R7,C11&gt;G7),AND(R11=R8,D11&gt;G8),AND(R11=R9,E11&gt;G9),AND(R11=R10,F11&gt;G10))</f>
        <v>0</v>
      </c>
      <c r="N11" s="537" t="str">
        <f>SUM(C11:G11)&amp;"-"&amp;SUM(G7:G11)</f>
        <v>0-0</v>
      </c>
      <c r="O11" s="538">
        <f>C11+D11+E11+F11-G7-G8-G9-G10</f>
        <v>0</v>
      </c>
      <c r="P11" s="485" t="e">
        <f>SUM(C11:G11,G7:G11)/SUM(G7:G11)</f>
        <v>#DIV/0!</v>
      </c>
      <c r="Q11" s="491">
        <f>VALUE(LEFT(H11,1))</f>
        <v>0</v>
      </c>
      <c r="R11" s="321">
        <f>Q11*100000+J11*10000+K11*1000+100*L11</f>
        <v>0</v>
      </c>
      <c r="S11" s="486">
        <f>R11+M11*0.1+IF(ISNONTEXT(B11),0,0.01)+0.0001*O11</f>
        <v>0</v>
      </c>
      <c r="T11" s="487" t="str">
        <f>Q11&amp;J11</f>
        <v>00</v>
      </c>
      <c r="U11" s="477"/>
      <c r="V11" s="477"/>
      <c r="W11" s="477"/>
      <c r="X11" s="477"/>
      <c r="Y11" s="477"/>
      <c r="Z11" s="477"/>
      <c r="AA11" s="485"/>
      <c r="AD11" s="405">
        <f t="shared" si="0"/>
        <v>0</v>
      </c>
      <c r="AE11" s="406" t="str">
        <f>IFERROR(INDEX(V!$R:$R,MATCH(AF11,V!$L:$L,0)),"")</f>
        <v/>
      </c>
      <c r="AF11" s="407" t="str">
        <f t="shared" si="1"/>
        <v/>
      </c>
      <c r="AG11" s="406" t="str">
        <f>IFERROR(INDEX(V!$R:$R,MATCH(AH11,V!$L:$L,0)),"")</f>
        <v/>
      </c>
      <c r="AH11" s="407" t="str">
        <f t="shared" si="2"/>
        <v/>
      </c>
      <c r="AI11" s="406" t="str">
        <f>IFERROR(INDEX(V!$R:$R,MATCH(AJ11,V!$L:$L,0)),"")</f>
        <v/>
      </c>
      <c r="AJ11" s="407" t="str">
        <f t="shared" si="3"/>
        <v/>
      </c>
      <c r="AK11" s="406" t="str">
        <f>IFERROR(INDEX(V!$R:$R,MATCH(AL11,V!$L:$L,0)),"")</f>
        <v/>
      </c>
      <c r="AL11" s="407" t="str">
        <f t="shared" si="4"/>
        <v/>
      </c>
      <c r="AM11" s="406" t="str">
        <f>IFERROR(INDEX(V!$R:$R,MATCH(AN11,V!$L:$L,0)),"")</f>
        <v/>
      </c>
      <c r="AN11" s="407" t="str">
        <f t="shared" si="5"/>
        <v/>
      </c>
      <c r="AO11" s="406" t="str">
        <f>IFERROR(INDEX(V!$R:$R,MATCH(AP11,V!$L:$L,0)),"")</f>
        <v/>
      </c>
      <c r="AP11" s="407" t="str">
        <f t="shared" si="6"/>
        <v/>
      </c>
    </row>
    <row r="12" spans="1:42" x14ac:dyDescent="0.2">
      <c r="A12" s="494"/>
      <c r="B12" s="495"/>
      <c r="C12" s="496"/>
      <c r="D12" s="497"/>
      <c r="E12" s="498"/>
      <c r="F12" s="498"/>
      <c r="G12" s="499"/>
      <c r="H12" s="500"/>
      <c r="I12" s="501"/>
      <c r="J12" s="477"/>
      <c r="K12" s="477"/>
      <c r="L12" s="477"/>
      <c r="M12" s="477"/>
      <c r="N12" s="539"/>
      <c r="O12" s="539"/>
      <c r="P12" s="477"/>
      <c r="Q12" s="477"/>
      <c r="R12" s="502" t="s">
        <v>264</v>
      </c>
      <c r="S12" s="477"/>
      <c r="T12" s="477"/>
      <c r="U12" s="477"/>
      <c r="V12" s="477"/>
      <c r="W12" s="477"/>
      <c r="X12" s="477"/>
      <c r="Y12" s="477"/>
      <c r="Z12" s="477"/>
      <c r="AA12" s="485"/>
      <c r="AD12" s="405">
        <f t="shared" si="0"/>
        <v>0</v>
      </c>
      <c r="AE12" s="406" t="str">
        <f>IFERROR(INDEX(V!$R:$R,MATCH(AF12,V!$L:$L,0)),"")</f>
        <v/>
      </c>
      <c r="AF12" s="407" t="str">
        <f t="shared" si="1"/>
        <v/>
      </c>
      <c r="AG12" s="406" t="str">
        <f>IFERROR(INDEX(V!$R:$R,MATCH(AH12,V!$L:$L,0)),"")</f>
        <v/>
      </c>
      <c r="AH12" s="407" t="str">
        <f t="shared" si="2"/>
        <v/>
      </c>
      <c r="AI12" s="406" t="str">
        <f>IFERROR(INDEX(V!$R:$R,MATCH(AJ12,V!$L:$L,0)),"")</f>
        <v/>
      </c>
      <c r="AJ12" s="407" t="str">
        <f t="shared" si="3"/>
        <v/>
      </c>
      <c r="AK12" s="406" t="str">
        <f>IFERROR(INDEX(V!$R:$R,MATCH(AL12,V!$L:$L,0)),"")</f>
        <v/>
      </c>
      <c r="AL12" s="407" t="str">
        <f t="shared" si="4"/>
        <v/>
      </c>
      <c r="AM12" s="406" t="str">
        <f>IFERROR(INDEX(V!$R:$R,MATCH(AN12,V!$L:$L,0)),"")</f>
        <v/>
      </c>
      <c r="AN12" s="407" t="str">
        <f t="shared" si="5"/>
        <v/>
      </c>
      <c r="AO12" s="406" t="str">
        <f>IFERROR(INDEX(V!$R:$R,MATCH(AP12,V!$L:$L,0)),"")</f>
        <v/>
      </c>
      <c r="AP12" s="407" t="str">
        <f t="shared" si="6"/>
        <v/>
      </c>
    </row>
    <row r="13" spans="1:42" x14ac:dyDescent="0.2">
      <c r="A13" s="316" t="s">
        <v>1</v>
      </c>
      <c r="B13" s="503"/>
      <c r="C13" s="467">
        <v>1</v>
      </c>
      <c r="D13" s="467">
        <v>2</v>
      </c>
      <c r="E13" s="467">
        <v>3</v>
      </c>
      <c r="F13" s="467"/>
      <c r="G13" s="467"/>
      <c r="H13" s="468" t="s">
        <v>168</v>
      </c>
      <c r="I13" s="468" t="s">
        <v>169</v>
      </c>
      <c r="J13" s="504" t="s">
        <v>257</v>
      </c>
      <c r="K13" s="505" t="s">
        <v>258</v>
      </c>
      <c r="L13" s="506" t="s">
        <v>259</v>
      </c>
      <c r="M13" s="506" t="s">
        <v>260</v>
      </c>
      <c r="N13" s="472" t="s">
        <v>170</v>
      </c>
      <c r="O13" s="472" t="s">
        <v>170</v>
      </c>
      <c r="P13" s="473" t="s">
        <v>261</v>
      </c>
      <c r="Q13" s="507" t="s">
        <v>21</v>
      </c>
      <c r="R13" s="507" t="b">
        <f>OR(AND(COUNTA(B14:B18)=3,COUNTA(C14:G18)=6),AND(COUNTA(B14:B18)=4,COUNTA(C14:G18)=12),AND(COUNTA(B14:B18)=5,COUNTA(C14:G18)=20))</f>
        <v>1</v>
      </c>
      <c r="S13" s="508" t="s">
        <v>262</v>
      </c>
      <c r="T13" s="509" t="s">
        <v>263</v>
      </c>
      <c r="U13" s="477"/>
      <c r="V13" s="477"/>
      <c r="W13" s="477"/>
      <c r="X13" s="477"/>
      <c r="Y13" s="477"/>
      <c r="Z13" s="477"/>
      <c r="AA13" s="485"/>
      <c r="AD13" s="405">
        <f t="shared" si="0"/>
        <v>0</v>
      </c>
      <c r="AE13" s="406" t="str">
        <f>IFERROR(INDEX(V!$R:$R,MATCH(AF13,V!$L:$L,0)),"")</f>
        <v/>
      </c>
      <c r="AF13" s="407" t="str">
        <f t="shared" si="1"/>
        <v/>
      </c>
      <c r="AG13" s="406" t="str">
        <f>IFERROR(INDEX(V!$R:$R,MATCH(AH13,V!$L:$L,0)),"")</f>
        <v/>
      </c>
      <c r="AH13" s="407" t="str">
        <f t="shared" si="2"/>
        <v/>
      </c>
      <c r="AI13" s="406" t="str">
        <f>IFERROR(INDEX(V!$R:$R,MATCH(AJ13,V!$L:$L,0)),"")</f>
        <v/>
      </c>
      <c r="AJ13" s="407" t="str">
        <f t="shared" si="3"/>
        <v/>
      </c>
      <c r="AK13" s="406" t="str">
        <f>IFERROR(INDEX(V!$R:$R,MATCH(AL13,V!$L:$L,0)),"")</f>
        <v/>
      </c>
      <c r="AL13" s="407" t="str">
        <f t="shared" si="4"/>
        <v/>
      </c>
      <c r="AM13" s="406" t="str">
        <f>IFERROR(INDEX(V!$R:$R,MATCH(AN13,V!$L:$L,0)),"")</f>
        <v/>
      </c>
      <c r="AN13" s="407" t="str">
        <f t="shared" si="5"/>
        <v/>
      </c>
      <c r="AO13" s="406" t="str">
        <f>IFERROR(INDEX(V!$R:$R,MATCH(AP13,V!$L:$L,0)),"")</f>
        <v/>
      </c>
      <c r="AP13" s="407" t="str">
        <f t="shared" si="6"/>
        <v/>
      </c>
    </row>
    <row r="14" spans="1:42" x14ac:dyDescent="0.2">
      <c r="A14" s="316">
        <v>1</v>
      </c>
      <c r="B14" s="510" t="s">
        <v>308</v>
      </c>
      <c r="C14" s="319"/>
      <c r="D14" s="318">
        <v>13</v>
      </c>
      <c r="E14" s="318">
        <v>13</v>
      </c>
      <c r="F14" s="318"/>
      <c r="G14" s="318"/>
      <c r="H14" s="317" t="str">
        <f>(IF(D14-C15&gt;0,1)+IF(E14-C16&gt;0,1)+IF(F14-C17&gt;0,1)+IF(G14-C18&gt;0,1))&amp;"-"&amp;(IF(D14-C15&lt;0,1)+IF(E14-C16&lt;0,1)+IF(F14-C17&lt;0,1)+IF(G14-C18&lt;0,1))</f>
        <v>2-0</v>
      </c>
      <c r="I14" s="318" t="str">
        <f>IF(AND(B14&lt;&gt;"",R$6=TRUE),A$13&amp;RANK(S14,S$14:S$18,0)," ")</f>
        <v>B1</v>
      </c>
      <c r="J14" s="480">
        <f>IF(AND(Q14=1,Q15=1,D14&gt;C15),1)+IF(AND(Q14=1,Q16=1,E14&gt;C16),1)+IF(AND(Q14=1,Q17=1,F14&gt;C17),1)+IF(AND(Q14=1,Q18=1,G14&gt;C18),1)+IF(AND(Q14=2,Q15=2,D14&gt;C15),1)+IF(AND(Q14=2,Q16=2,E14&gt;C16),1)+IF(AND(Q14=2,Q17=2,F14&gt;C17),1)+IF(AND(Q14=2,Q18=2,G14&gt;C18),1)+IF(AND(Q14=3,Q15=3,D14&gt;C15),1)+IF(AND(Q14=3,Q16=3,E14&gt;C16),1)+IF(AND(Q14=3,Q17=3,F14&gt;C17),1)+IF(AND(Q14=3,Q18=3,G14&gt;C18),1)</f>
        <v>0</v>
      </c>
      <c r="K14" s="481">
        <f>SUM(AND(T14=T15,D14&gt;C15),AND(T14=T16,E14&gt;C16),AND(T14=T17,F14&gt;C17),AND(T14=T18,G14&gt;C18))</f>
        <v>0</v>
      </c>
      <c r="L14" s="482">
        <f>IF(AND(Q14=1,Q15=1),D14-C15)+IF(AND(Q14=1,Q16=1),E14-C16)+IF(AND(Q14=1,Q17=1),F14-C17)+IF(AND(Q14=1,Q18=1),G14-C18)+IF(AND(Q14=2,Q15=2),D14-C15)+IF(AND(Q14=2,Q16=2),E14-C16)+IF(AND(Q14=2,Q17=2),F14-C17)+IF(AND(Q14=2,Q18=2),G14-C18)+IF(AND(Q14=3,Q15=3),D14-C15)+IF(AND(Q14=3,Q16=3),E14-C16)+IF(AND(Q14=3,Q17=3),F14-C17)+IF(AND(Q14=3,Q18=3),G14-C18)+IF(AND(Q14=4,Q15=4),D14-C15)+IF(AND(Q14=4,Q16=4),E14-C16)+IF(AND(Q14=4,Q17=4),F14-C17)+IF(AND(Q14=4,Q18=4),G14-C18)</f>
        <v>0</v>
      </c>
      <c r="M14" s="483">
        <f>SUM(AND(R14=R15,D14&gt;C15),AND(R14=R16,E14&gt;C16),AND(R14=R17,F14&gt;C17),AND(R14=R18,G14&gt;C18))</f>
        <v>0</v>
      </c>
      <c r="N14" s="537" t="str">
        <f>SUM(C14:G14)&amp;"-"&amp;SUM(C14:C18)</f>
        <v>26-19</v>
      </c>
      <c r="O14" s="538">
        <f>D14+E14+F14+G14-C15-C16-C17-C18</f>
        <v>7</v>
      </c>
      <c r="P14" s="485">
        <f>SUM(C14:G14,C14:C18)/SUM(C14:C18)</f>
        <v>2.3684210526315788</v>
      </c>
      <c r="Q14" s="320">
        <f>VALUE(LEFT(H14,1))</f>
        <v>2</v>
      </c>
      <c r="R14" s="321">
        <f>Q14*100000+J14*10000+K14*1000+100*L14</f>
        <v>200000</v>
      </c>
      <c r="S14" s="486">
        <f>R14+M14*0.1+IF(ISNONTEXT(B14),0,0.01)+0.0001*O14</f>
        <v>200000.01070000001</v>
      </c>
      <c r="T14" s="487" t="str">
        <f>Q14&amp;J14</f>
        <v>20</v>
      </c>
      <c r="U14" s="477"/>
      <c r="V14" s="477"/>
      <c r="W14" s="477"/>
      <c r="X14" s="477"/>
      <c r="Y14" s="477"/>
      <c r="Z14" s="477"/>
      <c r="AA14" s="485"/>
      <c r="AD14" s="405">
        <f t="shared" si="0"/>
        <v>298.5</v>
      </c>
      <c r="AE14" s="406">
        <f>IFERROR(INDEX(V!$R:$R,MATCH(AF14,V!$L:$L,0)),"")</f>
        <v>187</v>
      </c>
      <c r="AF14" s="407" t="str">
        <f t="shared" si="1"/>
        <v>Kenneth Muusikus</v>
      </c>
      <c r="AG14" s="406">
        <f>IFERROR(INDEX(V!$R:$R,MATCH(AH14,V!$L:$L,0)),"")</f>
        <v>111.5</v>
      </c>
      <c r="AH14" s="407" t="str">
        <f t="shared" si="2"/>
        <v>Ülo Piik</v>
      </c>
      <c r="AI14" s="406" t="str">
        <f>IFERROR(INDEX(V!$R:$R,MATCH(AJ14,V!$L:$L,0)),"")</f>
        <v/>
      </c>
      <c r="AJ14" s="407" t="str">
        <f t="shared" si="3"/>
        <v/>
      </c>
      <c r="AK14" s="406" t="str">
        <f>IFERROR(INDEX(V!$R:$R,MATCH(AL14,V!$L:$L,0)),"")</f>
        <v/>
      </c>
      <c r="AL14" s="407" t="str">
        <f t="shared" si="4"/>
        <v/>
      </c>
      <c r="AM14" s="406" t="str">
        <f>IFERROR(INDEX(V!$R:$R,MATCH(AN14,V!$L:$L,0)),"")</f>
        <v/>
      </c>
      <c r="AN14" s="407" t="str">
        <f t="shared" si="5"/>
        <v/>
      </c>
      <c r="AO14" s="406" t="str">
        <f>IFERROR(INDEX(V!$R:$R,MATCH(AP14,V!$L:$L,0)),"")</f>
        <v/>
      </c>
      <c r="AP14" s="407" t="str">
        <f t="shared" si="6"/>
        <v/>
      </c>
    </row>
    <row r="15" spans="1:42" x14ac:dyDescent="0.2">
      <c r="A15" s="316">
        <v>2</v>
      </c>
      <c r="B15" s="479" t="s">
        <v>280</v>
      </c>
      <c r="C15" s="318">
        <v>10</v>
      </c>
      <c r="D15" s="319"/>
      <c r="E15" s="318">
        <v>13</v>
      </c>
      <c r="F15" s="318"/>
      <c r="G15" s="318"/>
      <c r="H15" s="317" t="str">
        <f>(IF(C15-D14&gt;0,1)+IF(E15-D16&gt;0,1)+IF(F15-D17&gt;0,1)+IF(G15-D18&gt;0,1))&amp;"-"&amp;(IF(C15-D14&lt;0,1)+IF(E15-D16&lt;0,1)+IF(F15-D17&lt;0,1)+IF(G15-D18&lt;0,1))</f>
        <v>1-1</v>
      </c>
      <c r="I15" s="318" t="str">
        <f>IF(AND(B15&lt;&gt;"",R$6=TRUE),A$13&amp;RANK(S15,S$14:S$18,0)," ")</f>
        <v>B2</v>
      </c>
      <c r="J15" s="489">
        <f>IF(AND(Q15=1,Q14=1,C15&gt;D14),1)+IF(AND(Q15=1,Q16=1,E15&gt;D16),1)+IF(AND(Q15=1,Q17=1,F15&gt;D17),1)+IF(AND(Q15=1,Q18=1,G15&gt;D18),1)+IF(AND(Q15=2,Q14=2,C15&gt;D14),1)+IF(AND(Q15=2,Q16=2,E15&gt;D16),1)+IF(AND(Q15=2,Q17=2,F15&gt;D17),1)+IF(AND(Q15=2,Q18=2,G15&gt;D18),1)+IF(AND(Q15=3,Q14=3,C15&gt;D14),1)+IF(AND(Q15=3,Q16=3,E15&gt;D16),1)+IF(AND(Q15=3,Q17=3,F15&gt;D17),1)+IF(AND(Q15=3,Q18=3,G15&gt;D18),1)</f>
        <v>0</v>
      </c>
      <c r="K15" s="483">
        <f>SUM(AND(T15=T14,C15&gt;D14),AND(T15=T16,E15&gt;D16),AND(T15=T17,F15&gt;D17),AND(T15=T18,G15&gt;D18))</f>
        <v>0</v>
      </c>
      <c r="L15" s="490">
        <f>IF(AND(Q15=1,Q14=1),C15-D14)+IF(AND(Q15=1,Q16=1),E15-D16)+IF(AND(Q15=1,Q17=1),F15-D17)+IF(AND(Q15=1,Q18=1),G15-D18)+IF(AND(Q15=2,Q14=2),C15-D14)+IF(AND(Q15=2,Q16=2),E15-D16)+IF(AND(Q15=2,Q17=2),F15-D17)+IF(AND(Q15=2,Q18=2),G15-D18)+IF(AND(Q15=3,Q14=3),C15-D14)+IF(AND(Q15=3,Q16=3),E15-D16)+IF(AND(Q15=3,Q17=3),F15-D17)+IF(AND(Q15=3,Q18=3),G15-D18)+IF(AND(Q15=4,Q14=4),C15-D14)+IF(AND(Q15=4,Q16=4),E15-D16)+IF(AND(Q15=4,Q17=4),F15-D17)+IF(AND(Q15=4,Q18=4),G15-D18)</f>
        <v>0</v>
      </c>
      <c r="M15" s="483">
        <f>SUM(AND(R15=R14,C15&gt;D14),AND(R15=R16,E15&gt;D16),AND(R15=R17,F15&gt;D17),AND(R15=R18,G15&gt;D18))</f>
        <v>0</v>
      </c>
      <c r="N15" s="537" t="str">
        <f>SUM(C15:G15)&amp;"-"&amp;SUM(D14:D18)</f>
        <v>23-19</v>
      </c>
      <c r="O15" s="538">
        <f>C15+E15+F15+G15-D14-D16-D17-D18</f>
        <v>4</v>
      </c>
      <c r="P15" s="485">
        <f>SUM(C15:G15,D14:D18)/SUM(D14:D18)</f>
        <v>2.2105263157894739</v>
      </c>
      <c r="Q15" s="491">
        <f>VALUE(LEFT(H15,1))</f>
        <v>1</v>
      </c>
      <c r="R15" s="321">
        <f>Q15*100000+J15*10000+K15*1000+100*L15</f>
        <v>100000</v>
      </c>
      <c r="S15" s="486">
        <f>R15+M15*0.1+IF(ISNONTEXT(B15),0,0.01)+0.0001*O15</f>
        <v>100000.0104</v>
      </c>
      <c r="T15" s="487" t="str">
        <f>Q15&amp;J15</f>
        <v>10</v>
      </c>
      <c r="U15" s="477"/>
      <c r="V15" s="477"/>
      <c r="W15" s="477"/>
      <c r="X15" s="477"/>
      <c r="Y15" s="477"/>
      <c r="Z15" s="477"/>
      <c r="AA15" s="485"/>
      <c r="AD15" s="405">
        <f t="shared" si="0"/>
        <v>223</v>
      </c>
      <c r="AE15" s="406">
        <f>IFERROR(INDEX(V!$R:$R,MATCH(AF15,V!$L:$L,0)),"")</f>
        <v>118</v>
      </c>
      <c r="AF15" s="407" t="str">
        <f t="shared" si="1"/>
        <v>Enn Tokman</v>
      </c>
      <c r="AG15" s="406">
        <f>IFERROR(INDEX(V!$R:$R,MATCH(AH15,V!$L:$L,0)),"")</f>
        <v>105</v>
      </c>
      <c r="AH15" s="407" t="str">
        <f t="shared" si="2"/>
        <v>Tarmo Bombe</v>
      </c>
      <c r="AI15" s="406" t="str">
        <f>IFERROR(INDEX(V!$R:$R,MATCH(AJ15,V!$L:$L,0)),"")</f>
        <v/>
      </c>
      <c r="AJ15" s="407" t="str">
        <f t="shared" si="3"/>
        <v/>
      </c>
      <c r="AK15" s="406" t="str">
        <f>IFERROR(INDEX(V!$R:$R,MATCH(AL15,V!$L:$L,0)),"")</f>
        <v/>
      </c>
      <c r="AL15" s="407" t="str">
        <f t="shared" si="4"/>
        <v/>
      </c>
      <c r="AM15" s="406" t="str">
        <f>IFERROR(INDEX(V!$R:$R,MATCH(AN15,V!$L:$L,0)),"")</f>
        <v/>
      </c>
      <c r="AN15" s="407" t="str">
        <f t="shared" si="5"/>
        <v/>
      </c>
      <c r="AO15" s="406" t="str">
        <f>IFERROR(INDEX(V!$R:$R,MATCH(AP15,V!$L:$L,0)),"")</f>
        <v/>
      </c>
      <c r="AP15" s="407" t="str">
        <f t="shared" si="6"/>
        <v/>
      </c>
    </row>
    <row r="16" spans="1:42" x14ac:dyDescent="0.2">
      <c r="A16" s="316">
        <v>3</v>
      </c>
      <c r="B16" s="488" t="s">
        <v>309</v>
      </c>
      <c r="C16" s="318">
        <v>9</v>
      </c>
      <c r="D16" s="492">
        <v>6</v>
      </c>
      <c r="E16" s="319"/>
      <c r="F16" s="318"/>
      <c r="G16" s="318"/>
      <c r="H16" s="317" t="str">
        <f>(IF(C16-E14&gt;0,1)+IF(D16-E15&gt;0,1)+IF(F16-E17&gt;0,1)+IF(G16-E18&gt;0,1))&amp;"-"&amp;(IF(C16-E14&lt;0,1)+IF(D16-E15&lt;0,1)+IF(F16-E17&lt;0,1)+IF(G16-E18&lt;0,1))</f>
        <v>0-2</v>
      </c>
      <c r="I16" s="318" t="str">
        <f>IF(AND(B16&lt;&gt;"",R$6=TRUE),A$13&amp;RANK(S16,S$14:S$18,0)," ")</f>
        <v>B3</v>
      </c>
      <c r="J16" s="489">
        <f>IF(AND(Q16=1,Q14=1,C16&gt;E14),1)+IF(AND(Q16=1,Q15=1,D16&gt;E15),1)+IF(AND(Q16=1,Q17=1,F16&gt;E17),1)+IF(AND(Q16=1,Q18=1,G16&gt;E18),1)+IF(AND(Q16=2,Q14=2,C16&gt;E14),1)+IF(AND(Q16=2,Q15=2,D16&gt;E15),1)+IF(AND(Q16=2,Q17=2,F16&gt;E17),1)+IF(AND(Q16=2,Q18=2,G16&gt;E18),1)+IF(AND(Q16=3,Q14=3,C16&gt;E14),1)+IF(AND(Q16=3,Q15=3,D16&gt;E15),1)+IF(AND(Q16=3,Q17=3,F16&gt;E17),1)+IF(AND(Q16=3,Q18=3,G16&gt;E18),1)</f>
        <v>0</v>
      </c>
      <c r="K16" s="483">
        <f>SUM(AND(T16=T14,C16&gt;E14),AND(T16=T15,D16&gt;E15),AND(T16=T17,F16&gt;E17),AND(T16=T18,G16&gt;E18))</f>
        <v>0</v>
      </c>
      <c r="L16" s="490">
        <f>IF(AND(Q16=1,Q14=1),C16-E14)+IF(AND(Q16=1,Q15=1),D16-E15)+IF(AND(Q16=1,Q17=1),F16-E17)+IF(AND(Q16=1,Q18=1),G16-E18)+IF(AND(Q16=2,Q14=2),C16-E14)+IF(AND(Q16=2,Q15=2),D16-E15)+IF(AND(Q16=2,Q17=2),F16-E17)+IF(AND(Q16=2,Q18=2),G16-E18)+IF(AND(Q16=3,Q14=3),C16-E14)+IF(AND(Q16=3,Q15=3),D16-E15)+IF(AND(Q16=3,Q17=3),F16-E17)+IF(AND(Q16=3,Q18=3),G16-E18)+IF(AND(Q16=4,Q14=4),C16-E14)+IF(AND(Q16=4,Q15=4),D16-E15)+IF(AND(Q16=4,Q17=4),F16-E17)+IF(AND(Q16=4,Q18=4),G16-E18)</f>
        <v>0</v>
      </c>
      <c r="M16" s="483">
        <f>SUM(AND(R16=R14,C16&gt;E14),AND(R16=R15,D16&gt;E15),AND(R16=R17,F16&gt;E17),AND(R16=R18,G16&gt;E18))</f>
        <v>0</v>
      </c>
      <c r="N16" s="537" t="str">
        <f>SUM(C16:G16)&amp;"-"&amp;SUM(E14:E18)</f>
        <v>15-26</v>
      </c>
      <c r="O16" s="538">
        <f>C16+D16+F16+G16-E14-E15-E17-E18</f>
        <v>-11</v>
      </c>
      <c r="P16" s="485">
        <f>SUM(C16:G16,E14:E18)/SUM(E14:E18)</f>
        <v>1.5769230769230769</v>
      </c>
      <c r="Q16" s="491">
        <f>VALUE(LEFT(H16,1))</f>
        <v>0</v>
      </c>
      <c r="R16" s="321">
        <f>Q16*100000+J16*10000+K16*1000+100*L16</f>
        <v>0</v>
      </c>
      <c r="S16" s="486">
        <f>R16+M16*0.1+IF(ISNONTEXT(B16),0,0.01)+0.0001*O16</f>
        <v>8.8999999999999999E-3</v>
      </c>
      <c r="T16" s="487" t="str">
        <f>Q16&amp;J16</f>
        <v>00</v>
      </c>
      <c r="U16" s="477"/>
      <c r="V16" s="477"/>
      <c r="W16" s="477"/>
      <c r="X16" s="477"/>
      <c r="Y16" s="477"/>
      <c r="Z16" s="477"/>
      <c r="AA16" s="485"/>
      <c r="AD16" s="405">
        <f t="shared" si="0"/>
        <v>224</v>
      </c>
      <c r="AE16" s="406">
        <f>IFERROR(INDEX(V!$R:$R,MATCH(AF16,V!$L:$L,0)),"")</f>
        <v>112</v>
      </c>
      <c r="AF16" s="407" t="str">
        <f t="shared" si="1"/>
        <v>Ljudmila Varendi</v>
      </c>
      <c r="AG16" s="406">
        <f>IFERROR(INDEX(V!$R:$R,MATCH(AH16,V!$L:$L,0)),"")</f>
        <v>112</v>
      </c>
      <c r="AH16" s="407" t="str">
        <f t="shared" si="2"/>
        <v>Viktor Švarõgin</v>
      </c>
      <c r="AI16" s="406" t="str">
        <f>IFERROR(INDEX(V!$R:$R,MATCH(AJ16,V!$L:$L,0)),"")</f>
        <v/>
      </c>
      <c r="AJ16" s="407" t="str">
        <f t="shared" si="3"/>
        <v/>
      </c>
      <c r="AK16" s="406" t="str">
        <f>IFERROR(INDEX(V!$R:$R,MATCH(AL16,V!$L:$L,0)),"")</f>
        <v/>
      </c>
      <c r="AL16" s="407" t="str">
        <f t="shared" si="4"/>
        <v/>
      </c>
      <c r="AM16" s="406" t="str">
        <f>IFERROR(INDEX(V!$R:$R,MATCH(AN16,V!$L:$L,0)),"")</f>
        <v/>
      </c>
      <c r="AN16" s="407" t="str">
        <f t="shared" si="5"/>
        <v/>
      </c>
      <c r="AO16" s="406" t="str">
        <f>IFERROR(INDEX(V!$R:$R,MATCH(AP16,V!$L:$L,0)),"")</f>
        <v/>
      </c>
      <c r="AP16" s="407" t="str">
        <f t="shared" si="6"/>
        <v/>
      </c>
    </row>
    <row r="17" spans="1:42" hidden="1" x14ac:dyDescent="0.2">
      <c r="A17" s="316">
        <v>4</v>
      </c>
      <c r="B17" s="493"/>
      <c r="C17" s="318"/>
      <c r="D17" s="492"/>
      <c r="E17" s="318"/>
      <c r="F17" s="319"/>
      <c r="G17" s="511"/>
      <c r="H17" s="317" t="str">
        <f>(IF(C17-F14&gt;0,1)+IF(D17-F15&gt;0,1)+IF(E17-F16&gt;0,1)+IF(G17-F18&gt;0,1))&amp;"-"&amp;(IF(C17-F14&lt;0,1)+IF(D17-F15&lt;0,1)+IF(E17-F16&lt;0,1)+IF(G17-F18&lt;0,1))</f>
        <v>0-0</v>
      </c>
      <c r="I17" s="318" t="str">
        <f>IF(AND(B17&lt;&gt;"",R$6=TRUE),A$13&amp;RANK(S17,S$14:S$18,0)," ")</f>
        <v xml:space="preserve"> </v>
      </c>
      <c r="J17" s="489">
        <f>IF(AND(Q17=1,Q14=1,C17&gt;F14),1)+IF(AND(Q17=1,Q15=1,D17&gt;F15),1)+IF(AND(Q17=1,Q16=1,E17&gt;F16),1)+IF(AND(Q17=1,Q18=1,G17&gt;F18),1)+IF(AND(Q17=2,Q14=2,C17&gt;F14),1)+IF(AND(Q17=2,Q15=2,D17&gt;F15),1)+IF(AND(Q17=2,Q16=2,E17&gt;F16),1)+IF(AND(Q17=2,Q18=2,G17&gt;F18),1)+IF(AND(Q17=3,Q14=3,C17&gt;F14),1)+IF(AND(Q17=3,Q15=3,D17&gt;F15),1)+IF(AND(Q17=3,Q16=3,E17&gt;F16),1)+IF(AND(Q17=3,Q18=3,G17&gt;F18),1)</f>
        <v>0</v>
      </c>
      <c r="K17" s="483">
        <f>SUM(AND(T17=T14,C17&gt;F14),AND(T17=T15,D17&gt;F15),AND(T17=T16,E17&gt;F16),AND(T17=T18,G17&gt;F18))</f>
        <v>0</v>
      </c>
      <c r="L17" s="490">
        <f>IF(AND(Q17=1,Q14=1),C17-F14)+IF(AND(Q17=1,Q15=1),D17-F15)+IF(AND(Q17=1,Q16=1),E17-F16)+IF(AND(Q17=1,Q18=1),G17-F18)+IF(AND(Q17=2,Q14=2),C17-F14)+IF(AND(Q17=2,Q15=2),D17-F15)+IF(AND(Q17=2,Q16=2),E17-F16)+IF(AND(Q17=2,Q18=2),G17-F18)+IF(AND(Q17=3,Q14=3),C17-F14)+IF(AND(Q17=3,Q15=3),D17-F15)+IF(AND(Q17=3,Q16=3),E17-F16)+IF(AND(Q17=3,Q18=3),G17-F18)+IF(AND(Q17=4,Q14=4),C17-F14)+IF(AND(Q17=4,Q15=4),D17-F15)+IF(AND(Q17=4,Q16=4),E17-F16)+IF(AND(Q17=4,Q18=4),G17-F18)</f>
        <v>0</v>
      </c>
      <c r="M17" s="483">
        <f>SUM(AND(R17=R14,C17&gt;F14),AND(R17=R15,D17&gt;F15),AND(R17=R16,E17&gt;F16),AND(R17=R18,G17&gt;F18))</f>
        <v>0</v>
      </c>
      <c r="N17" s="537" t="str">
        <f>SUM(C17:G17)&amp;"-"&amp;SUM(F14:F18)</f>
        <v>0-0</v>
      </c>
      <c r="O17" s="538">
        <f>C17+D17+E17+G17-F14-F15-F16-F18</f>
        <v>0</v>
      </c>
      <c r="P17" s="485" t="e">
        <f>SUM(C17:G17,F14:F18)/SUM(F14:F18)</f>
        <v>#DIV/0!</v>
      </c>
      <c r="Q17" s="491">
        <f>VALUE(LEFT(H17,1))</f>
        <v>0</v>
      </c>
      <c r="R17" s="321">
        <f>Q17*100000+J17*10000+K17*1000+100*L17</f>
        <v>0</v>
      </c>
      <c r="S17" s="486">
        <f>R17+M17*0.1+IF(ISNONTEXT(B17),0,0.01)+0.0001*O17</f>
        <v>0</v>
      </c>
      <c r="T17" s="487" t="str">
        <f>Q17&amp;J17</f>
        <v>00</v>
      </c>
      <c r="U17" s="477"/>
      <c r="V17" s="477"/>
      <c r="W17" s="477"/>
      <c r="X17" s="477"/>
      <c r="Y17" s="477"/>
      <c r="Z17" s="477"/>
      <c r="AA17" s="485"/>
      <c r="AD17" s="405">
        <f t="shared" si="0"/>
        <v>0</v>
      </c>
      <c r="AE17" s="406" t="str">
        <f>IFERROR(INDEX(V!$R:$R,MATCH(AF17,V!$L:$L,0)),"")</f>
        <v/>
      </c>
      <c r="AF17" s="407" t="str">
        <f t="shared" si="1"/>
        <v/>
      </c>
      <c r="AG17" s="406" t="str">
        <f>IFERROR(INDEX(V!$R:$R,MATCH(AH17,V!$L:$L,0)),"")</f>
        <v/>
      </c>
      <c r="AH17" s="407" t="str">
        <f t="shared" si="2"/>
        <v/>
      </c>
      <c r="AI17" s="406" t="str">
        <f>IFERROR(INDEX(V!$R:$R,MATCH(AJ17,V!$L:$L,0)),"")</f>
        <v/>
      </c>
      <c r="AJ17" s="407" t="str">
        <f t="shared" si="3"/>
        <v/>
      </c>
      <c r="AK17" s="406" t="str">
        <f>IFERROR(INDEX(V!$R:$R,MATCH(AL17,V!$L:$L,0)),"")</f>
        <v/>
      </c>
      <c r="AL17" s="407" t="str">
        <f t="shared" si="4"/>
        <v/>
      </c>
      <c r="AM17" s="406" t="str">
        <f>IFERROR(INDEX(V!$R:$R,MATCH(AN17,V!$L:$L,0)),"")</f>
        <v/>
      </c>
      <c r="AN17" s="407" t="str">
        <f t="shared" si="5"/>
        <v/>
      </c>
      <c r="AO17" s="406" t="str">
        <f>IFERROR(INDEX(V!$R:$R,MATCH(AP17,V!$L:$L,0)),"")</f>
        <v/>
      </c>
      <c r="AP17" s="407" t="str">
        <f t="shared" si="6"/>
        <v/>
      </c>
    </row>
    <row r="18" spans="1:42" hidden="1" x14ac:dyDescent="0.2">
      <c r="A18" s="316">
        <v>5</v>
      </c>
      <c r="B18" s="493"/>
      <c r="C18" s="318"/>
      <c r="D18" s="318"/>
      <c r="E18" s="318"/>
      <c r="F18" s="318"/>
      <c r="G18" s="319"/>
      <c r="H18" s="317" t="str">
        <f>(IF(C18-G14&gt;0,1)+IF(D18-G15&gt;0,1)+IF(E18-G16&gt;0,1)+IF(F18-G17&gt;0,1))&amp;"-"&amp;(IF(C18-G14&lt;0,1)+IF(D18-G15&lt;0,1)+IF(E18-G16&lt;0,1)+IF(F18-G17&lt;0,1))</f>
        <v>0-0</v>
      </c>
      <c r="I18" s="318" t="str">
        <f>IF(AND(B18&lt;&gt;"",R$6=TRUE),A$13&amp;RANK(S18,S$14:S$18,0)," ")</f>
        <v xml:space="preserve"> </v>
      </c>
      <c r="J18" s="489">
        <f>IF(AND(Q18=1,Q14=1,C18&gt;G14),1)+IF(AND(Q18=1,Q15=1,D18&gt;G15),1)+IF(AND(Q18=1,Q16=1,E18&gt;G16),1)+IF(AND(Q18=1,Q17=1,F18&gt;G17),1)+IF(AND(Q18=2,Q14=2,C18&gt;G14),1)+IF(AND(Q18=2,Q15=2,D18&gt;G15),1)+IF(AND(Q18=2,Q16=2,E18&gt;G16),1)+IF(AND(Q18=2,Q17=2,F18&gt;G17),1)+IF(AND(Q18=3,Q14=3,C18&gt;G14),1)+IF(AND(Q18=3,Q15=3,D18&gt;G15),1)+IF(AND(Q18=3,Q16=3,E18&gt;G16),1)+IF(AND(Q18=3,Q17=3,F18&gt;G17),1)</f>
        <v>0</v>
      </c>
      <c r="K18" s="483">
        <f>SUM(AND(T18=T14,C18&gt;G14),AND(T18=T15,D18&gt;G15),AND(T18=T16,E18&gt;G16),AND(T18=T17,F18&gt;G17))</f>
        <v>0</v>
      </c>
      <c r="L18" s="490">
        <f>IF(AND(Q18=1,Q14=1),C18-G14)+IF(AND(Q18=1,Q15=1),D18-G15)+IF(AND(Q18=1,Q16=1),E18-G16)+IF(AND(Q18=1,Q17=1),F18-G17)+IF(AND(Q18=2,Q14=2),C18-G14)+IF(AND(Q18=2,Q15=2),D18-G15)+IF(AND(Q18=2,Q16=2),E18-G16)+IF(AND(Q18=2,Q17=2),F18-G17)+IF(AND(Q18=3,Q14=3),C18-G14)+IF(AND(Q18=3,Q15=3),D18-G15)+IF(AND(Q18=3,Q16=3),E18-G16)+IF(AND(Q18=3,Q17=3),F18-G17)+IF(AND(Q18=4,Q14=4),C18-G14)+IF(AND(Q18=4,Q15=4),D18-G15)+IF(AND(Q18=4,Q16=4),E18-G16)+IF(AND(Q18=4,Q17=4),F18-G17)</f>
        <v>0</v>
      </c>
      <c r="M18" s="483">
        <f>SUM(AND(R18=R14,C18&gt;G14),AND(R18=R15,D18&gt;G15),AND(R18=R16,E18&gt;G16),AND(R18=R17,F18&gt;G17))</f>
        <v>0</v>
      </c>
      <c r="N18" s="537" t="str">
        <f>SUM(C18:G18)&amp;"-"&amp;SUM(G14:G18)</f>
        <v>0-0</v>
      </c>
      <c r="O18" s="538">
        <f>C18+D18+E18+F18-G14-G15-G16-G17</f>
        <v>0</v>
      </c>
      <c r="P18" s="485" t="e">
        <f>SUM(C18:G18,G14:G18)/SUM(G14:G18)</f>
        <v>#DIV/0!</v>
      </c>
      <c r="Q18" s="491">
        <f>VALUE(LEFT(H18,1))</f>
        <v>0</v>
      </c>
      <c r="R18" s="321">
        <f>Q18*100000+J18*10000+K18*1000+100*L18</f>
        <v>0</v>
      </c>
      <c r="S18" s="486">
        <f>R18+M18*0.1+IF(ISNONTEXT(B18),0,0.01)+0.0001*O18</f>
        <v>0</v>
      </c>
      <c r="T18" s="487" t="str">
        <f>Q18&amp;J18</f>
        <v>00</v>
      </c>
      <c r="U18" s="477"/>
      <c r="V18" s="477"/>
      <c r="W18" s="477"/>
      <c r="X18" s="477"/>
      <c r="Y18" s="477"/>
      <c r="Z18" s="477"/>
      <c r="AA18" s="485"/>
      <c r="AD18" s="405">
        <f t="shared" si="0"/>
        <v>0</v>
      </c>
      <c r="AE18" s="406" t="str">
        <f>IFERROR(INDEX(V!$R:$R,MATCH(AF18,V!$L:$L,0)),"")</f>
        <v/>
      </c>
      <c r="AF18" s="407" t="str">
        <f t="shared" si="1"/>
        <v/>
      </c>
      <c r="AG18" s="406" t="str">
        <f>IFERROR(INDEX(V!$R:$R,MATCH(AH18,V!$L:$L,0)),"")</f>
        <v/>
      </c>
      <c r="AH18" s="407" t="str">
        <f t="shared" si="2"/>
        <v/>
      </c>
      <c r="AI18" s="406" t="str">
        <f>IFERROR(INDEX(V!$R:$R,MATCH(AJ18,V!$L:$L,0)),"")</f>
        <v/>
      </c>
      <c r="AJ18" s="407" t="str">
        <f t="shared" si="3"/>
        <v/>
      </c>
      <c r="AK18" s="406" t="str">
        <f>IFERROR(INDEX(V!$R:$R,MATCH(AL18,V!$L:$L,0)),"")</f>
        <v/>
      </c>
      <c r="AL18" s="407" t="str">
        <f t="shared" si="4"/>
        <v/>
      </c>
      <c r="AM18" s="406" t="str">
        <f>IFERROR(INDEX(V!$R:$R,MATCH(AN18,V!$L:$L,0)),"")</f>
        <v/>
      </c>
      <c r="AN18" s="407" t="str">
        <f t="shared" si="5"/>
        <v/>
      </c>
      <c r="AO18" s="406" t="str">
        <f>IFERROR(INDEX(V!$R:$R,MATCH(AP18,V!$L:$L,0)),"")</f>
        <v/>
      </c>
      <c r="AP18" s="407" t="str">
        <f t="shared" si="6"/>
        <v/>
      </c>
    </row>
    <row r="19" spans="1:42" x14ac:dyDescent="0.2">
      <c r="A19" s="494"/>
      <c r="B19" s="495"/>
      <c r="C19" s="496"/>
      <c r="D19" s="497"/>
      <c r="E19" s="496"/>
      <c r="F19" s="498"/>
      <c r="G19" s="499"/>
      <c r="H19" s="500"/>
      <c r="I19" s="512"/>
      <c r="J19" s="477"/>
      <c r="K19" s="477"/>
      <c r="L19" s="477"/>
      <c r="M19" s="477"/>
      <c r="N19" s="539"/>
      <c r="O19" s="539"/>
      <c r="P19" s="477"/>
      <c r="Q19" s="477"/>
      <c r="R19" s="502" t="s">
        <v>264</v>
      </c>
      <c r="S19" s="477"/>
      <c r="T19" s="477"/>
      <c r="U19" s="477"/>
      <c r="V19" s="477"/>
      <c r="W19" s="477"/>
      <c r="X19" s="477"/>
      <c r="Y19" s="477"/>
      <c r="Z19" s="477"/>
      <c r="AA19" s="485"/>
      <c r="AD19" s="405">
        <f t="shared" si="0"/>
        <v>0</v>
      </c>
      <c r="AE19" s="406" t="str">
        <f>IFERROR(INDEX(V!$R:$R,MATCH(AF19,V!$L:$L,0)),"")</f>
        <v/>
      </c>
      <c r="AF19" s="407" t="str">
        <f t="shared" si="1"/>
        <v/>
      </c>
      <c r="AG19" s="406" t="str">
        <f>IFERROR(INDEX(V!$R:$R,MATCH(AH19,V!$L:$L,0)),"")</f>
        <v/>
      </c>
      <c r="AH19" s="407" t="str">
        <f t="shared" si="2"/>
        <v/>
      </c>
      <c r="AI19" s="406" t="str">
        <f>IFERROR(INDEX(V!$R:$R,MATCH(AJ19,V!$L:$L,0)),"")</f>
        <v/>
      </c>
      <c r="AJ19" s="407" t="str">
        <f t="shared" si="3"/>
        <v/>
      </c>
      <c r="AK19" s="406" t="str">
        <f>IFERROR(INDEX(V!$R:$R,MATCH(AL19,V!$L:$L,0)),"")</f>
        <v/>
      </c>
      <c r="AL19" s="407" t="str">
        <f t="shared" si="4"/>
        <v/>
      </c>
      <c r="AM19" s="406" t="str">
        <f>IFERROR(INDEX(V!$R:$R,MATCH(AN19,V!$L:$L,0)),"")</f>
        <v/>
      </c>
      <c r="AN19" s="407" t="str">
        <f t="shared" si="5"/>
        <v/>
      </c>
      <c r="AO19" s="406" t="str">
        <f>IFERROR(INDEX(V!$R:$R,MATCH(AP19,V!$L:$L,0)),"")</f>
        <v/>
      </c>
      <c r="AP19" s="407" t="str">
        <f t="shared" si="6"/>
        <v/>
      </c>
    </row>
    <row r="20" spans="1:42" x14ac:dyDescent="0.2">
      <c r="A20" s="316" t="s">
        <v>2</v>
      </c>
      <c r="B20" s="503"/>
      <c r="C20" s="467">
        <v>1</v>
      </c>
      <c r="D20" s="467">
        <v>2</v>
      </c>
      <c r="E20" s="467">
        <v>3</v>
      </c>
      <c r="F20" s="467"/>
      <c r="G20" s="467"/>
      <c r="H20" s="468" t="s">
        <v>168</v>
      </c>
      <c r="I20" s="468" t="s">
        <v>169</v>
      </c>
      <c r="J20" s="504" t="s">
        <v>257</v>
      </c>
      <c r="K20" s="505" t="s">
        <v>258</v>
      </c>
      <c r="L20" s="506" t="s">
        <v>259</v>
      </c>
      <c r="M20" s="506" t="s">
        <v>260</v>
      </c>
      <c r="N20" s="472" t="s">
        <v>170</v>
      </c>
      <c r="O20" s="472" t="s">
        <v>170</v>
      </c>
      <c r="P20" s="473" t="s">
        <v>261</v>
      </c>
      <c r="Q20" s="507" t="s">
        <v>21</v>
      </c>
      <c r="R20" s="507" t="b">
        <f>OR(AND(COUNTA(B21:B25)=3,COUNTA(C21:G25)=6),AND(COUNTA(B21:B25)=4,COUNTA(C21:G25)=12),AND(COUNTA(B21:B25)=5,COUNTA(C21:G25)=20))</f>
        <v>1</v>
      </c>
      <c r="S20" s="508" t="s">
        <v>262</v>
      </c>
      <c r="T20" s="509" t="s">
        <v>263</v>
      </c>
      <c r="U20" s="477"/>
      <c r="V20" s="477"/>
      <c r="W20" s="477"/>
      <c r="X20" s="477"/>
      <c r="Y20" s="477"/>
      <c r="Z20" s="477"/>
      <c r="AA20" s="477"/>
      <c r="AD20" s="405">
        <f t="shared" si="0"/>
        <v>0</v>
      </c>
      <c r="AE20" s="406" t="str">
        <f>IFERROR(INDEX(V!$R:$R,MATCH(AF20,V!$L:$L,0)),"")</f>
        <v/>
      </c>
      <c r="AF20" s="407" t="str">
        <f t="shared" si="1"/>
        <v/>
      </c>
      <c r="AG20" s="406" t="str">
        <f>IFERROR(INDEX(V!$R:$R,MATCH(AH20,V!$L:$L,0)),"")</f>
        <v/>
      </c>
      <c r="AH20" s="407" t="str">
        <f t="shared" si="2"/>
        <v/>
      </c>
      <c r="AI20" s="406" t="str">
        <f>IFERROR(INDEX(V!$R:$R,MATCH(AJ20,V!$L:$L,0)),"")</f>
        <v/>
      </c>
      <c r="AJ20" s="407" t="str">
        <f t="shared" si="3"/>
        <v/>
      </c>
      <c r="AK20" s="406" t="str">
        <f>IFERROR(INDEX(V!$R:$R,MATCH(AL20,V!$L:$L,0)),"")</f>
        <v/>
      </c>
      <c r="AL20" s="407" t="str">
        <f t="shared" si="4"/>
        <v/>
      </c>
      <c r="AM20" s="406" t="str">
        <f>IFERROR(INDEX(V!$R:$R,MATCH(AN20,V!$L:$L,0)),"")</f>
        <v/>
      </c>
      <c r="AN20" s="407" t="str">
        <f t="shared" si="5"/>
        <v/>
      </c>
      <c r="AO20" s="406" t="str">
        <f>IFERROR(INDEX(V!$R:$R,MATCH(AP20,V!$L:$L,0)),"")</f>
        <v/>
      </c>
      <c r="AP20" s="407" t="str">
        <f t="shared" si="6"/>
        <v/>
      </c>
    </row>
    <row r="21" spans="1:42" x14ac:dyDescent="0.2">
      <c r="A21" s="316">
        <v>1</v>
      </c>
      <c r="B21" s="479" t="s">
        <v>272</v>
      </c>
      <c r="C21" s="319"/>
      <c r="D21" s="318">
        <v>13</v>
      </c>
      <c r="E21" s="318">
        <v>13</v>
      </c>
      <c r="F21" s="318"/>
      <c r="G21" s="318"/>
      <c r="H21" s="317" t="str">
        <f>(IF(D21-C22&gt;0,1)+IF(E21-C23&gt;0,1)+IF(F21-C24&gt;0,1)+IF(G21-C25&gt;0,1))&amp;"-"&amp;(IF(D21-C22&lt;0,1)+IF(E21-C23&lt;0,1)+IF(F21-C24&lt;0,1)+IF(G21-C25&lt;0,1))</f>
        <v>2-0</v>
      </c>
      <c r="I21" s="318" t="str">
        <f>IF(AND(B21&lt;&gt;"",R$20=TRUE),A$20&amp;RANK(S21,S$21:S$25,0)," ")</f>
        <v>C1</v>
      </c>
      <c r="J21" s="480">
        <f>IF(AND(Q21=1,Q22=1,D21&gt;C22),1)+IF(AND(Q21=1,Q23=1,E21&gt;C23),1)+IF(AND(Q21=1,Q24=1,F21&gt;C24),1)+IF(AND(Q21=1,Q25=1,G21&gt;C25),1)+IF(AND(Q21=2,Q22=2,D21&gt;C22),1)+IF(AND(Q21=2,Q23=2,E21&gt;C23),1)+IF(AND(Q21=2,Q24=2,F21&gt;C24),1)+IF(AND(Q21=2,Q25=2,G21&gt;C25),1)+IF(AND(Q21=3,Q22=3,D21&gt;C22),1)+IF(AND(Q21=3,Q23=3,E21&gt;C23),1)+IF(AND(Q21=3,Q24=3,F21&gt;C24),1)+IF(AND(Q21=3,Q25=3,G21&gt;C25),1)</f>
        <v>0</v>
      </c>
      <c r="K21" s="481">
        <f>SUM(AND(T21=T22,D21&gt;C22),AND(T21=T23,E21&gt;C23),AND(T21=T24,F21&gt;C24),AND(T21=T25,G21&gt;C25))</f>
        <v>0</v>
      </c>
      <c r="L21" s="482">
        <f>IF(AND(Q21=1,Q22=1),D21-C22)+IF(AND(Q21=1,Q23=1),E21-C23)+IF(AND(Q21=1,Q24=1),F21-C24)+IF(AND(Q21=1,Q25=1),G21-C25)+IF(AND(Q21=2,Q22=2),D21-C22)+IF(AND(Q21=2,Q23=2),E21-C23)+IF(AND(Q21=2,Q24=2),F21-C24)+IF(AND(Q21=2,Q25=2),G21-C25)+IF(AND(Q21=3,Q22=3),D21-C22)+IF(AND(Q21=3,Q23=3),E21-C23)+IF(AND(Q21=3,Q24=3),F21-C24)+IF(AND(Q21=3,Q25=3),G21-C25)+IF(AND(Q21=4,Q22=4),D21-C22)+IF(AND(Q21=4,Q23=4),E21-C23)+IF(AND(Q21=4,Q24=4),F21-C24)+IF(AND(Q21=4,Q25=4),G21-C25)</f>
        <v>0</v>
      </c>
      <c r="M21" s="483">
        <f>SUM(AND(R21=R22,D21&gt;C22),AND(R21=R23,E21&gt;C23),AND(R21=R24,F21&gt;C24),AND(R21=R25,G21&gt;C25))</f>
        <v>0</v>
      </c>
      <c r="N21" s="537" t="str">
        <f>SUM(C21:G21)&amp;"-"&amp;SUM(C21:C25)</f>
        <v>26-10</v>
      </c>
      <c r="O21" s="538">
        <f>D21+E21+F21+G21-C22-C23-C24-C25</f>
        <v>16</v>
      </c>
      <c r="P21" s="485">
        <f>SUM(C21:G21,C21:C25)/SUM(C21:C25)</f>
        <v>3.6</v>
      </c>
      <c r="Q21" s="320">
        <f>VALUE(LEFT(H21,1))</f>
        <v>2</v>
      </c>
      <c r="R21" s="321">
        <f>Q21*100000+J21*10000+K21*1000+100*L21</f>
        <v>200000</v>
      </c>
      <c r="S21" s="486">
        <f>R21+M21*0.1+IF(ISNONTEXT(B21),0,0.01)+0.0001*O21</f>
        <v>200000.0116</v>
      </c>
      <c r="T21" s="487" t="str">
        <f>Q21&amp;J21</f>
        <v>20</v>
      </c>
      <c r="U21" s="477"/>
      <c r="V21" s="477"/>
      <c r="W21" s="477"/>
      <c r="X21" s="477"/>
      <c r="Y21" s="477"/>
      <c r="Z21" s="477"/>
      <c r="AA21" s="477"/>
      <c r="AD21" s="405">
        <f t="shared" si="0"/>
        <v>272</v>
      </c>
      <c r="AE21" s="406">
        <f>IFERROR(INDEX(V!$R:$R,MATCH(AF21,V!$L:$L,0)),"")</f>
        <v>148</v>
      </c>
      <c r="AF21" s="407" t="str">
        <f t="shared" si="1"/>
        <v>Andrei Grintšak</v>
      </c>
      <c r="AG21" s="406">
        <f>IFERROR(INDEX(V!$R:$R,MATCH(AH21,V!$L:$L,0)),"")</f>
        <v>124</v>
      </c>
      <c r="AH21" s="407" t="str">
        <f t="shared" si="2"/>
        <v>Boriss Klubov</v>
      </c>
      <c r="AI21" s="406" t="str">
        <f>IFERROR(INDEX(V!$R:$R,MATCH(AJ21,V!$L:$L,0)),"")</f>
        <v/>
      </c>
      <c r="AJ21" s="407" t="str">
        <f t="shared" si="3"/>
        <v/>
      </c>
      <c r="AK21" s="406" t="str">
        <f>IFERROR(INDEX(V!$R:$R,MATCH(AL21,V!$L:$L,0)),"")</f>
        <v/>
      </c>
      <c r="AL21" s="407" t="str">
        <f t="shared" si="4"/>
        <v/>
      </c>
      <c r="AM21" s="406" t="str">
        <f>IFERROR(INDEX(V!$R:$R,MATCH(AN21,V!$L:$L,0)),"")</f>
        <v/>
      </c>
      <c r="AN21" s="407" t="str">
        <f t="shared" si="5"/>
        <v/>
      </c>
      <c r="AO21" s="406" t="str">
        <f>IFERROR(INDEX(V!$R:$R,MATCH(AP21,V!$L:$L,0)),"")</f>
        <v/>
      </c>
      <c r="AP21" s="407" t="str">
        <f t="shared" si="6"/>
        <v/>
      </c>
    </row>
    <row r="22" spans="1:42" x14ac:dyDescent="0.2">
      <c r="A22" s="316">
        <v>2</v>
      </c>
      <c r="B22" s="488" t="s">
        <v>273</v>
      </c>
      <c r="C22" s="318">
        <v>6</v>
      </c>
      <c r="D22" s="319"/>
      <c r="E22" s="318">
        <v>13</v>
      </c>
      <c r="F22" s="318"/>
      <c r="G22" s="318"/>
      <c r="H22" s="317" t="str">
        <f>(IF(C22-D21&gt;0,1)+IF(E22-D23&gt;0,1)+IF(F22-D24&gt;0,1)+IF(G22-D25&gt;0,1))&amp;"-"&amp;(IF(C22-D21&lt;0,1)+IF(E22-D23&lt;0,1)+IF(F22-D24&lt;0,1)+IF(G22-D25&lt;0,1))</f>
        <v>1-1</v>
      </c>
      <c r="I22" s="318" t="str">
        <f t="shared" ref="I22:I25" si="7">IF(AND(B22&lt;&gt;"",R$20=TRUE),A$20&amp;RANK(S22,S$21:S$25,0)," ")</f>
        <v>C2</v>
      </c>
      <c r="J22" s="489">
        <f>IF(AND(Q22=1,Q21=1,C22&gt;D21),1)+IF(AND(Q22=1,Q23=1,E22&gt;D23),1)+IF(AND(Q22=1,Q24=1,F22&gt;D24),1)+IF(AND(Q22=1,Q25=1,G22&gt;D25),1)+IF(AND(Q22=2,Q21=2,C22&gt;D21),1)+IF(AND(Q22=2,Q23=2,E22&gt;D23),1)+IF(AND(Q22=2,Q24=2,F22&gt;D24),1)+IF(AND(Q22=2,Q25=2,G22&gt;D25),1)+IF(AND(Q22=3,Q21=3,C22&gt;D21),1)+IF(AND(Q22=3,Q23=3,E22&gt;D23),1)+IF(AND(Q22=3,Q24=3,F22&gt;D24),1)+IF(AND(Q22=3,Q25=3,G22&gt;D25),1)</f>
        <v>0</v>
      </c>
      <c r="K22" s="483">
        <f>SUM(AND(T22=T21,C22&gt;D21),AND(T22=T23,E22&gt;D23),AND(T22=T24,F22&gt;D24),AND(T22=T25,G22&gt;D25))</f>
        <v>0</v>
      </c>
      <c r="L22" s="490">
        <f>IF(AND(Q22=1,Q21=1),C22-D21)+IF(AND(Q22=1,Q23=1),E22-D23)+IF(AND(Q22=1,Q24=1),F22-D24)+IF(AND(Q22=1,Q25=1),G22-D25)+IF(AND(Q22=2,Q21=2),C22-D21)+IF(AND(Q22=2,Q23=2),E22-D23)+IF(AND(Q22=2,Q24=2),F22-D24)+IF(AND(Q22=2,Q25=2),G22-D25)+IF(AND(Q22=3,Q21=3),C22-D21)+IF(AND(Q22=3,Q23=3),E22-D23)+IF(AND(Q22=3,Q24=3),F22-D24)+IF(AND(Q22=3,Q25=3),G22-D25)+IF(AND(Q22=4,Q21=4),C22-D21)+IF(AND(Q22=4,Q23=4),E22-D23)+IF(AND(Q22=4,Q24=4),F22-D24)+IF(AND(Q22=4,Q25=4),G22-D25)</f>
        <v>0</v>
      </c>
      <c r="M22" s="483">
        <f>SUM(AND(R22=R21,C22&gt;D21),AND(R22=R23,E22&gt;D23),AND(R22=R24,F22&gt;D24),AND(R22=R25,G22&gt;D25))</f>
        <v>0</v>
      </c>
      <c r="N22" s="537" t="str">
        <f>SUM(C22:G22)&amp;"-"&amp;SUM(D21:D25)</f>
        <v>19-18</v>
      </c>
      <c r="O22" s="538">
        <f>C22+E22+F22+G22-D21-D23-D24-D25</f>
        <v>1</v>
      </c>
      <c r="P22" s="485">
        <f>SUM(C22:G22,D21:D25)/SUM(D21:D25)</f>
        <v>2.0555555555555554</v>
      </c>
      <c r="Q22" s="491">
        <f>VALUE(LEFT(H22,1))</f>
        <v>1</v>
      </c>
      <c r="R22" s="321">
        <f>Q22*100000+J22*10000+K22*1000+100*L22</f>
        <v>100000</v>
      </c>
      <c r="S22" s="486">
        <f>R22+M22*0.1+IF(ISNONTEXT(B22),0,0.01)+0.0001*O22</f>
        <v>100000.0101</v>
      </c>
      <c r="T22" s="487" t="str">
        <f>Q22&amp;J22</f>
        <v>10</v>
      </c>
      <c r="U22" s="477"/>
      <c r="V22" s="477"/>
      <c r="W22" s="477"/>
      <c r="X22" s="477"/>
      <c r="Y22" s="477"/>
      <c r="Z22" s="477"/>
      <c r="AA22" s="477"/>
      <c r="AD22" s="405">
        <f t="shared" si="0"/>
        <v>233.5</v>
      </c>
      <c r="AE22" s="406">
        <f>IFERROR(INDEX(V!$R:$R,MATCH(AF22,V!$L:$L,0)),"")</f>
        <v>100</v>
      </c>
      <c r="AF22" s="407" t="str">
        <f t="shared" si="1"/>
        <v>Elmo Lageda</v>
      </c>
      <c r="AG22" s="406">
        <f>IFERROR(INDEX(V!$R:$R,MATCH(AH22,V!$L:$L,0)),"")</f>
        <v>133.5</v>
      </c>
      <c r="AH22" s="407" t="str">
        <f t="shared" si="2"/>
        <v>Tõnu Piik</v>
      </c>
      <c r="AI22" s="406" t="str">
        <f>IFERROR(INDEX(V!$R:$R,MATCH(AJ22,V!$L:$L,0)),"")</f>
        <v/>
      </c>
      <c r="AJ22" s="407" t="str">
        <f t="shared" si="3"/>
        <v/>
      </c>
      <c r="AK22" s="406" t="str">
        <f>IFERROR(INDEX(V!$R:$R,MATCH(AL22,V!$L:$L,0)),"")</f>
        <v/>
      </c>
      <c r="AL22" s="407" t="str">
        <f t="shared" si="4"/>
        <v/>
      </c>
      <c r="AM22" s="406" t="str">
        <f>IFERROR(INDEX(V!$R:$R,MATCH(AN22,V!$L:$L,0)),"")</f>
        <v/>
      </c>
      <c r="AN22" s="407" t="str">
        <f t="shared" si="5"/>
        <v/>
      </c>
      <c r="AO22" s="406" t="str">
        <f>IFERROR(INDEX(V!$R:$R,MATCH(AP22,V!$L:$L,0)),"")</f>
        <v/>
      </c>
      <c r="AP22" s="407" t="str">
        <f t="shared" si="6"/>
        <v/>
      </c>
    </row>
    <row r="23" spans="1:42" x14ac:dyDescent="0.2">
      <c r="A23" s="316">
        <v>3</v>
      </c>
      <c r="B23" s="488" t="s">
        <v>310</v>
      </c>
      <c r="C23" s="318">
        <v>4</v>
      </c>
      <c r="D23" s="492">
        <v>5</v>
      </c>
      <c r="E23" s="319"/>
      <c r="F23" s="318"/>
      <c r="G23" s="318"/>
      <c r="H23" s="317" t="str">
        <f>(IF(C23-E21&gt;0,1)+IF(D23-E22&gt;0,1)+IF(F23-E24&gt;0,1)+IF(G23-E25&gt;0,1))&amp;"-"&amp;(IF(C23-E21&lt;0,1)+IF(D23-E22&lt;0,1)+IF(F23-E24&lt;0,1)+IF(G23-E25&lt;0,1))</f>
        <v>0-2</v>
      </c>
      <c r="I23" s="318" t="str">
        <f t="shared" si="7"/>
        <v>C3</v>
      </c>
      <c r="J23" s="489">
        <f>IF(AND(Q23=1,Q21=1,C23&gt;E21),1)+IF(AND(Q23=1,Q22=1,D23&gt;E22),1)+IF(AND(Q23=1,Q24=1,F23&gt;E24),1)+IF(AND(Q23=1,Q25=1,G23&gt;E25),1)+IF(AND(Q23=2,Q21=2,C23&gt;E21),1)+IF(AND(Q23=2,Q22=2,D23&gt;E22),1)+IF(AND(Q23=2,Q24=2,F23&gt;E24),1)+IF(AND(Q23=2,Q25=2,G23&gt;E25),1)+IF(AND(Q23=3,Q21=3,C23&gt;E21),1)+IF(AND(Q23=3,Q22=3,D23&gt;E22),1)+IF(AND(Q23=3,Q24=3,F23&gt;E24),1)+IF(AND(Q23=3,Q25=3,G23&gt;E25),1)</f>
        <v>0</v>
      </c>
      <c r="K23" s="483">
        <f>SUM(AND(T23=T21,C23&gt;E21),AND(T23=T22,D23&gt;E22),AND(T23=T24,F23&gt;E24),AND(T23=T25,G23&gt;E25))</f>
        <v>0</v>
      </c>
      <c r="L23" s="490">
        <f>IF(AND(Q23=1,Q21=1),C23-E21)+IF(AND(Q23=1,Q22=1),D23-E22)+IF(AND(Q23=1,Q24=1),F23-E24)+IF(AND(Q23=1,Q25=1),G23-E25)+IF(AND(Q23=2,Q21=2),C23-E21)+IF(AND(Q23=2,Q22=2),D23-E22)+IF(AND(Q23=2,Q24=2),F23-E24)+IF(AND(Q23=2,Q25=2),G23-E25)+IF(AND(Q23=3,Q21=3),C23-E21)+IF(AND(Q23=3,Q22=3),D23-E22)+IF(AND(Q23=3,Q24=3),F23-E24)+IF(AND(Q23=3,Q25=3),G23-E25)+IF(AND(Q23=4,Q21=4),C23-E21)+IF(AND(Q23=4,Q22=4),D23-E22)+IF(AND(Q23=4,Q24=4),F23-E24)+IF(AND(Q23=4,Q25=4),G23-E25)</f>
        <v>0</v>
      </c>
      <c r="M23" s="483">
        <f>SUM(AND(R23=R21,C23&gt;E21),AND(R23=R22,D23&gt;E22),AND(R23=R24,F23&gt;E24),AND(R23=R25,G23&gt;E25))</f>
        <v>0</v>
      </c>
      <c r="N23" s="537" t="str">
        <f>SUM(C23:G23)&amp;"-"&amp;SUM(E21:E25)</f>
        <v>9-26</v>
      </c>
      <c r="O23" s="538">
        <f>C23+D23+F23+G23-E21-E22-E24-E25</f>
        <v>-17</v>
      </c>
      <c r="P23" s="485">
        <f>SUM(C23:G23,E21:E25)/SUM(E21:E25)</f>
        <v>1.3461538461538463</v>
      </c>
      <c r="Q23" s="491">
        <f>VALUE(LEFT(H23,1))</f>
        <v>0</v>
      </c>
      <c r="R23" s="321">
        <f>Q23*100000+J23*10000+K23*1000+100*L23</f>
        <v>0</v>
      </c>
      <c r="S23" s="486">
        <f>R23+M23*0.1+IF(ISNONTEXT(B23),0,0.01)+0.0001*O23</f>
        <v>8.3000000000000001E-3</v>
      </c>
      <c r="T23" s="487" t="str">
        <f>Q23&amp;J23</f>
        <v>00</v>
      </c>
      <c r="U23" s="477"/>
      <c r="V23" s="477"/>
      <c r="W23" s="477"/>
      <c r="X23" s="477"/>
      <c r="Y23" s="477"/>
      <c r="Z23" s="477"/>
      <c r="AA23" s="477"/>
      <c r="AD23" s="405">
        <f t="shared" si="0"/>
        <v>32</v>
      </c>
      <c r="AE23" s="406">
        <f>IFERROR(INDEX(V!$R:$R,MATCH(AF23,V!$L:$L,0)),"")</f>
        <v>7</v>
      </c>
      <c r="AF23" s="407" t="str">
        <f t="shared" si="1"/>
        <v>Alar Peek</v>
      </c>
      <c r="AG23" s="406">
        <f>IFERROR(INDEX(V!$R:$R,MATCH(AH23,V!$L:$L,0)),"")</f>
        <v>25</v>
      </c>
      <c r="AH23" s="407" t="str">
        <f t="shared" si="2"/>
        <v>Vello Vasser</v>
      </c>
      <c r="AI23" s="406" t="str">
        <f>IFERROR(INDEX(V!$R:$R,MATCH(AJ23,V!$L:$L,0)),"")</f>
        <v/>
      </c>
      <c r="AJ23" s="407" t="str">
        <f t="shared" si="3"/>
        <v/>
      </c>
      <c r="AK23" s="406" t="str">
        <f>IFERROR(INDEX(V!$R:$R,MATCH(AL23,V!$L:$L,0)),"")</f>
        <v/>
      </c>
      <c r="AL23" s="407" t="str">
        <f t="shared" si="4"/>
        <v/>
      </c>
      <c r="AM23" s="406" t="str">
        <f>IFERROR(INDEX(V!$R:$R,MATCH(AN23,V!$L:$L,0)),"")</f>
        <v/>
      </c>
      <c r="AN23" s="407" t="str">
        <f t="shared" si="5"/>
        <v/>
      </c>
      <c r="AO23" s="406" t="str">
        <f>IFERROR(INDEX(V!$R:$R,MATCH(AP23,V!$L:$L,0)),"")</f>
        <v/>
      </c>
      <c r="AP23" s="407" t="str">
        <f t="shared" si="6"/>
        <v/>
      </c>
    </row>
    <row r="24" spans="1:42" hidden="1" x14ac:dyDescent="0.2">
      <c r="A24" s="316">
        <v>4</v>
      </c>
      <c r="B24" s="488"/>
      <c r="C24" s="318"/>
      <c r="D24" s="492"/>
      <c r="E24" s="318"/>
      <c r="F24" s="319"/>
      <c r="G24" s="511"/>
      <c r="H24" s="317" t="str">
        <f>(IF(C24-F21&gt;0,1)+IF(D24-F22&gt;0,1)+IF(E24-F23&gt;0,1)+IF(G24-F25&gt;0,1))&amp;"-"&amp;(IF(C24-F21&lt;0,1)+IF(D24-F22&lt;0,1)+IF(E24-F23&lt;0,1)+IF(G24-F25&lt;0,1))</f>
        <v>0-0</v>
      </c>
      <c r="I24" s="318" t="str">
        <f t="shared" si="7"/>
        <v xml:space="preserve"> </v>
      </c>
      <c r="J24" s="489">
        <f>IF(AND(Q24=1,Q21=1,C24&gt;F21),1)+IF(AND(Q24=1,Q22=1,D24&gt;F22),1)+IF(AND(Q24=1,Q23=1,E24&gt;F23),1)+IF(AND(Q24=1,Q25=1,G24&gt;F25),1)+IF(AND(Q24=2,Q21=2,C24&gt;F21),1)+IF(AND(Q24=2,Q22=2,D24&gt;F22),1)+IF(AND(Q24=2,Q23=2,E24&gt;F23),1)+IF(AND(Q24=2,Q25=2,G24&gt;F25),1)+IF(AND(Q24=3,Q21=3,C24&gt;F21),1)+IF(AND(Q24=3,Q22=3,D24&gt;F22),1)+IF(AND(Q24=3,Q23=3,E24&gt;F23),1)+IF(AND(Q24=3,Q25=3,G24&gt;F25),1)</f>
        <v>0</v>
      </c>
      <c r="K24" s="483">
        <f>SUM(AND(T24=T21,C24&gt;F21),AND(T24=T22,D24&gt;F22),AND(T24=T23,E24&gt;F23),AND(T24=T25,G24&gt;F25))</f>
        <v>0</v>
      </c>
      <c r="L24" s="490">
        <f>IF(AND(Q24=1,Q21=1),C24-F21)+IF(AND(Q24=1,Q22=1),D24-F22)+IF(AND(Q24=1,Q23=1),E24-F23)+IF(AND(Q24=1,Q25=1),G24-F25)+IF(AND(Q24=2,Q21=2),C24-F21)+IF(AND(Q24=2,Q22=2),D24-F22)+IF(AND(Q24=2,Q23=2),E24-F23)+IF(AND(Q24=2,Q25=2),G24-F25)+IF(AND(Q24=3,Q21=3),C24-F21)+IF(AND(Q24=3,Q22=3),D24-F22)+IF(AND(Q24=3,Q23=3),E24-F23)+IF(AND(Q24=3,Q25=3),G24-F25)+IF(AND(Q24=4,Q21=4),C24-F21)+IF(AND(Q24=4,Q22=4),D24-F22)+IF(AND(Q24=4,Q23=4),E24-F23)+IF(AND(Q24=4,Q25=4),G24-F25)</f>
        <v>0</v>
      </c>
      <c r="M24" s="483">
        <f>SUM(AND(R24=R21,C24&gt;F21),AND(R24=R22,D24&gt;F22),AND(R24=R23,E24&gt;F23),AND(R24=R25,G24&gt;F25))</f>
        <v>0</v>
      </c>
      <c r="N24" s="537" t="str">
        <f>SUM(C24:G24)&amp;"-"&amp;SUM(F21:F25)</f>
        <v>0-0</v>
      </c>
      <c r="O24" s="538">
        <f>C24+D24+E24+G24-F21-F22-F23-F25</f>
        <v>0</v>
      </c>
      <c r="P24" s="485" t="e">
        <f>SUM(C24:G24,F21:F25)/SUM(F21:F25)</f>
        <v>#DIV/0!</v>
      </c>
      <c r="Q24" s="491">
        <f>VALUE(LEFT(H24,1))</f>
        <v>0</v>
      </c>
      <c r="R24" s="321">
        <f>Q24*100000+J24*10000+K24*1000+100*L24</f>
        <v>0</v>
      </c>
      <c r="S24" s="486">
        <f>R24+M24*0.1+IF(ISNONTEXT(B24),0,0.01)+0.0001*O24</f>
        <v>0</v>
      </c>
      <c r="T24" s="487" t="str">
        <f>Q24&amp;J24</f>
        <v>00</v>
      </c>
      <c r="U24" s="477"/>
      <c r="V24" s="477"/>
      <c r="W24" s="477"/>
      <c r="X24" s="477"/>
      <c r="Y24" s="477"/>
      <c r="Z24" s="477"/>
      <c r="AA24" s="477"/>
      <c r="AD24" s="405">
        <f t="shared" si="0"/>
        <v>0</v>
      </c>
      <c r="AE24" s="406" t="str">
        <f>IFERROR(INDEX(V!$R:$R,MATCH(AF24,V!$L:$L,0)),"")</f>
        <v/>
      </c>
      <c r="AF24" s="407" t="str">
        <f t="shared" si="1"/>
        <v/>
      </c>
      <c r="AG24" s="406" t="str">
        <f>IFERROR(INDEX(V!$R:$R,MATCH(AH24,V!$L:$L,0)),"")</f>
        <v/>
      </c>
      <c r="AH24" s="407" t="str">
        <f t="shared" si="2"/>
        <v/>
      </c>
      <c r="AI24" s="406" t="str">
        <f>IFERROR(INDEX(V!$R:$R,MATCH(AJ24,V!$L:$L,0)),"")</f>
        <v/>
      </c>
      <c r="AJ24" s="407" t="str">
        <f t="shared" si="3"/>
        <v/>
      </c>
      <c r="AK24" s="406" t="str">
        <f>IFERROR(INDEX(V!$R:$R,MATCH(AL24,V!$L:$L,0)),"")</f>
        <v/>
      </c>
      <c r="AL24" s="407" t="str">
        <f t="shared" si="4"/>
        <v/>
      </c>
      <c r="AM24" s="406" t="str">
        <f>IFERROR(INDEX(V!$R:$R,MATCH(AN24,V!$L:$L,0)),"")</f>
        <v/>
      </c>
      <c r="AN24" s="407" t="str">
        <f t="shared" si="5"/>
        <v/>
      </c>
      <c r="AO24" s="406" t="str">
        <f>IFERROR(INDEX(V!$R:$R,MATCH(AP24,V!$L:$L,0)),"")</f>
        <v/>
      </c>
      <c r="AP24" s="407" t="str">
        <f t="shared" si="6"/>
        <v/>
      </c>
    </row>
    <row r="25" spans="1:42" hidden="1" x14ac:dyDescent="0.2">
      <c r="A25" s="316">
        <v>5</v>
      </c>
      <c r="B25" s="493"/>
      <c r="C25" s="318"/>
      <c r="D25" s="318"/>
      <c r="E25" s="318"/>
      <c r="F25" s="318"/>
      <c r="G25" s="319"/>
      <c r="H25" s="317" t="str">
        <f>(IF(C25-G21&gt;0,1)+IF(D25-G22&gt;0,1)+IF(E25-G23&gt;0,1)+IF(F25-G24&gt;0,1))&amp;"-"&amp;(IF(C25-G21&lt;0,1)+IF(D25-G22&lt;0,1)+IF(E25-G23&lt;0,1)+IF(F25-G24&lt;0,1))</f>
        <v>0-0</v>
      </c>
      <c r="I25" s="318" t="str">
        <f t="shared" si="7"/>
        <v xml:space="preserve"> </v>
      </c>
      <c r="J25" s="489">
        <f>IF(AND(Q25=1,Q21=1,C25&gt;G21),1)+IF(AND(Q25=1,Q22=1,D25&gt;G22),1)+IF(AND(Q25=1,Q23=1,E25&gt;G23),1)+IF(AND(Q25=1,Q24=1,F25&gt;G24),1)+IF(AND(Q25=2,Q21=2,C25&gt;G21),1)+IF(AND(Q25=2,Q22=2,D25&gt;G22),1)+IF(AND(Q25=2,Q23=2,E25&gt;G23),1)+IF(AND(Q25=2,Q24=2,F25&gt;G24),1)+IF(AND(Q25=3,Q21=3,C25&gt;G21),1)+IF(AND(Q25=3,Q22=3,D25&gt;G22),1)+IF(AND(Q25=3,Q23=3,E25&gt;G23),1)+IF(AND(Q25=3,Q24=3,F25&gt;G24),1)</f>
        <v>0</v>
      </c>
      <c r="K25" s="483">
        <f>SUM(AND(T25=T21,C25&gt;G21),AND(T25=T22,D25&gt;G22),AND(T25=T23,E25&gt;G23),AND(T25=T24,F25&gt;G24))</f>
        <v>0</v>
      </c>
      <c r="L25" s="490">
        <f>IF(AND(Q25=1,Q21=1),C25-G21)+IF(AND(Q25=1,Q22=1),D25-G22)+IF(AND(Q25=1,Q23=1),E25-G23)+IF(AND(Q25=1,Q24=1),F25-G24)+IF(AND(Q25=2,Q21=2),C25-G21)+IF(AND(Q25=2,Q22=2),D25-G22)+IF(AND(Q25=2,Q23=2),E25-G23)+IF(AND(Q25=2,Q24=2),F25-G24)+IF(AND(Q25=3,Q21=3),C25-G21)+IF(AND(Q25=3,Q22=3),D25-G22)+IF(AND(Q25=3,Q23=3),E25-G23)+IF(AND(Q25=3,Q24=3),F25-G24)+IF(AND(Q25=4,Q21=4),C25-G21)+IF(AND(Q25=4,Q22=4),D25-G22)+IF(AND(Q25=4,Q23=4),E25-G23)+IF(AND(Q25=4,Q24=4),F25-G24)</f>
        <v>0</v>
      </c>
      <c r="M25" s="483">
        <f>SUM(AND(R25=R21,C25&gt;G21),AND(R25=R22,D25&gt;G22),AND(R25=R23,E25&gt;G23),AND(R25=R24,F25&gt;G24))</f>
        <v>0</v>
      </c>
      <c r="N25" s="537" t="str">
        <f>SUM(C25:G25)&amp;"-"&amp;SUM(G21:G25)</f>
        <v>0-0</v>
      </c>
      <c r="O25" s="538">
        <f>C25+D25+E25+F25-G21-G22-G23-G24</f>
        <v>0</v>
      </c>
      <c r="P25" s="485" t="e">
        <f>SUM(C25:G25,G21:G25)/SUM(G21:G25)</f>
        <v>#DIV/0!</v>
      </c>
      <c r="Q25" s="491">
        <f>VALUE(LEFT(H25,1))</f>
        <v>0</v>
      </c>
      <c r="R25" s="321">
        <f>Q25*100000+J25*10000+K25*1000+100*L25</f>
        <v>0</v>
      </c>
      <c r="S25" s="486">
        <f>R25+M25*0.1+IF(ISNONTEXT(B25),0,0.01)+0.0001*O25</f>
        <v>0</v>
      </c>
      <c r="T25" s="487" t="str">
        <f>Q25&amp;J25</f>
        <v>00</v>
      </c>
      <c r="U25" s="477"/>
      <c r="V25" s="477"/>
      <c r="W25" s="477"/>
      <c r="X25" s="477"/>
      <c r="Y25" s="477"/>
      <c r="Z25" s="477"/>
      <c r="AA25" s="477"/>
      <c r="AD25" s="405">
        <f t="shared" si="0"/>
        <v>0</v>
      </c>
      <c r="AE25" s="406" t="str">
        <f>IFERROR(INDEX(V!$R:$R,MATCH(AF25,V!$L:$L,0)),"")</f>
        <v/>
      </c>
      <c r="AF25" s="407" t="str">
        <f t="shared" si="1"/>
        <v/>
      </c>
      <c r="AG25" s="406" t="str">
        <f>IFERROR(INDEX(V!$R:$R,MATCH(AH25,V!$L:$L,0)),"")</f>
        <v/>
      </c>
      <c r="AH25" s="407" t="str">
        <f t="shared" si="2"/>
        <v/>
      </c>
      <c r="AI25" s="406" t="str">
        <f>IFERROR(INDEX(V!$R:$R,MATCH(AJ25,V!$L:$L,0)),"")</f>
        <v/>
      </c>
      <c r="AJ25" s="407" t="str">
        <f t="shared" si="3"/>
        <v/>
      </c>
      <c r="AK25" s="406" t="str">
        <f>IFERROR(INDEX(V!$R:$R,MATCH(AL25,V!$L:$L,0)),"")</f>
        <v/>
      </c>
      <c r="AL25" s="407" t="str">
        <f t="shared" si="4"/>
        <v/>
      </c>
      <c r="AM25" s="406" t="str">
        <f>IFERROR(INDEX(V!$R:$R,MATCH(AN25,V!$L:$L,0)),"")</f>
        <v/>
      </c>
      <c r="AN25" s="407" t="str">
        <f t="shared" si="5"/>
        <v/>
      </c>
      <c r="AO25" s="406" t="str">
        <f>IFERROR(INDEX(V!$R:$R,MATCH(AP25,V!$L:$L,0)),"")</f>
        <v/>
      </c>
      <c r="AP25" s="407" t="str">
        <f t="shared" si="6"/>
        <v/>
      </c>
    </row>
    <row r="26" spans="1:42" x14ac:dyDescent="0.2">
      <c r="A26" s="513"/>
      <c r="B26" s="514"/>
      <c r="C26" s="499"/>
      <c r="D26" s="499"/>
      <c r="E26" s="499"/>
      <c r="F26" s="515"/>
      <c r="G26" s="515"/>
      <c r="H26" s="516"/>
      <c r="I26" s="517"/>
      <c r="J26" s="477"/>
      <c r="K26" s="477"/>
      <c r="L26" s="477"/>
      <c r="M26" s="477"/>
      <c r="N26" s="539"/>
      <c r="O26" s="539"/>
      <c r="P26" s="477"/>
      <c r="Q26" s="477"/>
      <c r="R26" s="502" t="s">
        <v>264</v>
      </c>
      <c r="S26" s="477"/>
      <c r="T26" s="477"/>
      <c r="U26" s="477"/>
      <c r="V26" s="477"/>
      <c r="W26" s="477"/>
      <c r="X26" s="477"/>
      <c r="Y26" s="477"/>
      <c r="Z26" s="477"/>
      <c r="AA26" s="477"/>
      <c r="AD26" s="405">
        <f t="shared" si="0"/>
        <v>0</v>
      </c>
      <c r="AE26" s="406" t="str">
        <f>IFERROR(INDEX(V!$R:$R,MATCH(AF26,V!$L:$L,0)),"")</f>
        <v/>
      </c>
      <c r="AF26" s="407" t="str">
        <f t="shared" si="1"/>
        <v/>
      </c>
      <c r="AG26" s="406" t="str">
        <f>IFERROR(INDEX(V!$R:$R,MATCH(AH26,V!$L:$L,0)),"")</f>
        <v/>
      </c>
      <c r="AH26" s="407" t="str">
        <f t="shared" si="2"/>
        <v/>
      </c>
      <c r="AI26" s="406" t="str">
        <f>IFERROR(INDEX(V!$R:$R,MATCH(AJ26,V!$L:$L,0)),"")</f>
        <v/>
      </c>
      <c r="AJ26" s="407" t="str">
        <f t="shared" si="3"/>
        <v/>
      </c>
      <c r="AK26" s="406" t="str">
        <f>IFERROR(INDEX(V!$R:$R,MATCH(AL26,V!$L:$L,0)),"")</f>
        <v/>
      </c>
      <c r="AL26" s="407" t="str">
        <f t="shared" si="4"/>
        <v/>
      </c>
      <c r="AM26" s="406" t="str">
        <f>IFERROR(INDEX(V!$R:$R,MATCH(AN26,V!$L:$L,0)),"")</f>
        <v/>
      </c>
      <c r="AN26" s="407" t="str">
        <f t="shared" si="5"/>
        <v/>
      </c>
      <c r="AO26" s="406" t="str">
        <f>IFERROR(INDEX(V!$R:$R,MATCH(AP26,V!$L:$L,0)),"")</f>
        <v/>
      </c>
      <c r="AP26" s="407" t="str">
        <f t="shared" si="6"/>
        <v/>
      </c>
    </row>
    <row r="27" spans="1:42" x14ac:dyDescent="0.2">
      <c r="A27" s="316" t="s">
        <v>3</v>
      </c>
      <c r="B27" s="503"/>
      <c r="C27" s="467">
        <v>1</v>
      </c>
      <c r="D27" s="467">
        <v>2</v>
      </c>
      <c r="E27" s="467">
        <v>3</v>
      </c>
      <c r="F27" s="467"/>
      <c r="G27" s="467"/>
      <c r="H27" s="468" t="s">
        <v>168</v>
      </c>
      <c r="I27" s="468" t="s">
        <v>169</v>
      </c>
      <c r="J27" s="504" t="s">
        <v>257</v>
      </c>
      <c r="K27" s="505" t="s">
        <v>258</v>
      </c>
      <c r="L27" s="506" t="s">
        <v>259</v>
      </c>
      <c r="M27" s="506" t="s">
        <v>260</v>
      </c>
      <c r="N27" s="472" t="s">
        <v>170</v>
      </c>
      <c r="O27" s="472" t="s">
        <v>170</v>
      </c>
      <c r="P27" s="473" t="s">
        <v>261</v>
      </c>
      <c r="Q27" s="507" t="s">
        <v>21</v>
      </c>
      <c r="R27" s="507" t="b">
        <f>OR(AND(COUNTA(B28:B32)=3,COUNTA(C28:G32)=6),AND(COUNTA(B28:B32)=4,COUNTA(C28:G32)=12),AND(COUNTA(B28:B32)=5,COUNTA(C28:G32)=20))</f>
        <v>1</v>
      </c>
      <c r="S27" s="508" t="s">
        <v>262</v>
      </c>
      <c r="T27" s="509" t="s">
        <v>263</v>
      </c>
      <c r="U27" s="477"/>
      <c r="V27" s="477"/>
      <c r="W27" s="477"/>
      <c r="X27" s="477"/>
      <c r="Y27" s="477"/>
      <c r="Z27" s="477"/>
      <c r="AA27" s="477"/>
      <c r="AD27" s="405">
        <f t="shared" si="0"/>
        <v>0</v>
      </c>
      <c r="AE27" s="406" t="str">
        <f>IFERROR(INDEX(V!$R:$R,MATCH(AF27,V!$L:$L,0)),"")</f>
        <v/>
      </c>
      <c r="AF27" s="407" t="str">
        <f t="shared" si="1"/>
        <v/>
      </c>
      <c r="AG27" s="406" t="str">
        <f>IFERROR(INDEX(V!$R:$R,MATCH(AH27,V!$L:$L,0)),"")</f>
        <v/>
      </c>
      <c r="AH27" s="407" t="str">
        <f t="shared" si="2"/>
        <v/>
      </c>
      <c r="AI27" s="406" t="str">
        <f>IFERROR(INDEX(V!$R:$R,MATCH(AJ27,V!$L:$L,0)),"")</f>
        <v/>
      </c>
      <c r="AJ27" s="407" t="str">
        <f t="shared" si="3"/>
        <v/>
      </c>
      <c r="AK27" s="406" t="str">
        <f>IFERROR(INDEX(V!$R:$R,MATCH(AL27,V!$L:$L,0)),"")</f>
        <v/>
      </c>
      <c r="AL27" s="407" t="str">
        <f t="shared" si="4"/>
        <v/>
      </c>
      <c r="AM27" s="406" t="str">
        <f>IFERROR(INDEX(V!$R:$R,MATCH(AN27,V!$L:$L,0)),"")</f>
        <v/>
      </c>
      <c r="AN27" s="407" t="str">
        <f t="shared" si="5"/>
        <v/>
      </c>
      <c r="AO27" s="406" t="str">
        <f>IFERROR(INDEX(V!$R:$R,MATCH(AP27,V!$L:$L,0)),"")</f>
        <v/>
      </c>
      <c r="AP27" s="407" t="str">
        <f t="shared" si="6"/>
        <v/>
      </c>
    </row>
    <row r="28" spans="1:42" x14ac:dyDescent="0.2">
      <c r="A28" s="316">
        <v>1</v>
      </c>
      <c r="B28" s="518" t="s">
        <v>270</v>
      </c>
      <c r="C28" s="319"/>
      <c r="D28" s="318">
        <v>13</v>
      </c>
      <c r="E28" s="318">
        <v>13</v>
      </c>
      <c r="F28" s="318"/>
      <c r="G28" s="318"/>
      <c r="H28" s="317" t="str">
        <f>(IF(D28-C29&gt;0,1)+IF(E28-C30&gt;0,1)+IF(F28-C31&gt;0,1)+IF(G28-C32&gt;0,1))&amp;"-"&amp;(IF(D28-C29&lt;0,1)+IF(E28-C30&lt;0,1)+IF(F28-C31&lt;0,1)+IF(G28-C32&lt;0,1))</f>
        <v>2-0</v>
      </c>
      <c r="I28" s="318" t="str">
        <f>IF(AND(B28&lt;&gt;"",R$27=TRUE),A$27&amp;RANK(S28,S$28:S$32,0)," ")</f>
        <v>D1</v>
      </c>
      <c r="J28" s="480">
        <f>IF(AND(Q28=1,Q29=1,D28&gt;C29),1)+IF(AND(Q28=1,Q30=1,E28&gt;C30),1)+IF(AND(Q28=1,Q31=1,F28&gt;C31),1)+IF(AND(Q28=1,Q32=1,G28&gt;C32),1)+IF(AND(Q28=2,Q29=2,D28&gt;C29),1)+IF(AND(Q28=2,Q30=2,E28&gt;C30),1)+IF(AND(Q28=2,Q31=2,F28&gt;C31),1)+IF(AND(Q28=2,Q32=2,G28&gt;C32),1)+IF(AND(Q28=3,Q29=3,D28&gt;C29),1)+IF(AND(Q28=3,Q30=3,E28&gt;C30),1)+IF(AND(Q28=3,Q31=3,F28&gt;C31),1)+IF(AND(Q28=3,Q32=3,G28&gt;C32),1)</f>
        <v>0</v>
      </c>
      <c r="K28" s="481">
        <f>SUM(AND(T28=T29,D28&gt;C29),AND(T28=T30,E28&gt;C30),AND(T28=T31,F28&gt;C31),AND(T28=T32,G28&gt;C32))</f>
        <v>0</v>
      </c>
      <c r="L28" s="482">
        <f>IF(AND(Q28=1,Q29=1),D28-C29)+IF(AND(Q28=1,Q30=1),E28-C30)+IF(AND(Q28=1,Q31=1),F28-C31)+IF(AND(Q28=1,Q32=1),G28-C32)+IF(AND(Q28=2,Q29=2),D28-C29)+IF(AND(Q28=2,Q30=2),E28-C30)+IF(AND(Q28=2,Q31=2),F28-C31)+IF(AND(Q28=2,Q32=2),G28-C32)+IF(AND(Q28=3,Q29=3),D28-C29)+IF(AND(Q28=3,Q30=3),E28-C30)+IF(AND(Q28=3,Q31=3),F28-C31)+IF(AND(Q28=3,Q32=3),G28-C32)+IF(AND(Q28=4,Q29=4),D28-C29)+IF(AND(Q28=4,Q30=4),E28-C30)+IF(AND(Q28=4,Q31=4),F28-C31)+IF(AND(Q28=4,Q32=4),G28-C32)</f>
        <v>0</v>
      </c>
      <c r="M28" s="483">
        <f>SUM(AND(R28=R29,D28&gt;C29),AND(R28=R30,E28&gt;C30),AND(R28=R31,F28&gt;C31),AND(R28=R32,G28&gt;C32))</f>
        <v>0</v>
      </c>
      <c r="N28" s="537" t="str">
        <f>SUM(C28:G28)&amp;"-"&amp;SUM(C28:C32)</f>
        <v>26-8</v>
      </c>
      <c r="O28" s="538">
        <f>D28+E28+F28+G28-C29-C30-C31-C32</f>
        <v>18</v>
      </c>
      <c r="P28" s="485">
        <f>SUM(C28:G28,C28:C32)/SUM(C28:C32)</f>
        <v>4.25</v>
      </c>
      <c r="Q28" s="320">
        <f>VALUE(LEFT(H28,1))</f>
        <v>2</v>
      </c>
      <c r="R28" s="321">
        <f>Q28*100000+J28*10000+K28*1000+100*L28</f>
        <v>200000</v>
      </c>
      <c r="S28" s="486">
        <f>R28+M28*0.1+IF(ISNONTEXT(B28),0,0.01)+0.0001*O28</f>
        <v>200000.01180000001</v>
      </c>
      <c r="T28" s="487" t="str">
        <f>Q28&amp;J28</f>
        <v>20</v>
      </c>
      <c r="U28" s="477"/>
      <c r="V28" s="477"/>
      <c r="W28" s="477"/>
      <c r="X28" s="477"/>
      <c r="Y28" s="477"/>
      <c r="Z28" s="477"/>
      <c r="AA28" s="477"/>
      <c r="AD28" s="405">
        <f t="shared" si="0"/>
        <v>302</v>
      </c>
      <c r="AE28" s="406">
        <f>IFERROR(INDEX(V!$R:$R,MATCH(AF28,V!$L:$L,0)),"")</f>
        <v>164</v>
      </c>
      <c r="AF28" s="407" t="str">
        <f t="shared" si="1"/>
        <v>Kaspar Mänd</v>
      </c>
      <c r="AG28" s="406">
        <f>IFERROR(INDEX(V!$R:$R,MATCH(AH28,V!$L:$L,0)),"")</f>
        <v>138</v>
      </c>
      <c r="AH28" s="407" t="str">
        <f t="shared" si="2"/>
        <v>Urmas Randlaine</v>
      </c>
      <c r="AI28" s="406" t="str">
        <f>IFERROR(INDEX(V!$R:$R,MATCH(AJ28,V!$L:$L,0)),"")</f>
        <v/>
      </c>
      <c r="AJ28" s="407" t="str">
        <f t="shared" si="3"/>
        <v/>
      </c>
      <c r="AK28" s="406" t="str">
        <f>IFERROR(INDEX(V!$R:$R,MATCH(AL28,V!$L:$L,0)),"")</f>
        <v/>
      </c>
      <c r="AL28" s="407" t="str">
        <f t="shared" si="4"/>
        <v/>
      </c>
      <c r="AM28" s="406" t="str">
        <f>IFERROR(INDEX(V!$R:$R,MATCH(AN28,V!$L:$L,0)),"")</f>
        <v/>
      </c>
      <c r="AN28" s="407" t="str">
        <f t="shared" si="5"/>
        <v/>
      </c>
      <c r="AO28" s="406" t="str">
        <f>IFERROR(INDEX(V!$R:$R,MATCH(AP28,V!$L:$L,0)),"")</f>
        <v/>
      </c>
      <c r="AP28" s="407" t="str">
        <f t="shared" si="6"/>
        <v/>
      </c>
    </row>
    <row r="29" spans="1:42" x14ac:dyDescent="0.2">
      <c r="A29" s="316">
        <v>2</v>
      </c>
      <c r="B29" s="488" t="s">
        <v>279</v>
      </c>
      <c r="C29" s="318">
        <v>6</v>
      </c>
      <c r="D29" s="319"/>
      <c r="E29" s="318">
        <v>13</v>
      </c>
      <c r="F29" s="318"/>
      <c r="G29" s="318"/>
      <c r="H29" s="317" t="str">
        <f>(IF(C29-D28&gt;0,1)+IF(E29-D30&gt;0,1)+IF(F29-D31&gt;0,1)+IF(G29-D32&gt;0,1))&amp;"-"&amp;(IF(C29-D28&lt;0,1)+IF(E29-D30&lt;0,1)+IF(F29-D31&lt;0,1)+IF(G29-D32&lt;0,1))</f>
        <v>1-1</v>
      </c>
      <c r="I29" s="318" t="str">
        <f t="shared" ref="I29:I32" si="8">IF(AND(B29&lt;&gt;"",R$27=TRUE),A$27&amp;RANK(S29,S$28:S$32,0)," ")</f>
        <v>D2</v>
      </c>
      <c r="J29" s="489">
        <f>IF(AND(Q29=1,Q28=1,C29&gt;D28),1)+IF(AND(Q29=1,Q30=1,E29&gt;D30),1)+IF(AND(Q29=1,Q31=1,F29&gt;D31),1)+IF(AND(Q29=1,Q32=1,G29&gt;D32),1)+IF(AND(Q29=2,Q28=2,C29&gt;D28),1)+IF(AND(Q29=2,Q30=2,E29&gt;D30),1)+IF(AND(Q29=2,Q31=2,F29&gt;D31),1)+IF(AND(Q29=2,Q32=2,G29&gt;D32),1)+IF(AND(Q29=3,Q28=3,C29&gt;D28),1)+IF(AND(Q29=3,Q30=3,E29&gt;D30),1)+IF(AND(Q29=3,Q31=3,F29&gt;D31),1)+IF(AND(Q29=3,Q32=3,G29&gt;D32),1)</f>
        <v>0</v>
      </c>
      <c r="K29" s="483">
        <f>SUM(AND(T29=T28,C29&gt;D28),AND(T29=T30,E29&gt;D30),AND(T29=T31,F29&gt;D31),AND(T29=T32,G29&gt;D32))</f>
        <v>0</v>
      </c>
      <c r="L29" s="490">
        <f>IF(AND(Q29=1,Q28=1),C29-D28)+IF(AND(Q29=1,Q30=1),E29-D30)+IF(AND(Q29=1,Q31=1),F29-D31)+IF(AND(Q29=1,Q32=1),G29-D32)+IF(AND(Q29=2,Q28=2),C29-D28)+IF(AND(Q29=2,Q30=2),E29-D30)+IF(AND(Q29=2,Q31=2),F29-D31)+IF(AND(Q29=2,Q32=2),G29-D32)+IF(AND(Q29=3,Q28=3),C29-D28)+IF(AND(Q29=3,Q30=3),E29-D30)+IF(AND(Q29=3,Q31=3),F29-D31)+IF(AND(Q29=3,Q32=3),G29-D32)+IF(AND(Q29=4,Q28=4),C29-D28)+IF(AND(Q29=4,Q30=4),E29-D30)+IF(AND(Q29=4,Q31=4),F29-D31)+IF(AND(Q29=4,Q32=4),G29-D32)</f>
        <v>0</v>
      </c>
      <c r="M29" s="483">
        <f>SUM(AND(R29=R28,C29&gt;D28),AND(R29=R30,E29&gt;D30),AND(R29=R31,F29&gt;D31),AND(R29=R32,G29&gt;D32))</f>
        <v>0</v>
      </c>
      <c r="N29" s="537" t="str">
        <f>SUM(C29:G29)&amp;"-"&amp;SUM(D28:D32)</f>
        <v>19-18</v>
      </c>
      <c r="O29" s="538">
        <f>C29+E29+F29+G29-D28-D30-D31-D32</f>
        <v>1</v>
      </c>
      <c r="P29" s="485">
        <f>SUM(C29:G29,D28:D32)/SUM(D28:D32)</f>
        <v>2.0555555555555554</v>
      </c>
      <c r="Q29" s="491">
        <f>VALUE(LEFT(H29,1))</f>
        <v>1</v>
      </c>
      <c r="R29" s="321">
        <f>Q29*100000+J29*10000+K29*1000+100*L29</f>
        <v>100000</v>
      </c>
      <c r="S29" s="486">
        <f>R29+M29*0.1+IF(ISNONTEXT(B29),0,0.01)+0.0001*O29</f>
        <v>100000.0101</v>
      </c>
      <c r="T29" s="487" t="str">
        <f>Q29&amp;J29</f>
        <v>10</v>
      </c>
      <c r="U29" s="477"/>
      <c r="V29" s="477"/>
      <c r="W29" s="477"/>
      <c r="X29" s="477"/>
      <c r="Y29" s="477"/>
      <c r="Z29" s="477"/>
      <c r="AA29" s="477"/>
      <c r="AD29" s="405">
        <f t="shared" si="0"/>
        <v>160</v>
      </c>
      <c r="AE29" s="406">
        <f>IFERROR(INDEX(V!$R:$R,MATCH(AF29,V!$L:$L,0)),"")</f>
        <v>81</v>
      </c>
      <c r="AF29" s="407" t="str">
        <f t="shared" si="1"/>
        <v>Jaan Saar</v>
      </c>
      <c r="AG29" s="406">
        <f>IFERROR(INDEX(V!$R:$R,MATCH(AH29,V!$L:$L,0)),"")</f>
        <v>79</v>
      </c>
      <c r="AH29" s="407" t="str">
        <f t="shared" si="2"/>
        <v>Liidia Põllu</v>
      </c>
      <c r="AI29" s="406" t="str">
        <f>IFERROR(INDEX(V!$R:$R,MATCH(AJ29,V!$L:$L,0)),"")</f>
        <v/>
      </c>
      <c r="AJ29" s="407" t="str">
        <f t="shared" si="3"/>
        <v/>
      </c>
      <c r="AK29" s="406" t="str">
        <f>IFERROR(INDEX(V!$R:$R,MATCH(AL29,V!$L:$L,0)),"")</f>
        <v/>
      </c>
      <c r="AL29" s="407" t="str">
        <f t="shared" si="4"/>
        <v/>
      </c>
      <c r="AM29" s="406" t="str">
        <f>IFERROR(INDEX(V!$R:$R,MATCH(AN29,V!$L:$L,0)),"")</f>
        <v/>
      </c>
      <c r="AN29" s="407" t="str">
        <f t="shared" si="5"/>
        <v/>
      </c>
      <c r="AO29" s="406" t="str">
        <f>IFERROR(INDEX(V!$R:$R,MATCH(AP29,V!$L:$L,0)),"")</f>
        <v/>
      </c>
      <c r="AP29" s="407" t="str">
        <f t="shared" si="6"/>
        <v/>
      </c>
    </row>
    <row r="30" spans="1:42" x14ac:dyDescent="0.2">
      <c r="A30" s="316">
        <v>3</v>
      </c>
      <c r="B30" s="488" t="s">
        <v>314</v>
      </c>
      <c r="C30" s="318">
        <v>2</v>
      </c>
      <c r="D30" s="492">
        <v>5</v>
      </c>
      <c r="E30" s="319"/>
      <c r="F30" s="318"/>
      <c r="G30" s="318"/>
      <c r="H30" s="317" t="str">
        <f>(IF(C30-E28&gt;0,1)+IF(D30-E29&gt;0,1)+IF(F30-E31&gt;0,1)+IF(G30-E32&gt;0,1))&amp;"-"&amp;(IF(C30-E28&lt;0,1)+IF(D30-E29&lt;0,1)+IF(F30-E31&lt;0,1)+IF(G30-E32&lt;0,1))</f>
        <v>0-2</v>
      </c>
      <c r="I30" s="318" t="str">
        <f t="shared" si="8"/>
        <v>D3</v>
      </c>
      <c r="J30" s="489">
        <f>IF(AND(Q30=1,Q28=1,C30&gt;E28),1)+IF(AND(Q30=1,Q29=1,D30&gt;E29),1)+IF(AND(Q30=1,Q31=1,F30&gt;E31),1)+IF(AND(Q30=1,Q32=1,G30&gt;E32),1)+IF(AND(Q30=2,Q28=2,C30&gt;E28),1)+IF(AND(Q30=2,Q29=2,D30&gt;E29),1)+IF(AND(Q30=2,Q31=2,F30&gt;E31),1)+IF(AND(Q30=2,Q32=2,G30&gt;E32),1)+IF(AND(Q30=3,Q28=3,C30&gt;E28),1)+IF(AND(Q30=3,Q29=3,D30&gt;E29),1)+IF(AND(Q30=3,Q31=3,F30&gt;E31),1)+IF(AND(Q30=3,Q32=3,G30&gt;E32),1)</f>
        <v>0</v>
      </c>
      <c r="K30" s="483">
        <f>SUM(AND(T30=T28,C30&gt;E28),AND(T30=T29,D30&gt;E29),AND(T30=T31,F30&gt;E31),AND(T30=T32,G30&gt;E32))</f>
        <v>0</v>
      </c>
      <c r="L30" s="490">
        <f>IF(AND(Q30=1,Q28=1),C30-E28)+IF(AND(Q30=1,Q29=1),D30-E29)+IF(AND(Q30=1,Q31=1),F30-E31)+IF(AND(Q30=1,Q32=1),G30-E32)+IF(AND(Q30=2,Q28=2),C30-E28)+IF(AND(Q30=2,Q29=2),D30-E29)+IF(AND(Q30=2,Q31=2),F30-E31)+IF(AND(Q30=2,Q32=2),G30-E32)+IF(AND(Q30=3,Q28=3),C30-E28)+IF(AND(Q30=3,Q29=3),D30-E29)+IF(AND(Q30=3,Q31=3),F30-E31)+IF(AND(Q30=3,Q32=3),G30-E32)+IF(AND(Q30=4,Q28=4),C30-E28)+IF(AND(Q30=4,Q29=4),D30-E29)+IF(AND(Q30=4,Q31=4),F30-E31)+IF(AND(Q30=4,Q32=4),G30-E32)</f>
        <v>0</v>
      </c>
      <c r="M30" s="483">
        <f>SUM(AND(R30=R28,C30&gt;E28),AND(R30=R29,D30&gt;E29),AND(R30=R31,F30&gt;E31),AND(R30=R32,G30&gt;E32))</f>
        <v>0</v>
      </c>
      <c r="N30" s="537" t="str">
        <f>SUM(C30:G30)&amp;"-"&amp;SUM(E28:E32)</f>
        <v>7-26</v>
      </c>
      <c r="O30" s="538">
        <f>C30+D30+F30+G30-E28-E29-E31-E32</f>
        <v>-19</v>
      </c>
      <c r="P30" s="485">
        <f>SUM(C30:G30,E28:E32)/SUM(E28:E32)</f>
        <v>1.2692307692307692</v>
      </c>
      <c r="Q30" s="491">
        <f>VALUE(LEFT(H30,1))</f>
        <v>0</v>
      </c>
      <c r="R30" s="321">
        <f>Q30*100000+J30*10000+K30*1000+100*L30</f>
        <v>0</v>
      </c>
      <c r="S30" s="486">
        <f>R30+M30*0.1+IF(ISNONTEXT(B30),0,0.01)+0.0001*O30</f>
        <v>8.0999999999999996E-3</v>
      </c>
      <c r="T30" s="487" t="str">
        <f>Q30&amp;J30</f>
        <v>00</v>
      </c>
      <c r="U30" s="477"/>
      <c r="V30" s="477"/>
      <c r="W30" s="477"/>
      <c r="X30" s="477"/>
      <c r="Y30" s="477"/>
      <c r="Z30" s="477"/>
      <c r="AA30" s="477"/>
      <c r="AD30" s="405">
        <f t="shared" si="0"/>
        <v>21</v>
      </c>
      <c r="AE30" s="406">
        <f>IFERROR(INDEX(V!$R:$R,MATCH(AF30,V!$L:$L,0)),"")</f>
        <v>12</v>
      </c>
      <c r="AF30" s="407" t="str">
        <f t="shared" si="1"/>
        <v>Sander Skrabutenas</v>
      </c>
      <c r="AG30" s="406">
        <f>IFERROR(INDEX(V!$R:$R,MATCH(AH30,V!$L:$L,0)),"")</f>
        <v>9</v>
      </c>
      <c r="AH30" s="407" t="str">
        <f t="shared" si="2"/>
        <v>Vladimir Mihhailov</v>
      </c>
      <c r="AI30" s="406" t="str">
        <f>IFERROR(INDEX(V!$R:$R,MATCH(AJ30,V!$L:$L,0)),"")</f>
        <v/>
      </c>
      <c r="AJ30" s="407" t="str">
        <f t="shared" si="3"/>
        <v/>
      </c>
      <c r="AK30" s="406" t="str">
        <f>IFERROR(INDEX(V!$R:$R,MATCH(AL30,V!$L:$L,0)),"")</f>
        <v/>
      </c>
      <c r="AL30" s="407" t="str">
        <f t="shared" si="4"/>
        <v/>
      </c>
      <c r="AM30" s="406" t="str">
        <f>IFERROR(INDEX(V!$R:$R,MATCH(AN30,V!$L:$L,0)),"")</f>
        <v/>
      </c>
      <c r="AN30" s="407" t="str">
        <f t="shared" si="5"/>
        <v/>
      </c>
      <c r="AO30" s="406" t="str">
        <f>IFERROR(INDEX(V!$R:$R,MATCH(AP30,V!$L:$L,0)),"")</f>
        <v/>
      </c>
      <c r="AP30" s="407" t="str">
        <f t="shared" si="6"/>
        <v/>
      </c>
    </row>
    <row r="31" spans="1:42" hidden="1" x14ac:dyDescent="0.2">
      <c r="A31" s="316">
        <v>4</v>
      </c>
      <c r="B31" s="493"/>
      <c r="C31" s="318"/>
      <c r="D31" s="492"/>
      <c r="E31" s="318"/>
      <c r="F31" s="319"/>
      <c r="G31" s="511"/>
      <c r="H31" s="317" t="str">
        <f>(IF(C31-F28&gt;0,1)+IF(D31-F29&gt;0,1)+IF(E31-F30&gt;0,1)+IF(G31-F32&gt;0,1))&amp;"-"&amp;(IF(C31-F28&lt;0,1)+IF(D31-F29&lt;0,1)+IF(E31-F30&lt;0,1)+IF(G31-F32&lt;0,1))</f>
        <v>0-0</v>
      </c>
      <c r="I31" s="318" t="str">
        <f t="shared" si="8"/>
        <v xml:space="preserve"> </v>
      </c>
      <c r="J31" s="489">
        <f>IF(AND(Q31=1,Q28=1,C31&gt;F28),1)+IF(AND(Q31=1,Q29=1,D31&gt;F29),1)+IF(AND(Q31=1,Q30=1,E31&gt;F30),1)+IF(AND(Q31=1,Q32=1,G31&gt;F32),1)+IF(AND(Q31=2,Q28=2,C31&gt;F28),1)+IF(AND(Q31=2,Q29=2,D31&gt;F29),1)+IF(AND(Q31=2,Q30=2,E31&gt;F30),1)+IF(AND(Q31=2,Q32=2,G31&gt;F32),1)+IF(AND(Q31=3,Q28=3,C31&gt;F28),1)+IF(AND(Q31=3,Q29=3,D31&gt;F29),1)+IF(AND(Q31=3,Q30=3,E31&gt;F30),1)+IF(AND(Q31=3,Q32=3,G31&gt;F32),1)</f>
        <v>0</v>
      </c>
      <c r="K31" s="483">
        <f>SUM(AND(T31=T28,C31&gt;F28),AND(T31=T29,D31&gt;F29),AND(T31=T30,E31&gt;F30),AND(T31=T32,G31&gt;F32))</f>
        <v>0</v>
      </c>
      <c r="L31" s="490">
        <f>IF(AND(Q31=1,Q28=1),C31-F28)+IF(AND(Q31=1,Q29=1),D31-F29)+IF(AND(Q31=1,Q30=1),E31-F30)+IF(AND(Q31=1,Q32=1),G31-F32)+IF(AND(Q31=2,Q28=2),C31-F28)+IF(AND(Q31=2,Q29=2),D31-F29)+IF(AND(Q31=2,Q30=2),E31-F30)+IF(AND(Q31=2,Q32=2),G31-F32)+IF(AND(Q31=3,Q28=3),C31-F28)+IF(AND(Q31=3,Q29=3),D31-F29)+IF(AND(Q31=3,Q30=3),E31-F30)+IF(AND(Q31=3,Q32=3),G31-F32)+IF(AND(Q31=4,Q28=4),C31-F28)+IF(AND(Q31=4,Q29=4),D31-F29)+IF(AND(Q31=4,Q30=4),E31-F30)+IF(AND(Q31=4,Q32=4),G31-F32)</f>
        <v>0</v>
      </c>
      <c r="M31" s="483">
        <f>SUM(AND(R31=R28,C31&gt;F28),AND(R31=R29,D31&gt;F29),AND(R31=R30,E31&gt;F30),AND(R31=R32,G31&gt;F32))</f>
        <v>0</v>
      </c>
      <c r="N31" s="537" t="str">
        <f>SUM(C31:G31)&amp;"-"&amp;SUM(F28:F32)</f>
        <v>0-0</v>
      </c>
      <c r="O31" s="538">
        <f>C31+D31+E31+G31-F28-F29-F30-F32</f>
        <v>0</v>
      </c>
      <c r="P31" s="485" t="e">
        <f>SUM(C31:G31,F28:F32)/SUM(F28:F32)</f>
        <v>#DIV/0!</v>
      </c>
      <c r="Q31" s="491">
        <f>VALUE(LEFT(H31,1))</f>
        <v>0</v>
      </c>
      <c r="R31" s="321">
        <f>Q31*100000+J31*10000+K31*1000+100*L31</f>
        <v>0</v>
      </c>
      <c r="S31" s="486">
        <f>R31+M31*0.1+IF(ISNONTEXT(B31),0,0.01)+0.0001*O31</f>
        <v>0</v>
      </c>
      <c r="T31" s="487" t="str">
        <f>Q31&amp;J31</f>
        <v>00</v>
      </c>
      <c r="U31" s="477"/>
      <c r="V31" s="477"/>
      <c r="W31" s="477"/>
      <c r="X31" s="477"/>
      <c r="Y31" s="477"/>
      <c r="Z31" s="477"/>
      <c r="AA31" s="477"/>
      <c r="AD31" s="405">
        <f t="shared" si="0"/>
        <v>0</v>
      </c>
      <c r="AE31" s="406" t="str">
        <f>IFERROR(INDEX(V!$R:$R,MATCH(AF31,V!$L:$L,0)),"")</f>
        <v/>
      </c>
      <c r="AF31" s="407" t="str">
        <f t="shared" si="1"/>
        <v/>
      </c>
      <c r="AG31" s="406" t="str">
        <f>IFERROR(INDEX(V!$R:$R,MATCH(AH31,V!$L:$L,0)),"")</f>
        <v/>
      </c>
      <c r="AH31" s="407" t="str">
        <f t="shared" si="2"/>
        <v/>
      </c>
      <c r="AI31" s="406" t="str">
        <f>IFERROR(INDEX(V!$R:$R,MATCH(AJ31,V!$L:$L,0)),"")</f>
        <v/>
      </c>
      <c r="AJ31" s="407" t="str">
        <f t="shared" si="3"/>
        <v/>
      </c>
      <c r="AK31" s="406" t="str">
        <f>IFERROR(INDEX(V!$R:$R,MATCH(AL31,V!$L:$L,0)),"")</f>
        <v/>
      </c>
      <c r="AL31" s="407" t="str">
        <f t="shared" si="4"/>
        <v/>
      </c>
      <c r="AM31" s="406" t="str">
        <f>IFERROR(INDEX(V!$R:$R,MATCH(AN31,V!$L:$L,0)),"")</f>
        <v/>
      </c>
      <c r="AN31" s="407" t="str">
        <f t="shared" si="5"/>
        <v/>
      </c>
      <c r="AO31" s="406" t="str">
        <f>IFERROR(INDEX(V!$R:$R,MATCH(AP31,V!$L:$L,0)),"")</f>
        <v/>
      </c>
      <c r="AP31" s="407" t="str">
        <f t="shared" si="6"/>
        <v/>
      </c>
    </row>
    <row r="32" spans="1:42" hidden="1" x14ac:dyDescent="0.2">
      <c r="A32" s="316">
        <v>5</v>
      </c>
      <c r="B32" s="493"/>
      <c r="C32" s="318"/>
      <c r="D32" s="318"/>
      <c r="E32" s="318"/>
      <c r="F32" s="318"/>
      <c r="G32" s="319"/>
      <c r="H32" s="317" t="str">
        <f>(IF(C32-G28&gt;0,1)+IF(D32-G29&gt;0,1)+IF(E32-G30&gt;0,1)+IF(F32-G31&gt;0,1))&amp;"-"&amp;(IF(C32-G28&lt;0,1)+IF(D32-G29&lt;0,1)+IF(E32-G30&lt;0,1)+IF(F32-G31&lt;0,1))</f>
        <v>0-0</v>
      </c>
      <c r="I32" s="318" t="str">
        <f t="shared" si="8"/>
        <v xml:space="preserve"> </v>
      </c>
      <c r="J32" s="489">
        <f>IF(AND(Q32=1,Q28=1,C32&gt;G28),1)+IF(AND(Q32=1,Q29=1,D32&gt;G29),1)+IF(AND(Q32=1,Q30=1,E32&gt;G30),1)+IF(AND(Q32=1,Q31=1,F32&gt;G31),1)+IF(AND(Q32=2,Q28=2,C32&gt;G28),1)+IF(AND(Q32=2,Q29=2,D32&gt;G29),1)+IF(AND(Q32=2,Q30=2,E32&gt;G30),1)+IF(AND(Q32=2,Q31=2,F32&gt;G31),1)+IF(AND(Q32=3,Q28=3,C32&gt;G28),1)+IF(AND(Q32=3,Q29=3,D32&gt;G29),1)+IF(AND(Q32=3,Q30=3,E32&gt;G30),1)+IF(AND(Q32=3,Q31=3,F32&gt;G31),1)</f>
        <v>0</v>
      </c>
      <c r="K32" s="483">
        <f>SUM(AND(T32=T28,C32&gt;G28),AND(T32=T29,D32&gt;G29),AND(T32=T30,E32&gt;G30),AND(T32=T31,F32&gt;G31))</f>
        <v>0</v>
      </c>
      <c r="L32" s="490">
        <f>IF(AND(Q32=1,Q28=1),C32-G28)+IF(AND(Q32=1,Q29=1),D32-G29)+IF(AND(Q32=1,Q30=1),E32-G30)+IF(AND(Q32=1,Q31=1),F32-G31)+IF(AND(Q32=2,Q28=2),C32-G28)+IF(AND(Q32=2,Q29=2),D32-G29)+IF(AND(Q32=2,Q30=2),E32-G30)+IF(AND(Q32=2,Q31=2),F32-G31)+IF(AND(Q32=3,Q28=3),C32-G28)+IF(AND(Q32=3,Q29=3),D32-G29)+IF(AND(Q32=3,Q30=3),E32-G30)+IF(AND(Q32=3,Q31=3),F32-G31)+IF(AND(Q32=4,Q28=4),C32-G28)+IF(AND(Q32=4,Q29=4),D32-G29)+IF(AND(Q32=4,Q30=4),E32-G30)+IF(AND(Q32=4,Q31=4),F32-G31)</f>
        <v>0</v>
      </c>
      <c r="M32" s="483">
        <f>SUM(AND(R32=R28,C32&gt;G28),AND(R32=R29,D32&gt;G29),AND(R32=R30,E32&gt;G30),AND(R32=R31,F32&gt;G31))</f>
        <v>0</v>
      </c>
      <c r="N32" s="537" t="str">
        <f>SUM(C32:G32)&amp;"-"&amp;SUM(G28:G32)</f>
        <v>0-0</v>
      </c>
      <c r="O32" s="538">
        <f>C32+D32+E32+F32-G28-G29-G30-G31</f>
        <v>0</v>
      </c>
      <c r="P32" s="485" t="e">
        <f>SUM(C32:G32,G28:G32)/SUM(G28:G32)</f>
        <v>#DIV/0!</v>
      </c>
      <c r="Q32" s="491">
        <f>VALUE(LEFT(H32,1))</f>
        <v>0</v>
      </c>
      <c r="R32" s="321">
        <f>Q32*100000+J32*10000+K32*1000+100*L32</f>
        <v>0</v>
      </c>
      <c r="S32" s="486">
        <f>R32+M32*0.1+IF(ISNONTEXT(B32),0,0.01)+0.0001*O32</f>
        <v>0</v>
      </c>
      <c r="T32" s="487" t="str">
        <f>Q32&amp;J32</f>
        <v>00</v>
      </c>
      <c r="U32" s="477"/>
      <c r="V32" s="477"/>
      <c r="W32" s="477"/>
      <c r="X32" s="477"/>
      <c r="Y32" s="477"/>
      <c r="Z32" s="477"/>
      <c r="AA32" s="477"/>
      <c r="AD32" s="405">
        <f t="shared" si="0"/>
        <v>0</v>
      </c>
      <c r="AE32" s="406" t="str">
        <f>IFERROR(INDEX(V!$R:$R,MATCH(AF32,V!$L:$L,0)),"")</f>
        <v/>
      </c>
      <c r="AF32" s="407" t="str">
        <f t="shared" si="1"/>
        <v/>
      </c>
      <c r="AG32" s="406" t="str">
        <f>IFERROR(INDEX(V!$R:$R,MATCH(AH32,V!$L:$L,0)),"")</f>
        <v/>
      </c>
      <c r="AH32" s="407" t="str">
        <f t="shared" si="2"/>
        <v/>
      </c>
      <c r="AI32" s="406" t="str">
        <f>IFERROR(INDEX(V!$R:$R,MATCH(AJ32,V!$L:$L,0)),"")</f>
        <v/>
      </c>
      <c r="AJ32" s="407" t="str">
        <f t="shared" si="3"/>
        <v/>
      </c>
      <c r="AK32" s="406" t="str">
        <f>IFERROR(INDEX(V!$R:$R,MATCH(AL32,V!$L:$L,0)),"")</f>
        <v/>
      </c>
      <c r="AL32" s="407" t="str">
        <f t="shared" si="4"/>
        <v/>
      </c>
      <c r="AM32" s="406" t="str">
        <f>IFERROR(INDEX(V!$R:$R,MATCH(AN32,V!$L:$L,0)),"")</f>
        <v/>
      </c>
      <c r="AN32" s="407" t="str">
        <f t="shared" si="5"/>
        <v/>
      </c>
      <c r="AO32" s="406" t="str">
        <f>IFERROR(INDEX(V!$R:$R,MATCH(AP32,V!$L:$L,0)),"")</f>
        <v/>
      </c>
      <c r="AP32" s="407" t="str">
        <f t="shared" si="6"/>
        <v/>
      </c>
    </row>
    <row r="33" spans="1:42" x14ac:dyDescent="0.2">
      <c r="A33" s="494"/>
      <c r="B33" s="519"/>
      <c r="C33" s="499"/>
      <c r="D33" s="499"/>
      <c r="E33" s="499"/>
      <c r="F33" s="496"/>
      <c r="G33" s="499"/>
      <c r="H33" s="520"/>
      <c r="I33" s="444"/>
      <c r="J33" s="477"/>
      <c r="K33" s="477"/>
      <c r="L33" s="477"/>
      <c r="M33" s="477"/>
      <c r="N33" s="539"/>
      <c r="O33" s="539"/>
      <c r="P33" s="477"/>
      <c r="Q33" s="477"/>
      <c r="R33" s="502" t="s">
        <v>264</v>
      </c>
      <c r="S33" s="477"/>
      <c r="T33" s="477"/>
      <c r="U33" s="477"/>
      <c r="V33" s="477"/>
      <c r="W33" s="477"/>
      <c r="X33" s="477"/>
      <c r="Y33" s="477"/>
      <c r="Z33" s="477"/>
      <c r="AA33" s="477"/>
      <c r="AD33" s="405">
        <f t="shared" si="0"/>
        <v>0</v>
      </c>
      <c r="AE33" s="406" t="str">
        <f>IFERROR(INDEX(V!$R:$R,MATCH(AF33,V!$L:$L,0)),"")</f>
        <v/>
      </c>
      <c r="AF33" s="407" t="str">
        <f t="shared" si="1"/>
        <v/>
      </c>
      <c r="AG33" s="406" t="str">
        <f>IFERROR(INDEX(V!$R:$R,MATCH(AH33,V!$L:$L,0)),"")</f>
        <v/>
      </c>
      <c r="AH33" s="407" t="str">
        <f t="shared" si="2"/>
        <v/>
      </c>
      <c r="AI33" s="406" t="str">
        <f>IFERROR(INDEX(V!$R:$R,MATCH(AJ33,V!$L:$L,0)),"")</f>
        <v/>
      </c>
      <c r="AJ33" s="407" t="str">
        <f t="shared" si="3"/>
        <v/>
      </c>
      <c r="AK33" s="406" t="str">
        <f>IFERROR(INDEX(V!$R:$R,MATCH(AL33,V!$L:$L,0)),"")</f>
        <v/>
      </c>
      <c r="AL33" s="407" t="str">
        <f t="shared" si="4"/>
        <v/>
      </c>
      <c r="AM33" s="406" t="str">
        <f>IFERROR(INDEX(V!$R:$R,MATCH(AN33,V!$L:$L,0)),"")</f>
        <v/>
      </c>
      <c r="AN33" s="407" t="str">
        <f t="shared" si="5"/>
        <v/>
      </c>
      <c r="AO33" s="406" t="str">
        <f>IFERROR(INDEX(V!$R:$R,MATCH(AP33,V!$L:$L,0)),"")</f>
        <v/>
      </c>
      <c r="AP33" s="407" t="str">
        <f t="shared" si="6"/>
        <v/>
      </c>
    </row>
    <row r="34" spans="1:42" x14ac:dyDescent="0.2">
      <c r="A34" s="316" t="s">
        <v>4</v>
      </c>
      <c r="B34" s="503"/>
      <c r="C34" s="467">
        <v>1</v>
      </c>
      <c r="D34" s="467">
        <v>2</v>
      </c>
      <c r="E34" s="467">
        <v>3</v>
      </c>
      <c r="F34" s="467"/>
      <c r="G34" s="467"/>
      <c r="H34" s="467" t="s">
        <v>168</v>
      </c>
      <c r="I34" s="275" t="s">
        <v>169</v>
      </c>
      <c r="J34" s="504" t="s">
        <v>257</v>
      </c>
      <c r="K34" s="505" t="s">
        <v>258</v>
      </c>
      <c r="L34" s="506" t="s">
        <v>259</v>
      </c>
      <c r="M34" s="506" t="s">
        <v>260</v>
      </c>
      <c r="N34" s="472" t="s">
        <v>170</v>
      </c>
      <c r="O34" s="472" t="s">
        <v>170</v>
      </c>
      <c r="P34" s="473" t="s">
        <v>261</v>
      </c>
      <c r="Q34" s="507" t="s">
        <v>21</v>
      </c>
      <c r="R34" s="507" t="b">
        <f>OR(AND(COUNTA(B35:B39)=3,COUNTA(C35:G39)=6),AND(COUNTA(B35:B39)=4,COUNTA(C35:G39)=12),AND(COUNTA(B35:B39)=5,COUNTA(C35:G39)=20))</f>
        <v>1</v>
      </c>
      <c r="S34" s="508" t="s">
        <v>262</v>
      </c>
      <c r="T34" s="509" t="s">
        <v>263</v>
      </c>
      <c r="U34" s="477"/>
      <c r="V34" s="477"/>
      <c r="W34" s="477"/>
      <c r="X34" s="477"/>
      <c r="Y34" s="477"/>
      <c r="Z34" s="477"/>
      <c r="AA34" s="477"/>
      <c r="AD34" s="405">
        <f t="shared" si="0"/>
        <v>0</v>
      </c>
      <c r="AE34" s="406" t="str">
        <f>IFERROR(INDEX(V!$R:$R,MATCH(AF34,V!$L:$L,0)),"")</f>
        <v/>
      </c>
      <c r="AF34" s="407" t="str">
        <f t="shared" si="1"/>
        <v/>
      </c>
      <c r="AG34" s="406" t="str">
        <f>IFERROR(INDEX(V!$R:$R,MATCH(AH34,V!$L:$L,0)),"")</f>
        <v/>
      </c>
      <c r="AH34" s="407" t="str">
        <f t="shared" si="2"/>
        <v/>
      </c>
      <c r="AI34" s="406" t="str">
        <f>IFERROR(INDEX(V!$R:$R,MATCH(AJ34,V!$L:$L,0)),"")</f>
        <v/>
      </c>
      <c r="AJ34" s="407" t="str">
        <f t="shared" si="3"/>
        <v/>
      </c>
      <c r="AK34" s="406" t="str">
        <f>IFERROR(INDEX(V!$R:$R,MATCH(AL34,V!$L:$L,0)),"")</f>
        <v/>
      </c>
      <c r="AL34" s="407" t="str">
        <f t="shared" si="4"/>
        <v/>
      </c>
      <c r="AM34" s="406" t="str">
        <f>IFERROR(INDEX(V!$R:$R,MATCH(AN34,V!$L:$L,0)),"")</f>
        <v/>
      </c>
      <c r="AN34" s="407" t="str">
        <f t="shared" si="5"/>
        <v/>
      </c>
      <c r="AO34" s="406" t="str">
        <f>IFERROR(INDEX(V!$R:$R,MATCH(AP34,V!$L:$L,0)),"")</f>
        <v/>
      </c>
      <c r="AP34" s="407" t="str">
        <f t="shared" si="6"/>
        <v/>
      </c>
    </row>
    <row r="35" spans="1:42" x14ac:dyDescent="0.2">
      <c r="A35" s="316">
        <v>1</v>
      </c>
      <c r="B35" s="518" t="s">
        <v>316</v>
      </c>
      <c r="C35" s="319"/>
      <c r="D35" s="318">
        <v>9</v>
      </c>
      <c r="E35" s="318">
        <v>13</v>
      </c>
      <c r="F35" s="318"/>
      <c r="G35" s="318"/>
      <c r="H35" s="317" t="str">
        <f>(IF(D35-C36&gt;0,1)+IF(E35-C37&gt;0,1)+IF(F35-C38&gt;0,1)+IF(G35-C39&gt;0,1))&amp;"-"&amp;(IF(D35-C36&lt;0,1)+IF(E35-C37&lt;0,1)+IF(F35-C38&lt;0,1)+IF(G35-C39&lt;0,1))</f>
        <v>1-1</v>
      </c>
      <c r="I35" s="279" t="str">
        <f>IF(AND(B35&lt;&gt;"",R$34=TRUE),A$34&amp;RANK(S35,S$35:S$39,0)," ")</f>
        <v>E2</v>
      </c>
      <c r="J35" s="480">
        <f>IF(AND(Q35=1,Q36=1,D35&gt;C36),1)+IF(AND(Q35=1,Q37=1,E35&gt;C37),1)+IF(AND(Q35=1,Q38=1,F35&gt;C38),1)+IF(AND(Q35=1,Q39=1,G35&gt;C39),1)+IF(AND(Q35=2,Q36=2,D35&gt;C36),1)+IF(AND(Q35=2,Q37=2,E35&gt;C37),1)+IF(AND(Q35=2,Q38=2,F35&gt;C38),1)+IF(AND(Q35=2,Q39=2,G35&gt;C39),1)+IF(AND(Q35=3,Q36=3,D35&gt;C36),1)+IF(AND(Q35=3,Q37=3,E35&gt;C37),1)+IF(AND(Q35=3,Q38=3,F35&gt;C38),1)+IF(AND(Q35=3,Q39=3,G35&gt;C39),1)</f>
        <v>0</v>
      </c>
      <c r="K35" s="481">
        <f>SUM(AND(T35=T36,D35&gt;C36),AND(T35=T37,E35&gt;C37),AND(T35=T38,F35&gt;C38),AND(T35=T39,G35&gt;C39))</f>
        <v>0</v>
      </c>
      <c r="L35" s="482">
        <f>IF(AND(Q35=1,Q36=1),D35-C36)+IF(AND(Q35=1,Q37=1),E35-C37)+IF(AND(Q35=1,Q38=1),F35-C38)+IF(AND(Q35=1,Q39=1),G35-C39)+IF(AND(Q35=2,Q36=2),D35-C36)+IF(AND(Q35=2,Q37=2),E35-C37)+IF(AND(Q35=2,Q38=2),F35-C38)+IF(AND(Q35=2,Q39=2),G35-C39)+IF(AND(Q35=3,Q36=3),D35-C36)+IF(AND(Q35=3,Q37=3),E35-C37)+IF(AND(Q35=3,Q38=3),F35-C38)+IF(AND(Q35=3,Q39=3),G35-C39)+IF(AND(Q35=4,Q36=4),D35-C36)+IF(AND(Q35=4,Q37=4),E35-C37)+IF(AND(Q35=4,Q38=4),F35-C38)+IF(AND(Q35=4,Q39=4),G35-C39)</f>
        <v>0</v>
      </c>
      <c r="M35" s="483">
        <f>SUM(AND(R35=R36,D35&gt;C36),AND(R35=R37,E35&gt;C37),AND(R35=R38,F35&gt;C38),AND(R35=R39,G35&gt;C39))</f>
        <v>0</v>
      </c>
      <c r="N35" s="537" t="str">
        <f>SUM(C35:G35)&amp;"-"&amp;SUM(C35:C39)</f>
        <v>22-16</v>
      </c>
      <c r="O35" s="538">
        <f>D35+E35+F35+G35-C36-C37-C38-C39</f>
        <v>6</v>
      </c>
      <c r="P35" s="485">
        <f>SUM(C35:G35,C35:C39)/SUM(C35:C39)</f>
        <v>2.375</v>
      </c>
      <c r="Q35" s="320">
        <f>VALUE(LEFT(H35,1))</f>
        <v>1</v>
      </c>
      <c r="R35" s="321">
        <f>Q35*100000+J35*10000+K35*1000+100*L35</f>
        <v>100000</v>
      </c>
      <c r="S35" s="486">
        <f>R35+M35*0.1+IF(ISNONTEXT(B35),0,0.01)+0.0001*O35</f>
        <v>100000.01059999999</v>
      </c>
      <c r="T35" s="487" t="str">
        <f>Q35&amp;J35</f>
        <v>10</v>
      </c>
      <c r="U35" s="477"/>
      <c r="V35" s="477"/>
      <c r="W35" s="477"/>
      <c r="X35" s="477"/>
      <c r="Y35" s="477"/>
      <c r="Z35" s="477"/>
      <c r="AA35" s="477"/>
      <c r="AD35" s="405">
        <f t="shared" si="0"/>
        <v>186</v>
      </c>
      <c r="AE35" s="406">
        <f>IFERROR(INDEX(V!$R:$R,MATCH(AF35,V!$L:$L,0)),"")</f>
        <v>90</v>
      </c>
      <c r="AF35" s="407" t="str">
        <f t="shared" si="1"/>
        <v>Henri Mitt</v>
      </c>
      <c r="AG35" s="406" t="str">
        <f>IFERROR(INDEX(V!$R:$R,MATCH(AH35,V!$L:$L,0)),"")</f>
        <v/>
      </c>
      <c r="AH35" s="407" t="str">
        <f t="shared" si="2"/>
        <v>Meelis Luud, Melika Lehtla</v>
      </c>
      <c r="AI35" s="406">
        <f>IFERROR(INDEX(V!$R:$R,MATCH(AJ35,V!$L:$L,0)),"")</f>
        <v>86</v>
      </c>
      <c r="AJ35" s="407" t="str">
        <f t="shared" si="3"/>
        <v>Meelis Luud</v>
      </c>
      <c r="AK35" s="406">
        <f>IFERROR(INDEX(V!$R:$R,MATCH(AL35,V!$L:$L,0)),"")</f>
        <v>10</v>
      </c>
      <c r="AL35" s="407" t="str">
        <f t="shared" si="4"/>
        <v>Melika Lehtla</v>
      </c>
      <c r="AM35" s="406" t="str">
        <f>IFERROR(INDEX(V!$R:$R,MATCH(AN35,V!$L:$L,0)),"")</f>
        <v/>
      </c>
      <c r="AN35" s="407" t="str">
        <f t="shared" si="5"/>
        <v/>
      </c>
      <c r="AO35" s="406" t="str">
        <f>IFERROR(INDEX(V!$R:$R,MATCH(AP35,V!$L:$L,0)),"")</f>
        <v/>
      </c>
      <c r="AP35" s="407" t="str">
        <f t="shared" si="6"/>
        <v/>
      </c>
    </row>
    <row r="36" spans="1:42" x14ac:dyDescent="0.2">
      <c r="A36" s="316">
        <v>2</v>
      </c>
      <c r="B36" s="488" t="s">
        <v>311</v>
      </c>
      <c r="C36" s="318">
        <v>13</v>
      </c>
      <c r="D36" s="319"/>
      <c r="E36" s="318">
        <v>13</v>
      </c>
      <c r="F36" s="318"/>
      <c r="G36" s="318"/>
      <c r="H36" s="317" t="str">
        <f>(IF(C36-D35&gt;0,1)+IF(E36-D37&gt;0,1)+IF(F36-D38&gt;0,1)+IF(G36-D39&gt;0,1))&amp;"-"&amp;(IF(C36-D35&lt;0,1)+IF(E36-D37&lt;0,1)+IF(F36-D38&lt;0,1)+IF(G36-D39&lt;0,1))</f>
        <v>2-0</v>
      </c>
      <c r="I36" s="279" t="str">
        <f t="shared" ref="I36:I39" si="9">IF(AND(B36&lt;&gt;"",R$34=TRUE),A$34&amp;RANK(S36,S$35:S$39,0)," ")</f>
        <v>E1</v>
      </c>
      <c r="J36" s="489">
        <f>IF(AND(Q36=1,Q35=1,C36&gt;D35),1)+IF(AND(Q36=1,Q37=1,E36&gt;D37),1)+IF(AND(Q36=1,Q38=1,F36&gt;D38),1)+IF(AND(Q36=1,Q39=1,G36&gt;D39),1)+IF(AND(Q36=2,Q35=2,C36&gt;D35),1)+IF(AND(Q36=2,Q37=2,E36&gt;D37),1)+IF(AND(Q36=2,Q38=2,F36&gt;D38),1)+IF(AND(Q36=2,Q39=2,G36&gt;D39),1)+IF(AND(Q36=3,Q35=3,C36&gt;D35),1)+IF(AND(Q36=3,Q37=3,E36&gt;D37),1)+IF(AND(Q36=3,Q38=3,F36&gt;D38),1)+IF(AND(Q36=3,Q39=3,G36&gt;D39),1)</f>
        <v>0</v>
      </c>
      <c r="K36" s="483">
        <f>SUM(AND(T36=T35,C36&gt;D35),AND(T36=T37,E36&gt;D37),AND(T36=T38,F36&gt;D38),AND(T36=T39,G36&gt;D39))</f>
        <v>0</v>
      </c>
      <c r="L36" s="490">
        <f>IF(AND(Q36=1,Q35=1),C36-D35)+IF(AND(Q36=1,Q37=1),E36-D37)+IF(AND(Q36=1,Q38=1),F36-D38)+IF(AND(Q36=1,Q39=1),G36-D39)+IF(AND(Q36=2,Q35=2),C36-D35)+IF(AND(Q36=2,Q37=2),E36-D37)+IF(AND(Q36=2,Q38=2),F36-D38)+IF(AND(Q36=2,Q39=2),G36-D39)+IF(AND(Q36=3,Q35=3),C36-D35)+IF(AND(Q36=3,Q37=3),E36-D37)+IF(AND(Q36=3,Q38=3),F36-D38)+IF(AND(Q36=3,Q39=3),G36-D39)+IF(AND(Q36=4,Q35=4),C36-D35)+IF(AND(Q36=4,Q37=4),E36-D37)+IF(AND(Q36=4,Q38=4),F36-D38)+IF(AND(Q36=4,Q39=4),G36-D39)</f>
        <v>0</v>
      </c>
      <c r="M36" s="483">
        <f>SUM(AND(R36=R35,C36&gt;D35),AND(R36=R37,E36&gt;D37),AND(R36=R38,F36&gt;D38),AND(R36=R39,G36&gt;D39))</f>
        <v>0</v>
      </c>
      <c r="N36" s="537" t="str">
        <f>SUM(C36:G36)&amp;"-"&amp;SUM(D35:D39)</f>
        <v>26-15</v>
      </c>
      <c r="O36" s="538">
        <f>C36+E36+F36+G36-D35-D37-D38-D39</f>
        <v>11</v>
      </c>
      <c r="P36" s="485">
        <f>SUM(C36:G36,D35:D39)/SUM(D35:D39)</f>
        <v>2.7333333333333334</v>
      </c>
      <c r="Q36" s="491">
        <f>VALUE(LEFT(H36,1))</f>
        <v>2</v>
      </c>
      <c r="R36" s="321">
        <f>Q36*100000+J36*10000+K36*1000+100*L36</f>
        <v>200000</v>
      </c>
      <c r="S36" s="486">
        <f>R36+M36*0.1+IF(ISNONTEXT(B36),0,0.01)+0.0001*O36</f>
        <v>200000.0111</v>
      </c>
      <c r="T36" s="487" t="str">
        <f>Q36&amp;J36</f>
        <v>20</v>
      </c>
      <c r="U36" s="477"/>
      <c r="V36" s="477"/>
      <c r="W36" s="477"/>
      <c r="X36" s="477"/>
      <c r="Y36" s="477"/>
      <c r="Z36" s="477"/>
      <c r="AA36" s="477"/>
      <c r="AD36" s="405">
        <f t="shared" si="0"/>
        <v>209</v>
      </c>
      <c r="AE36" s="406">
        <f>IFERROR(INDEX(V!$R:$R,MATCH(AF36,V!$L:$L,0)),"")</f>
        <v>57</v>
      </c>
      <c r="AF36" s="407" t="str">
        <f t="shared" si="1"/>
        <v>Tõnu Kapper</v>
      </c>
      <c r="AG36" s="406">
        <f>IFERROR(INDEX(V!$R:$R,MATCH(AH36,V!$L:$L,0)),"")</f>
        <v>152</v>
      </c>
      <c r="AH36" s="407" t="str">
        <f t="shared" si="2"/>
        <v>Vladimir Ogneštšikov</v>
      </c>
      <c r="AI36" s="406" t="str">
        <f>IFERROR(INDEX(V!$R:$R,MATCH(AJ36,V!$L:$L,0)),"")</f>
        <v/>
      </c>
      <c r="AJ36" s="407" t="str">
        <f t="shared" si="3"/>
        <v/>
      </c>
      <c r="AK36" s="406" t="str">
        <f>IFERROR(INDEX(V!$R:$R,MATCH(AL36,V!$L:$L,0)),"")</f>
        <v/>
      </c>
      <c r="AL36" s="407" t="str">
        <f t="shared" si="4"/>
        <v/>
      </c>
      <c r="AM36" s="406" t="str">
        <f>IFERROR(INDEX(V!$R:$R,MATCH(AN36,V!$L:$L,0)),"")</f>
        <v/>
      </c>
      <c r="AN36" s="407" t="str">
        <f t="shared" si="5"/>
        <v/>
      </c>
      <c r="AO36" s="406" t="str">
        <f>IFERROR(INDEX(V!$R:$R,MATCH(AP36,V!$L:$L,0)),"")</f>
        <v/>
      </c>
      <c r="AP36" s="407" t="str">
        <f t="shared" si="6"/>
        <v/>
      </c>
    </row>
    <row r="37" spans="1:42" ht="25.5" x14ac:dyDescent="0.2">
      <c r="A37" s="316">
        <v>3</v>
      </c>
      <c r="B37" s="488" t="s">
        <v>315</v>
      </c>
      <c r="C37" s="318">
        <v>3</v>
      </c>
      <c r="D37" s="492">
        <v>6</v>
      </c>
      <c r="E37" s="319"/>
      <c r="F37" s="318"/>
      <c r="G37" s="318"/>
      <c r="H37" s="317" t="str">
        <f>(IF(C37-E35&gt;0,1)+IF(D37-E36&gt;0,1)+IF(F37-E38&gt;0,1)+IF(G37-E39&gt;0,1))&amp;"-"&amp;(IF(C37-E35&lt;0,1)+IF(D37-E36&lt;0,1)+IF(F37-E38&lt;0,1)+IF(G37-E39&lt;0,1))</f>
        <v>0-2</v>
      </c>
      <c r="I37" s="279" t="str">
        <f t="shared" si="9"/>
        <v>E3</v>
      </c>
      <c r="J37" s="489">
        <f>IF(AND(Q37=1,Q35=1,C37&gt;E35),1)+IF(AND(Q37=1,Q36=1,D37&gt;E36),1)+IF(AND(Q37=1,Q38=1,F37&gt;E38),1)+IF(AND(Q37=1,Q39=1,G37&gt;E39),1)+IF(AND(Q37=2,Q35=2,C37&gt;E35),1)+IF(AND(Q37=2,Q36=2,D37&gt;E36),1)+IF(AND(Q37=2,Q38=2,F37&gt;E38),1)+IF(AND(Q37=2,Q39=2,G37&gt;E39),1)+IF(AND(Q37=3,Q35=3,C37&gt;E35),1)+IF(AND(Q37=3,Q36=3,D37&gt;E36),1)+IF(AND(Q37=3,Q38=3,F37&gt;E38),1)+IF(AND(Q37=3,Q39=3,G37&gt;E39),1)</f>
        <v>0</v>
      </c>
      <c r="K37" s="483">
        <f>SUM(AND(T37=T35,C37&gt;E35),AND(T37=T36,D37&gt;E36),AND(T37=T38,F37&gt;E38),AND(T37=T39,G37&gt;E39))</f>
        <v>0</v>
      </c>
      <c r="L37" s="490">
        <f>IF(AND(Q37=1,Q35=1),C37-E35)+IF(AND(Q37=1,Q36=1),D37-E36)+IF(AND(Q37=1,Q38=1),F37-E38)+IF(AND(Q37=1,Q39=1),G37-E39)+IF(AND(Q37=2,Q35=2),C37-E35)+IF(AND(Q37=2,Q36=2),D37-E36)+IF(AND(Q37=2,Q38=2),F37-E38)+IF(AND(Q37=2,Q39=2),G37-E39)+IF(AND(Q37=3,Q35=3),C37-E35)+IF(AND(Q37=3,Q36=3),D37-E36)+IF(AND(Q37=3,Q38=3),F37-E38)+IF(AND(Q37=3,Q39=3),G37-E39)+IF(AND(Q37=4,Q35=4),C37-E35)+IF(AND(Q37=4,Q36=4),D37-E36)+IF(AND(Q37=4,Q38=4),F37-E38)+IF(AND(Q37=4,Q39=4),G37-E39)</f>
        <v>0</v>
      </c>
      <c r="M37" s="483">
        <f>SUM(AND(R37=R35,C37&gt;E35),AND(R37=R36,D37&gt;E36),AND(R37=R38,F37&gt;E38),AND(R37=R39,G37&gt;E39))</f>
        <v>0</v>
      </c>
      <c r="N37" s="537" t="str">
        <f>SUM(C37:G37)&amp;"-"&amp;SUM(E35:E39)</f>
        <v>9-26</v>
      </c>
      <c r="O37" s="538">
        <f>C37+D37+F37+G37-E35-E36-E38-E39</f>
        <v>-17</v>
      </c>
      <c r="P37" s="485">
        <f>SUM(C37:G37,E35:E39)/SUM(E35:E39)</f>
        <v>1.3461538461538463</v>
      </c>
      <c r="Q37" s="491">
        <f>VALUE(LEFT(H37,1))</f>
        <v>0</v>
      </c>
      <c r="R37" s="321">
        <f>Q37*100000+J37*10000+K37*1000+100*L37</f>
        <v>0</v>
      </c>
      <c r="S37" s="486">
        <f>R37+M37*0.1+IF(ISNONTEXT(B37),0,0.01)+0.0001*O37</f>
        <v>8.3000000000000001E-3</v>
      </c>
      <c r="T37" s="487" t="str">
        <f>Q37&amp;J37</f>
        <v>00</v>
      </c>
      <c r="U37" s="477"/>
      <c r="V37" s="477"/>
      <c r="W37" s="477"/>
      <c r="X37" s="477"/>
      <c r="Y37" s="477"/>
      <c r="Z37" s="477"/>
      <c r="AA37" s="477"/>
      <c r="AD37" s="405">
        <f t="shared" si="0"/>
        <v>24</v>
      </c>
      <c r="AE37" s="406">
        <f>IFERROR(INDEX(V!$R:$R,MATCH(AF37,V!$L:$L,0)),"")</f>
        <v>5</v>
      </c>
      <c r="AF37" s="407" t="str">
        <f t="shared" si="1"/>
        <v>Denis Skrabutenas</v>
      </c>
      <c r="AG37" s="406" t="str">
        <f>IFERROR(INDEX(V!$R:$R,MATCH(AH37,V!$L:$L,0)),"")</f>
        <v/>
      </c>
      <c r="AH37" s="407" t="str">
        <f t="shared" si="2"/>
        <v>Lydia Skrabutenas, Veronika Pirk</v>
      </c>
      <c r="AI37" s="406">
        <f>IFERROR(INDEX(V!$R:$R,MATCH(AJ37,V!$L:$L,0)),"")</f>
        <v>5</v>
      </c>
      <c r="AJ37" s="407" t="str">
        <f t="shared" si="3"/>
        <v>Lydia Skrabutenas</v>
      </c>
      <c r="AK37" s="406">
        <f>IFERROR(INDEX(V!$R:$R,MATCH(AL37,V!$L:$L,0)),"")</f>
        <v>14</v>
      </c>
      <c r="AL37" s="407" t="str">
        <f t="shared" si="4"/>
        <v>Veronika Pirk</v>
      </c>
      <c r="AM37" s="406" t="str">
        <f>IFERROR(INDEX(V!$R:$R,MATCH(AN37,V!$L:$L,0)),"")</f>
        <v/>
      </c>
      <c r="AN37" s="407" t="str">
        <f t="shared" si="5"/>
        <v/>
      </c>
      <c r="AO37" s="406" t="str">
        <f>IFERROR(INDEX(V!$R:$R,MATCH(AP37,V!$L:$L,0)),"")</f>
        <v/>
      </c>
      <c r="AP37" s="407" t="str">
        <f t="shared" si="6"/>
        <v/>
      </c>
    </row>
    <row r="38" spans="1:42" hidden="1" x14ac:dyDescent="0.2">
      <c r="A38" s="316">
        <v>4</v>
      </c>
      <c r="B38" s="493"/>
      <c r="C38" s="318"/>
      <c r="D38" s="492"/>
      <c r="E38" s="318"/>
      <c r="F38" s="319"/>
      <c r="G38" s="511"/>
      <c r="H38" s="317" t="str">
        <f>(IF(C38-F35&gt;0,1)+IF(D38-F36&gt;0,1)+IF(E38-F37&gt;0,1)+IF(G38-F39&gt;0,1))&amp;"-"&amp;(IF(C38-F35&lt;0,1)+IF(D38-F36&lt;0,1)+IF(E38-F37&lt;0,1)+IF(G38-F39&lt;0,1))</f>
        <v>0-0</v>
      </c>
      <c r="I38" s="279" t="str">
        <f t="shared" si="9"/>
        <v xml:space="preserve"> </v>
      </c>
      <c r="J38" s="489">
        <f>IF(AND(Q38=1,Q35=1,C38&gt;F35),1)+IF(AND(Q38=1,Q36=1,D38&gt;F36),1)+IF(AND(Q38=1,Q37=1,E38&gt;F37),1)+IF(AND(Q38=1,Q39=1,G38&gt;F39),1)+IF(AND(Q38=2,Q35=2,C38&gt;F35),1)+IF(AND(Q38=2,Q36=2,D38&gt;F36),1)+IF(AND(Q38=2,Q37=2,E38&gt;F37),1)+IF(AND(Q38=2,Q39=2,G38&gt;F39),1)+IF(AND(Q38=3,Q35=3,C38&gt;F35),1)+IF(AND(Q38=3,Q36=3,D38&gt;F36),1)+IF(AND(Q38=3,Q37=3,E38&gt;F37),1)+IF(AND(Q38=3,Q39=3,G38&gt;F39),1)</f>
        <v>0</v>
      </c>
      <c r="K38" s="483">
        <f>SUM(AND(T38=T35,C38&gt;F35),AND(T38=T36,D38&gt;F36),AND(T38=T37,E38&gt;F37),AND(T38=T39,G38&gt;F39))</f>
        <v>0</v>
      </c>
      <c r="L38" s="490">
        <f>IF(AND(Q38=1,Q35=1),C38-F35)+IF(AND(Q38=1,Q36=1),D38-F36)+IF(AND(Q38=1,Q37=1),E38-F37)+IF(AND(Q38=1,Q39=1),G38-F39)+IF(AND(Q38=2,Q35=2),C38-F35)+IF(AND(Q38=2,Q36=2),D38-F36)+IF(AND(Q38=2,Q37=2),E38-F37)+IF(AND(Q38=2,Q39=2),G38-F39)+IF(AND(Q38=3,Q35=3),C38-F35)+IF(AND(Q38=3,Q36=3),D38-F36)+IF(AND(Q38=3,Q37=3),E38-F37)+IF(AND(Q38=3,Q39=3),G38-F39)+IF(AND(Q38=4,Q35=4),C38-F35)+IF(AND(Q38=4,Q36=4),D38-F36)+IF(AND(Q38=4,Q37=4),E38-F37)+IF(AND(Q38=4,Q39=4),G38-F39)</f>
        <v>0</v>
      </c>
      <c r="M38" s="483">
        <f>SUM(AND(R38=R35,C38&gt;F35),AND(R38=R36,D38&gt;F36),AND(R38=R37,E38&gt;F37),AND(R38=R39,G38&gt;F39))</f>
        <v>0</v>
      </c>
      <c r="N38" s="537" t="str">
        <f>SUM(C38:G38)&amp;"-"&amp;SUM(F35:F39)</f>
        <v>0-0</v>
      </c>
      <c r="O38" s="538">
        <f>C38+D38+E38+G38-F35-F36-F37-F39</f>
        <v>0</v>
      </c>
      <c r="P38" s="485" t="e">
        <f>SUM(C38:G38,F35:F39)/SUM(F35:F39)</f>
        <v>#DIV/0!</v>
      </c>
      <c r="Q38" s="491">
        <f>VALUE(LEFT(H38,1))</f>
        <v>0</v>
      </c>
      <c r="R38" s="321">
        <f>Q38*100000+J38*10000+K38*1000+100*L38</f>
        <v>0</v>
      </c>
      <c r="S38" s="486">
        <f>R38+M38*0.1+IF(ISNONTEXT(B38),0,0.01)+0.0001*O38</f>
        <v>0</v>
      </c>
      <c r="T38" s="487" t="str">
        <f>Q38&amp;J38</f>
        <v>00</v>
      </c>
      <c r="U38" s="477"/>
      <c r="V38" s="477"/>
      <c r="W38" s="477"/>
      <c r="X38" s="477"/>
      <c r="Y38" s="477"/>
      <c r="Z38" s="477"/>
      <c r="AA38" s="477"/>
      <c r="AD38" s="405">
        <f t="shared" si="0"/>
        <v>0</v>
      </c>
      <c r="AE38" s="406" t="str">
        <f>IFERROR(INDEX(V!$R:$R,MATCH(AF38,V!$L:$L,0)),"")</f>
        <v/>
      </c>
      <c r="AF38" s="407" t="str">
        <f t="shared" si="1"/>
        <v/>
      </c>
      <c r="AG38" s="406" t="str">
        <f>IFERROR(INDEX(V!$R:$R,MATCH(AH38,V!$L:$L,0)),"")</f>
        <v/>
      </c>
      <c r="AH38" s="407" t="str">
        <f t="shared" si="2"/>
        <v/>
      </c>
      <c r="AI38" s="406" t="str">
        <f>IFERROR(INDEX(V!$R:$R,MATCH(AJ38,V!$L:$L,0)),"")</f>
        <v/>
      </c>
      <c r="AJ38" s="407" t="str">
        <f t="shared" si="3"/>
        <v/>
      </c>
      <c r="AK38" s="406" t="str">
        <f>IFERROR(INDEX(V!$R:$R,MATCH(AL38,V!$L:$L,0)),"")</f>
        <v/>
      </c>
      <c r="AL38" s="407" t="str">
        <f t="shared" si="4"/>
        <v/>
      </c>
      <c r="AM38" s="406" t="str">
        <f>IFERROR(INDEX(V!$R:$R,MATCH(AN38,V!$L:$L,0)),"")</f>
        <v/>
      </c>
      <c r="AN38" s="407" t="str">
        <f t="shared" si="5"/>
        <v/>
      </c>
      <c r="AO38" s="406" t="str">
        <f>IFERROR(INDEX(V!$R:$R,MATCH(AP38,V!$L:$L,0)),"")</f>
        <v/>
      </c>
      <c r="AP38" s="407" t="str">
        <f t="shared" si="6"/>
        <v/>
      </c>
    </row>
    <row r="39" spans="1:42" hidden="1" x14ac:dyDescent="0.2">
      <c r="A39" s="316">
        <v>5</v>
      </c>
      <c r="B39" s="493"/>
      <c r="C39" s="318"/>
      <c r="D39" s="318"/>
      <c r="E39" s="318"/>
      <c r="F39" s="318"/>
      <c r="G39" s="319"/>
      <c r="H39" s="317" t="str">
        <f>(IF(C39-G35&gt;0,1)+IF(D39-G36&gt;0,1)+IF(E39-G37&gt;0,1)+IF(F39-G38&gt;0,1))&amp;"-"&amp;(IF(C39-G35&lt;0,1)+IF(D39-G36&lt;0,1)+IF(E39-G37&lt;0,1)+IF(F39-G38&lt;0,1))</f>
        <v>0-0</v>
      </c>
      <c r="I39" s="279" t="str">
        <f t="shared" si="9"/>
        <v xml:space="preserve"> </v>
      </c>
      <c r="J39" s="489">
        <f>IF(AND(Q39=1,Q35=1,C39&gt;G35),1)+IF(AND(Q39=1,Q36=1,D39&gt;G36),1)+IF(AND(Q39=1,Q37=1,E39&gt;G37),1)+IF(AND(Q39=1,Q38=1,F39&gt;G38),1)+IF(AND(Q39=2,Q35=2,C39&gt;G35),1)+IF(AND(Q39=2,Q36=2,D39&gt;G36),1)+IF(AND(Q39=2,Q37=2,E39&gt;G37),1)+IF(AND(Q39=2,Q38=2,F39&gt;G38),1)+IF(AND(Q39=3,Q35=3,C39&gt;G35),1)+IF(AND(Q39=3,Q36=3,D39&gt;G36),1)+IF(AND(Q39=3,Q37=3,E39&gt;G37),1)+IF(AND(Q39=3,Q38=3,F39&gt;G38),1)</f>
        <v>0</v>
      </c>
      <c r="K39" s="483">
        <f>SUM(AND(T39=T35,C39&gt;G35),AND(T39=T36,D39&gt;G36),AND(T39=T37,E39&gt;G37),AND(T39=T38,F39&gt;G38))</f>
        <v>0</v>
      </c>
      <c r="L39" s="490">
        <f>IF(AND(Q39=1,Q35=1),C39-G35)+IF(AND(Q39=1,Q36=1),D39-G36)+IF(AND(Q39=1,Q37=1),E39-G37)+IF(AND(Q39=1,Q38=1),F39-G38)+IF(AND(Q39=2,Q35=2),C39-G35)+IF(AND(Q39=2,Q36=2),D39-G36)+IF(AND(Q39=2,Q37=2),E39-G37)+IF(AND(Q39=2,Q38=2),F39-G38)+IF(AND(Q39=3,Q35=3),C39-G35)+IF(AND(Q39=3,Q36=3),D39-G36)+IF(AND(Q39=3,Q37=3),E39-G37)+IF(AND(Q39=3,Q38=3),F39-G38)+IF(AND(Q39=4,Q35=4),C39-G35)+IF(AND(Q39=4,Q36=4),D39-G36)+IF(AND(Q39=4,Q37=4),E39-G37)+IF(AND(Q39=4,Q38=4),F39-G38)</f>
        <v>0</v>
      </c>
      <c r="M39" s="483">
        <f>SUM(AND(R39=R35,C39&gt;G35),AND(R39=R36,D39&gt;G36),AND(R39=R37,E39&gt;G37),AND(R39=R38,F39&gt;G38))</f>
        <v>0</v>
      </c>
      <c r="N39" s="537" t="str">
        <f>SUM(C39:G39)&amp;"-"&amp;SUM(G35:G39)</f>
        <v>0-0</v>
      </c>
      <c r="O39" s="538">
        <f>C39+D39+E39+F39-G35-G36-G37-G38</f>
        <v>0</v>
      </c>
      <c r="P39" s="485" t="e">
        <f>SUM(C39:G39,G35:G39)/SUM(G35:G39)</f>
        <v>#DIV/0!</v>
      </c>
      <c r="Q39" s="491">
        <f>VALUE(LEFT(H39,1))</f>
        <v>0</v>
      </c>
      <c r="R39" s="321">
        <f>Q39*100000+J39*10000+K39*1000+100*L39</f>
        <v>0</v>
      </c>
      <c r="S39" s="486">
        <f>R39+M39*0.1+IF(ISNONTEXT(B39),0,0.01)+0.0001*O39</f>
        <v>0</v>
      </c>
      <c r="T39" s="487" t="str">
        <f>Q39&amp;J39</f>
        <v>00</v>
      </c>
      <c r="U39" s="477"/>
      <c r="V39" s="477"/>
      <c r="W39" s="477"/>
      <c r="X39" s="477"/>
      <c r="Y39" s="477"/>
      <c r="Z39" s="477"/>
      <c r="AA39" s="477"/>
      <c r="AD39" s="405">
        <f t="shared" si="0"/>
        <v>0</v>
      </c>
      <c r="AE39" s="406" t="str">
        <f>IFERROR(INDEX(V!$R:$R,MATCH(AF39,V!$L:$L,0)),"")</f>
        <v/>
      </c>
      <c r="AF39" s="407" t="str">
        <f t="shared" si="1"/>
        <v/>
      </c>
      <c r="AG39" s="406" t="str">
        <f>IFERROR(INDEX(V!$R:$R,MATCH(AH39,V!$L:$L,0)),"")</f>
        <v/>
      </c>
      <c r="AH39" s="407" t="str">
        <f t="shared" si="2"/>
        <v/>
      </c>
      <c r="AI39" s="406" t="str">
        <f>IFERROR(INDEX(V!$R:$R,MATCH(AJ39,V!$L:$L,0)),"")</f>
        <v/>
      </c>
      <c r="AJ39" s="407" t="str">
        <f t="shared" si="3"/>
        <v/>
      </c>
      <c r="AK39" s="406" t="str">
        <f>IFERROR(INDEX(V!$R:$R,MATCH(AL39,V!$L:$L,0)),"")</f>
        <v/>
      </c>
      <c r="AL39" s="407" t="str">
        <f t="shared" si="4"/>
        <v/>
      </c>
      <c r="AM39" s="406" t="str">
        <f>IFERROR(INDEX(V!$R:$R,MATCH(AN39,V!$L:$L,0)),"")</f>
        <v/>
      </c>
      <c r="AN39" s="407" t="str">
        <f t="shared" si="5"/>
        <v/>
      </c>
      <c r="AO39" s="406" t="str">
        <f>IFERROR(INDEX(V!$R:$R,MATCH(AP39,V!$L:$L,0)),"")</f>
        <v/>
      </c>
      <c r="AP39" s="407" t="str">
        <f t="shared" si="6"/>
        <v/>
      </c>
    </row>
    <row r="40" spans="1:42" x14ac:dyDescent="0.2">
      <c r="A40" s="494"/>
      <c r="B40" s="495"/>
      <c r="C40" s="496"/>
      <c r="D40" s="497"/>
      <c r="E40" s="496"/>
      <c r="F40" s="498"/>
      <c r="G40" s="499"/>
      <c r="H40" s="500"/>
      <c r="I40" s="297"/>
      <c r="J40" s="477"/>
      <c r="K40" s="477"/>
      <c r="L40" s="477"/>
      <c r="M40" s="477"/>
      <c r="N40" s="539"/>
      <c r="O40" s="539"/>
      <c r="P40" s="477"/>
      <c r="Q40" s="477"/>
      <c r="R40" s="502" t="s">
        <v>264</v>
      </c>
      <c r="S40" s="477"/>
      <c r="T40" s="477"/>
      <c r="U40" s="477"/>
      <c r="V40" s="477"/>
      <c r="W40" s="477"/>
      <c r="X40" s="477"/>
      <c r="Y40" s="477"/>
      <c r="Z40" s="477"/>
      <c r="AA40" s="477"/>
      <c r="AD40" s="405">
        <f t="shared" si="0"/>
        <v>0</v>
      </c>
      <c r="AE40" s="406" t="str">
        <f>IFERROR(INDEX(V!$R:$R,MATCH(AF40,V!$L:$L,0)),"")</f>
        <v/>
      </c>
      <c r="AF40" s="407" t="str">
        <f t="shared" si="1"/>
        <v/>
      </c>
      <c r="AG40" s="406" t="str">
        <f>IFERROR(INDEX(V!$R:$R,MATCH(AH40,V!$L:$L,0)),"")</f>
        <v/>
      </c>
      <c r="AH40" s="407" t="str">
        <f t="shared" si="2"/>
        <v/>
      </c>
      <c r="AI40" s="406" t="str">
        <f>IFERROR(INDEX(V!$R:$R,MATCH(AJ40,V!$L:$L,0)),"")</f>
        <v/>
      </c>
      <c r="AJ40" s="407" t="str">
        <f t="shared" si="3"/>
        <v/>
      </c>
      <c r="AK40" s="406" t="str">
        <f>IFERROR(INDEX(V!$R:$R,MATCH(AL40,V!$L:$L,0)),"")</f>
        <v/>
      </c>
      <c r="AL40" s="407" t="str">
        <f t="shared" si="4"/>
        <v/>
      </c>
      <c r="AM40" s="406" t="str">
        <f>IFERROR(INDEX(V!$R:$R,MATCH(AN40,V!$L:$L,0)),"")</f>
        <v/>
      </c>
      <c r="AN40" s="407" t="str">
        <f t="shared" si="5"/>
        <v/>
      </c>
      <c r="AO40" s="406" t="str">
        <f>IFERROR(INDEX(V!$R:$R,MATCH(AP40,V!$L:$L,0)),"")</f>
        <v/>
      </c>
      <c r="AP40" s="407" t="str">
        <f t="shared" si="6"/>
        <v/>
      </c>
    </row>
    <row r="41" spans="1:42" x14ac:dyDescent="0.2">
      <c r="A41" s="316" t="s">
        <v>5</v>
      </c>
      <c r="B41" s="503"/>
      <c r="C41" s="467">
        <v>1</v>
      </c>
      <c r="D41" s="467">
        <v>2</v>
      </c>
      <c r="E41" s="467">
        <v>3</v>
      </c>
      <c r="F41" s="467"/>
      <c r="G41" s="467"/>
      <c r="H41" s="468" t="s">
        <v>168</v>
      </c>
      <c r="I41" s="275" t="s">
        <v>169</v>
      </c>
      <c r="J41" s="504" t="s">
        <v>257</v>
      </c>
      <c r="K41" s="505" t="s">
        <v>258</v>
      </c>
      <c r="L41" s="506" t="s">
        <v>259</v>
      </c>
      <c r="M41" s="506" t="s">
        <v>260</v>
      </c>
      <c r="N41" s="472" t="s">
        <v>170</v>
      </c>
      <c r="O41" s="472" t="s">
        <v>170</v>
      </c>
      <c r="P41" s="473" t="s">
        <v>261</v>
      </c>
      <c r="Q41" s="507" t="s">
        <v>21</v>
      </c>
      <c r="R41" s="507" t="b">
        <f>OR(AND(COUNTA(B42:B46)=3,COUNTA(C42:G46)=6),AND(COUNTA(B42:B46)=4,COUNTA(C42:G46)=12),AND(COUNTA(B42:B46)=5,COUNTA(C42:G46)=20))</f>
        <v>1</v>
      </c>
      <c r="S41" s="508" t="s">
        <v>262</v>
      </c>
      <c r="T41" s="509" t="s">
        <v>263</v>
      </c>
      <c r="U41" s="477"/>
      <c r="V41" s="477"/>
      <c r="W41" s="477"/>
      <c r="X41" s="477"/>
      <c r="Y41" s="477"/>
      <c r="Z41" s="477"/>
      <c r="AA41" s="477"/>
      <c r="AD41" s="405">
        <f t="shared" si="0"/>
        <v>0</v>
      </c>
      <c r="AE41" s="406" t="str">
        <f>IFERROR(INDEX(V!$R:$R,MATCH(AF41,V!$L:$L,0)),"")</f>
        <v/>
      </c>
      <c r="AF41" s="407" t="str">
        <f t="shared" si="1"/>
        <v/>
      </c>
      <c r="AG41" s="406" t="str">
        <f>IFERROR(INDEX(V!$R:$R,MATCH(AH41,V!$L:$L,0)),"")</f>
        <v/>
      </c>
      <c r="AH41" s="407" t="str">
        <f t="shared" si="2"/>
        <v/>
      </c>
      <c r="AI41" s="406" t="str">
        <f>IFERROR(INDEX(V!$R:$R,MATCH(AJ41,V!$L:$L,0)),"")</f>
        <v/>
      </c>
      <c r="AJ41" s="407" t="str">
        <f t="shared" si="3"/>
        <v/>
      </c>
      <c r="AK41" s="406" t="str">
        <f>IFERROR(INDEX(V!$R:$R,MATCH(AL41,V!$L:$L,0)),"")</f>
        <v/>
      </c>
      <c r="AL41" s="407" t="str">
        <f t="shared" si="4"/>
        <v/>
      </c>
      <c r="AM41" s="406" t="str">
        <f>IFERROR(INDEX(V!$R:$R,MATCH(AN41,V!$L:$L,0)),"")</f>
        <v/>
      </c>
      <c r="AN41" s="407" t="str">
        <f t="shared" si="5"/>
        <v/>
      </c>
      <c r="AO41" s="406" t="str">
        <f>IFERROR(INDEX(V!$R:$R,MATCH(AP41,V!$L:$L,0)),"")</f>
        <v/>
      </c>
      <c r="AP41" s="407" t="str">
        <f t="shared" si="6"/>
        <v/>
      </c>
    </row>
    <row r="42" spans="1:42" x14ac:dyDescent="0.2">
      <c r="A42" s="316">
        <v>1</v>
      </c>
      <c r="B42" s="518" t="s">
        <v>275</v>
      </c>
      <c r="C42" s="319"/>
      <c r="D42" s="318">
        <v>13</v>
      </c>
      <c r="E42" s="318">
        <v>13</v>
      </c>
      <c r="F42" s="318"/>
      <c r="G42" s="318"/>
      <c r="H42" s="317" t="str">
        <f>(IF(D42-C43&gt;0,1)+IF(E42-C44&gt;0,1)+IF(F42-C45&gt;0,1)+IF(G42-C46&gt;0,1))&amp;"-"&amp;(IF(D42-C43&lt;0,1)+IF(E42-C44&lt;0,1)+IF(F42-C45&lt;0,1)+IF(G42-C46&lt;0,1))</f>
        <v>2-0</v>
      </c>
      <c r="I42" s="279" t="str">
        <f>IF(AND(B42&lt;&gt;"",R$41=TRUE),A$41&amp;RANK(S42,S$42:S$46,0)," ")</f>
        <v>F1</v>
      </c>
      <c r="J42" s="480">
        <f>IF(AND(Q42=1,Q43=1,D42&gt;C43),1)+IF(AND(Q42=1,Q44=1,E42&gt;C44),1)+IF(AND(Q42=1,Q45=1,F42&gt;C45),1)+IF(AND(Q42=1,Q46=1,G42&gt;C46),1)+IF(AND(Q42=2,Q43=2,D42&gt;C43),1)+IF(AND(Q42=2,Q44=2,E42&gt;C44),1)+IF(AND(Q42=2,Q45=2,F42&gt;C45),1)+IF(AND(Q42=2,Q46=2,G42&gt;C46),1)+IF(AND(Q42=3,Q43=3,D42&gt;C43),1)+IF(AND(Q42=3,Q44=3,E42&gt;C44),1)+IF(AND(Q42=3,Q45=3,F42&gt;C45),1)+IF(AND(Q42=3,Q46=3,G42&gt;C46),1)</f>
        <v>0</v>
      </c>
      <c r="K42" s="481">
        <f>SUM(AND(T42=T43,D42&gt;C43),AND(T42=T44,E42&gt;C44),AND(T42=T45,F42&gt;C45),AND(T42=T46,G42&gt;C46))</f>
        <v>0</v>
      </c>
      <c r="L42" s="482">
        <f>IF(AND(Q42=1,Q43=1),D42-C43)+IF(AND(Q42=1,Q44=1),E42-C44)+IF(AND(Q42=1,Q45=1),F42-C45)+IF(AND(Q42=1,Q46=1),G42-C46)+IF(AND(Q42=2,Q43=2),D42-C43)+IF(AND(Q42=2,Q44=2),E42-C44)+IF(AND(Q42=2,Q45=2),F42-C45)+IF(AND(Q42=2,Q46=2),G42-C46)+IF(AND(Q42=3,Q43=3),D42-C43)+IF(AND(Q42=3,Q44=3),E42-C44)+IF(AND(Q42=3,Q45=3),F42-C45)+IF(AND(Q42=3,Q46=3),G42-C46)+IF(AND(Q42=4,Q43=4),D42-C43)+IF(AND(Q42=4,Q44=4),E42-C44)+IF(AND(Q42=4,Q45=4),F42-C45)+IF(AND(Q42=4,Q46=4),G42-C46)</f>
        <v>0</v>
      </c>
      <c r="M42" s="483">
        <f>SUM(AND(R42=R43,D42&gt;C43),AND(R42=R44,E42&gt;C44),AND(R42=R45,F42&gt;C45),AND(R42=R46,G42&gt;C46))</f>
        <v>0</v>
      </c>
      <c r="N42" s="537" t="str">
        <f>SUM(C42:G42)&amp;"-"&amp;SUM(C42:C46)</f>
        <v>26-5</v>
      </c>
      <c r="O42" s="538">
        <f>D42+E42+F42+G42-C43-C44-C45-C46</f>
        <v>21</v>
      </c>
      <c r="P42" s="485">
        <f>SUM(C42:G42,C42:C46)/SUM(C42:C46)</f>
        <v>6.2</v>
      </c>
      <c r="Q42" s="320">
        <f>VALUE(LEFT(H42,1))</f>
        <v>2</v>
      </c>
      <c r="R42" s="321">
        <f>Q42*100000+J42*10000+K42*1000+100*L42</f>
        <v>200000</v>
      </c>
      <c r="S42" s="486">
        <f>R42+M42*0.1+IF(ISNONTEXT(B42),0,0.01)+0.0001*O42</f>
        <v>200000.01210000002</v>
      </c>
      <c r="T42" s="487" t="str">
        <f>Q42&amp;J42</f>
        <v>20</v>
      </c>
      <c r="U42" s="477"/>
      <c r="V42" s="477"/>
      <c r="W42" s="477"/>
      <c r="X42" s="477"/>
      <c r="Y42" s="477"/>
      <c r="Z42" s="477"/>
      <c r="AA42" s="477"/>
      <c r="AD42" s="405">
        <f t="shared" si="0"/>
        <v>174</v>
      </c>
      <c r="AE42" s="406">
        <f>IFERROR(INDEX(V!$R:$R,MATCH(AF42,V!$L:$L,0)),"")</f>
        <v>84</v>
      </c>
      <c r="AF42" s="407" t="str">
        <f t="shared" si="1"/>
        <v>Aarne Välja</v>
      </c>
      <c r="AG42" s="406">
        <f>IFERROR(INDEX(V!$R:$R,MATCH(AH42,V!$L:$L,0)),"")</f>
        <v>90</v>
      </c>
      <c r="AH42" s="407" t="str">
        <f t="shared" si="2"/>
        <v>Janek Tarto</v>
      </c>
      <c r="AI42" s="406" t="str">
        <f>IFERROR(INDEX(V!$R:$R,MATCH(AJ42,V!$L:$L,0)),"")</f>
        <v/>
      </c>
      <c r="AJ42" s="407" t="str">
        <f t="shared" si="3"/>
        <v/>
      </c>
      <c r="AK42" s="406" t="str">
        <f>IFERROR(INDEX(V!$R:$R,MATCH(AL42,V!$L:$L,0)),"")</f>
        <v/>
      </c>
      <c r="AL42" s="407" t="str">
        <f t="shared" si="4"/>
        <v/>
      </c>
      <c r="AM42" s="406" t="str">
        <f>IFERROR(INDEX(V!$R:$R,MATCH(AN42,V!$L:$L,0)),"")</f>
        <v/>
      </c>
      <c r="AN42" s="407" t="str">
        <f t="shared" si="5"/>
        <v/>
      </c>
      <c r="AO42" s="406" t="str">
        <f>IFERROR(INDEX(V!$R:$R,MATCH(AP42,V!$L:$L,0)),"")</f>
        <v/>
      </c>
      <c r="AP42" s="407" t="str">
        <f t="shared" si="6"/>
        <v/>
      </c>
    </row>
    <row r="43" spans="1:42" x14ac:dyDescent="0.2">
      <c r="A43" s="316">
        <v>2</v>
      </c>
      <c r="B43" s="488" t="s">
        <v>312</v>
      </c>
      <c r="C43" s="318">
        <v>2</v>
      </c>
      <c r="D43" s="319"/>
      <c r="E43" s="318">
        <v>6</v>
      </c>
      <c r="F43" s="318"/>
      <c r="G43" s="318"/>
      <c r="H43" s="317" t="str">
        <f>(IF(C43-D42&gt;0,1)+IF(E43-D44&gt;0,1)+IF(F43-D45&gt;0,1)+IF(G43-D46&gt;0,1))&amp;"-"&amp;(IF(C43-D42&lt;0,1)+IF(E43-D44&lt;0,1)+IF(F43-D45&lt;0,1)+IF(G43-D46&lt;0,1))</f>
        <v>0-2</v>
      </c>
      <c r="I43" s="279" t="str">
        <f t="shared" ref="I43:I46" si="10">IF(AND(B43&lt;&gt;"",R$41=TRUE),A$41&amp;RANK(S43,S$42:S$46,0)," ")</f>
        <v>F3</v>
      </c>
      <c r="J43" s="489">
        <f>IF(AND(Q43=1,Q42=1,C43&gt;D42),1)+IF(AND(Q43=1,Q44=1,E43&gt;D44),1)+IF(AND(Q43=1,Q45=1,F43&gt;D45),1)+IF(AND(Q43=1,Q46=1,G43&gt;D46),1)+IF(AND(Q43=2,Q42=2,C43&gt;D42),1)+IF(AND(Q43=2,Q44=2,E43&gt;D44),1)+IF(AND(Q43=2,Q45=2,F43&gt;D45),1)+IF(AND(Q43=2,Q46=2,G43&gt;D46),1)+IF(AND(Q43=3,Q42=3,C43&gt;D42),1)+IF(AND(Q43=3,Q44=3,E43&gt;D44),1)+IF(AND(Q43=3,Q45=3,F43&gt;D45),1)+IF(AND(Q43=3,Q46=3,G43&gt;D46),1)</f>
        <v>0</v>
      </c>
      <c r="K43" s="483">
        <f>SUM(AND(T43=T42,C43&gt;D42),AND(T43=T44,E43&gt;D44),AND(T43=T45,F43&gt;D45),AND(T43=T46,G43&gt;D46))</f>
        <v>0</v>
      </c>
      <c r="L43" s="490">
        <f>IF(AND(Q43=1,Q42=1),C43-D42)+IF(AND(Q43=1,Q44=1),E43-D44)+IF(AND(Q43=1,Q45=1),F43-D45)+IF(AND(Q43=1,Q46=1),G43-D46)+IF(AND(Q43=2,Q42=2),C43-D42)+IF(AND(Q43=2,Q44=2),E43-D44)+IF(AND(Q43=2,Q45=2),F43-D45)+IF(AND(Q43=2,Q46=2),G43-D46)+IF(AND(Q43=3,Q42=3),C43-D42)+IF(AND(Q43=3,Q44=3),E43-D44)+IF(AND(Q43=3,Q45=3),F43-D45)+IF(AND(Q43=3,Q46=3),G43-D46)+IF(AND(Q43=4,Q42=4),C43-D42)+IF(AND(Q43=4,Q44=4),E43-D44)+IF(AND(Q43=4,Q45=4),F43-D45)+IF(AND(Q43=4,Q46=4),G43-D46)</f>
        <v>0</v>
      </c>
      <c r="M43" s="483">
        <f>SUM(AND(R43=R42,C43&gt;D42),AND(R43=R44,E43&gt;D44),AND(R43=R45,F43&gt;D45),AND(R43=R46,G43&gt;D46))</f>
        <v>0</v>
      </c>
      <c r="N43" s="537" t="str">
        <f>SUM(C43:G43)&amp;"-"&amp;SUM(D42:D46)</f>
        <v>8-26</v>
      </c>
      <c r="O43" s="538">
        <f>C43+E43+F43+G43-D42-D44-D45-D46</f>
        <v>-18</v>
      </c>
      <c r="P43" s="485">
        <f>SUM(C43:G43,D42:D46)/SUM(D42:D46)</f>
        <v>1.3076923076923077</v>
      </c>
      <c r="Q43" s="491">
        <f>VALUE(LEFT(H43,1))</f>
        <v>0</v>
      </c>
      <c r="R43" s="321">
        <f>Q43*100000+J43*10000+K43*1000+100*L43</f>
        <v>0</v>
      </c>
      <c r="S43" s="486">
        <f>R43+M43*0.1+IF(ISNONTEXT(B43),0,0.01)+0.0001*O43</f>
        <v>8.2000000000000007E-3</v>
      </c>
      <c r="T43" s="487" t="str">
        <f>Q43&amp;J43</f>
        <v>00</v>
      </c>
      <c r="U43" s="477"/>
      <c r="V43" s="477"/>
      <c r="W43" s="477"/>
      <c r="X43" s="477"/>
      <c r="Y43" s="477"/>
      <c r="Z43" s="477"/>
      <c r="AA43" s="477"/>
      <c r="AD43" s="405">
        <f t="shared" si="0"/>
        <v>122</v>
      </c>
      <c r="AE43" s="406">
        <f>IFERROR(INDEX(V!$R:$R,MATCH(AF43,V!$L:$L,0)),"")</f>
        <v>65</v>
      </c>
      <c r="AF43" s="407" t="str">
        <f t="shared" si="1"/>
        <v>Illar Tõnurist</v>
      </c>
      <c r="AG43" s="406">
        <f>IFERROR(INDEX(V!$R:$R,MATCH(AH43,V!$L:$L,0)),"")</f>
        <v>57</v>
      </c>
      <c r="AH43" s="407" t="str">
        <f t="shared" si="2"/>
        <v>Klavdia Piik</v>
      </c>
      <c r="AI43" s="406" t="str">
        <f>IFERROR(INDEX(V!$R:$R,MATCH(AJ43,V!$L:$L,0)),"")</f>
        <v/>
      </c>
      <c r="AJ43" s="407" t="str">
        <f t="shared" si="3"/>
        <v/>
      </c>
      <c r="AK43" s="406" t="str">
        <f>IFERROR(INDEX(V!$R:$R,MATCH(AL43,V!$L:$L,0)),"")</f>
        <v/>
      </c>
      <c r="AL43" s="407" t="str">
        <f t="shared" si="4"/>
        <v/>
      </c>
      <c r="AM43" s="406" t="str">
        <f>IFERROR(INDEX(V!$R:$R,MATCH(AN43,V!$L:$L,0)),"")</f>
        <v/>
      </c>
      <c r="AN43" s="407" t="str">
        <f t="shared" si="5"/>
        <v/>
      </c>
      <c r="AO43" s="406" t="str">
        <f>IFERROR(INDEX(V!$R:$R,MATCH(AP43,V!$L:$L,0)),"")</f>
        <v/>
      </c>
      <c r="AP43" s="407" t="str">
        <f t="shared" si="6"/>
        <v/>
      </c>
    </row>
    <row r="44" spans="1:42" x14ac:dyDescent="0.2">
      <c r="A44" s="316">
        <v>3</v>
      </c>
      <c r="B44" s="488" t="s">
        <v>313</v>
      </c>
      <c r="C44" s="318">
        <v>3</v>
      </c>
      <c r="D44" s="492">
        <v>13</v>
      </c>
      <c r="E44" s="319"/>
      <c r="F44" s="318"/>
      <c r="G44" s="318"/>
      <c r="H44" s="317" t="str">
        <f>(IF(C44-E42&gt;0,1)+IF(D44-E43&gt;0,1)+IF(F44-E45&gt;0,1)+IF(G44-E46&gt;0,1))&amp;"-"&amp;(IF(C44-E42&lt;0,1)+IF(D44-E43&lt;0,1)+IF(F44-E45&lt;0,1)+IF(G44-E46&lt;0,1))</f>
        <v>1-1</v>
      </c>
      <c r="I44" s="279" t="str">
        <f t="shared" si="10"/>
        <v>F2</v>
      </c>
      <c r="J44" s="489">
        <f>IF(AND(Q44=1,Q42=1,C44&gt;E42),1)+IF(AND(Q44=1,Q43=1,D44&gt;E43),1)+IF(AND(Q44=1,Q45=1,F44&gt;E45),1)+IF(AND(Q44=1,Q46=1,G44&gt;E46),1)+IF(AND(Q44=2,Q42=2,C44&gt;E42),1)+IF(AND(Q44=2,Q43=2,D44&gt;E43),1)+IF(AND(Q44=2,Q45=2,F44&gt;E45),1)+IF(AND(Q44=2,Q46=2,G44&gt;E46),1)+IF(AND(Q44=3,Q42=3,C44&gt;E42),1)+IF(AND(Q44=3,Q43=3,D44&gt;E43),1)+IF(AND(Q44=3,Q45=3,F44&gt;E45),1)+IF(AND(Q44=3,Q46=3,G44&gt;E46),1)</f>
        <v>0</v>
      </c>
      <c r="K44" s="483">
        <f>SUM(AND(T44=T42,C44&gt;E42),AND(T44=T43,D44&gt;E43),AND(T44=T45,F44&gt;E45),AND(T44=T46,G44&gt;E46))</f>
        <v>0</v>
      </c>
      <c r="L44" s="490">
        <f>IF(AND(Q44=1,Q42=1),C44-E42)+IF(AND(Q44=1,Q43=1),D44-E43)+IF(AND(Q44=1,Q45=1),F44-E45)+IF(AND(Q44=1,Q46=1),G44-E46)+IF(AND(Q44=2,Q42=2),C44-E42)+IF(AND(Q44=2,Q43=2),D44-E43)+IF(AND(Q44=2,Q45=2),F44-E45)+IF(AND(Q44=2,Q46=2),G44-E46)+IF(AND(Q44=3,Q42=3),C44-E42)+IF(AND(Q44=3,Q43=3),D44-E43)+IF(AND(Q44=3,Q45=3),F44-E45)+IF(AND(Q44=3,Q46=3),G44-E46)+IF(AND(Q44=4,Q42=4),C44-E42)+IF(AND(Q44=4,Q43=4),D44-E43)+IF(AND(Q44=4,Q45=4),F44-E45)+IF(AND(Q44=4,Q46=4),G44-E46)</f>
        <v>0</v>
      </c>
      <c r="M44" s="483">
        <f>SUM(AND(R44=R42,C44&gt;E42),AND(R44=R43,D44&gt;E43),AND(R44=R45,F44&gt;E45),AND(R44=R46,G44&gt;E46))</f>
        <v>0</v>
      </c>
      <c r="N44" s="537" t="str">
        <f>SUM(C44:G44)&amp;"-"&amp;SUM(E42:E46)</f>
        <v>16-19</v>
      </c>
      <c r="O44" s="538">
        <f>C44+D44+F44+G44-E42-E43-E45-E46</f>
        <v>-3</v>
      </c>
      <c r="P44" s="485">
        <f>SUM(C44:G44,E42:E46)/SUM(E42:E46)</f>
        <v>1.8421052631578947</v>
      </c>
      <c r="Q44" s="491">
        <f>VALUE(LEFT(H44,1))</f>
        <v>1</v>
      </c>
      <c r="R44" s="321">
        <f>Q44*100000+J44*10000+K44*1000+100*L44</f>
        <v>100000</v>
      </c>
      <c r="S44" s="486">
        <f>R44+M44*0.1+IF(ISNONTEXT(B44),0,0.01)+0.0001*O44</f>
        <v>100000.0097</v>
      </c>
      <c r="T44" s="487" t="str">
        <f>Q44&amp;J44</f>
        <v>10</v>
      </c>
      <c r="U44" s="477"/>
      <c r="V44" s="477"/>
      <c r="W44" s="477"/>
      <c r="X44" s="477"/>
      <c r="Y44" s="477"/>
      <c r="Z44" s="477"/>
      <c r="AA44" s="477"/>
      <c r="AD44" s="405">
        <f t="shared" si="0"/>
        <v>278</v>
      </c>
      <c r="AE44" s="406">
        <f>IFERROR(INDEX(V!$R:$R,MATCH(AF44,V!$L:$L,0)),"")</f>
        <v>145</v>
      </c>
      <c r="AF44" s="407" t="str">
        <f t="shared" si="1"/>
        <v>Aigi Orro</v>
      </c>
      <c r="AG44" s="406">
        <f>IFERROR(INDEX(V!$R:$R,MATCH(AH44,V!$L:$L,0)),"")</f>
        <v>133</v>
      </c>
      <c r="AH44" s="407" t="str">
        <f t="shared" si="2"/>
        <v>Kalle Orro</v>
      </c>
      <c r="AI44" s="406" t="str">
        <f>IFERROR(INDEX(V!$R:$R,MATCH(AJ44,V!$L:$L,0)),"")</f>
        <v/>
      </c>
      <c r="AJ44" s="407" t="str">
        <f t="shared" si="3"/>
        <v/>
      </c>
      <c r="AK44" s="406" t="str">
        <f>IFERROR(INDEX(V!$R:$R,MATCH(AL44,V!$L:$L,0)),"")</f>
        <v/>
      </c>
      <c r="AL44" s="407" t="str">
        <f t="shared" si="4"/>
        <v/>
      </c>
      <c r="AM44" s="406" t="str">
        <f>IFERROR(INDEX(V!$R:$R,MATCH(AN44,V!$L:$L,0)),"")</f>
        <v/>
      </c>
      <c r="AN44" s="407" t="str">
        <f t="shared" si="5"/>
        <v/>
      </c>
      <c r="AO44" s="406" t="str">
        <f>IFERROR(INDEX(V!$R:$R,MATCH(AP44,V!$L:$L,0)),"")</f>
        <v/>
      </c>
      <c r="AP44" s="407" t="str">
        <f t="shared" si="6"/>
        <v/>
      </c>
    </row>
    <row r="45" spans="1:42" hidden="1" x14ac:dyDescent="0.2">
      <c r="A45" s="316">
        <v>4</v>
      </c>
      <c r="B45" s="493"/>
      <c r="C45" s="318"/>
      <c r="D45" s="492"/>
      <c r="E45" s="318"/>
      <c r="F45" s="319"/>
      <c r="G45" s="511"/>
      <c r="H45" s="317" t="str">
        <f>(IF(C45-F42&gt;0,1)+IF(D45-F43&gt;0,1)+IF(E45-F44&gt;0,1)+IF(G45-F46&gt;0,1))&amp;"-"&amp;(IF(C45-F42&lt;0,1)+IF(D45-F43&lt;0,1)+IF(E45-F44&lt;0,1)+IF(G45-F46&lt;0,1))</f>
        <v>0-0</v>
      </c>
      <c r="I45" s="279" t="str">
        <f t="shared" si="10"/>
        <v xml:space="preserve"> </v>
      </c>
      <c r="J45" s="489">
        <f>IF(AND(Q45=1,Q42=1,C45&gt;F42),1)+IF(AND(Q45=1,Q43=1,D45&gt;F43),1)+IF(AND(Q45=1,Q44=1,E45&gt;F44),1)+IF(AND(Q45=1,Q46=1,G45&gt;F46),1)+IF(AND(Q45=2,Q42=2,C45&gt;F42),1)+IF(AND(Q45=2,Q43=2,D45&gt;F43),1)+IF(AND(Q45=2,Q44=2,E45&gt;F44),1)+IF(AND(Q45=2,Q46=2,G45&gt;F46),1)+IF(AND(Q45=3,Q42=3,C45&gt;F42),1)+IF(AND(Q45=3,Q43=3,D45&gt;F43),1)+IF(AND(Q45=3,Q44=3,E45&gt;F44),1)+IF(AND(Q45=3,Q46=3,G45&gt;F46),1)</f>
        <v>0</v>
      </c>
      <c r="K45" s="483">
        <f>SUM(AND(T45=T42,C45&gt;F42),AND(T45=T43,D45&gt;F43),AND(T45=T44,E45&gt;F44),AND(T45=T46,G45&gt;F46))</f>
        <v>0</v>
      </c>
      <c r="L45" s="490">
        <f>IF(AND(Q45=1,Q42=1),C45-F42)+IF(AND(Q45=1,Q43=1),D45-F43)+IF(AND(Q45=1,Q44=1),E45-F44)+IF(AND(Q45=1,Q46=1),G45-F46)+IF(AND(Q45=2,Q42=2),C45-F42)+IF(AND(Q45=2,Q43=2),D45-F43)+IF(AND(Q45=2,Q44=2),E45-F44)+IF(AND(Q45=2,Q46=2),G45-F46)+IF(AND(Q45=3,Q42=3),C45-F42)+IF(AND(Q45=3,Q43=3),D45-F43)+IF(AND(Q45=3,Q44=3),E45-F44)+IF(AND(Q45=3,Q46=3),G45-F46)+IF(AND(Q45=4,Q42=4),C45-F42)+IF(AND(Q45=4,Q43=4),D45-F43)+IF(AND(Q45=4,Q44=4),E45-F44)+IF(AND(Q45=4,Q46=4),G45-F46)</f>
        <v>0</v>
      </c>
      <c r="M45" s="483">
        <f>SUM(AND(R45=R42,C45&gt;F42),AND(R45=R43,D45&gt;F43),AND(R45=R44,E45&gt;F44),AND(R45=R46,G45&gt;F46))</f>
        <v>0</v>
      </c>
      <c r="N45" s="537" t="str">
        <f>SUM(C45:G45)&amp;"-"&amp;SUM(F42:F46)</f>
        <v>0-0</v>
      </c>
      <c r="O45" s="538">
        <f>C45+D45+E45+G45-F42-F43-F44-F46</f>
        <v>0</v>
      </c>
      <c r="P45" s="485" t="e">
        <f>SUM(C45:G45,F42:F46)/SUM(F42:F46)</f>
        <v>#DIV/0!</v>
      </c>
      <c r="Q45" s="491">
        <f>VALUE(LEFT(H45,1))</f>
        <v>0</v>
      </c>
      <c r="R45" s="321">
        <f>Q45*100000+J45*10000+K45*1000+100*L45</f>
        <v>0</v>
      </c>
      <c r="S45" s="486">
        <f>R45+M45*0.1+IF(ISNONTEXT(B45),0,0.01)+0.0001*O45</f>
        <v>0</v>
      </c>
      <c r="T45" s="487" t="str">
        <f>Q45&amp;J45</f>
        <v>00</v>
      </c>
      <c r="U45" s="477"/>
      <c r="V45" s="477"/>
      <c r="W45" s="477"/>
      <c r="X45" s="477"/>
      <c r="Y45" s="477"/>
      <c r="Z45" s="477"/>
      <c r="AA45" s="477"/>
      <c r="AB45" s="477"/>
      <c r="AC45" s="477"/>
      <c r="AD45" s="477"/>
      <c r="AE45" s="477"/>
      <c r="AF45" s="477"/>
      <c r="AG45" s="477"/>
      <c r="AH45" s="477"/>
      <c r="AI45" s="477"/>
      <c r="AJ45" s="477"/>
    </row>
    <row r="46" spans="1:42" hidden="1" x14ac:dyDescent="0.2">
      <c r="A46" s="316">
        <v>5</v>
      </c>
      <c r="B46" s="493"/>
      <c r="C46" s="318"/>
      <c r="D46" s="318"/>
      <c r="E46" s="318"/>
      <c r="F46" s="318"/>
      <c r="G46" s="319"/>
      <c r="H46" s="317" t="str">
        <f>(IF(C46-G42&gt;0,1)+IF(D46-G43&gt;0,1)+IF(E46-G44&gt;0,1)+IF(F46-G45&gt;0,1))&amp;"-"&amp;(IF(C46-G42&lt;0,1)+IF(D46-G43&lt;0,1)+IF(E46-G44&lt;0,1)+IF(F46-G45&lt;0,1))</f>
        <v>0-0</v>
      </c>
      <c r="I46" s="279" t="str">
        <f t="shared" si="10"/>
        <v xml:space="preserve"> </v>
      </c>
      <c r="J46" s="489">
        <f>IF(AND(Q46=1,Q42=1,C46&gt;G42),1)+IF(AND(Q46=1,Q43=1,D46&gt;G43),1)+IF(AND(Q46=1,Q44=1,E46&gt;G44),1)+IF(AND(Q46=1,Q45=1,F46&gt;G45),1)+IF(AND(Q46=2,Q42=2,C46&gt;G42),1)+IF(AND(Q46=2,Q43=2,D46&gt;G43),1)+IF(AND(Q46=2,Q44=2,E46&gt;G44),1)+IF(AND(Q46=2,Q45=2,F46&gt;G45),1)+IF(AND(Q46=3,Q42=3,C46&gt;G42),1)+IF(AND(Q46=3,Q43=3,D46&gt;G43),1)+IF(AND(Q46=3,Q44=3,E46&gt;G44),1)+IF(AND(Q46=3,Q45=3,F46&gt;G45),1)</f>
        <v>0</v>
      </c>
      <c r="K46" s="483">
        <f>SUM(AND(T46=T42,C46&gt;G42),AND(T46=T43,D46&gt;G43),AND(T46=T44,E46&gt;G44),AND(T46=T45,F46&gt;G45))</f>
        <v>0</v>
      </c>
      <c r="L46" s="490">
        <f>IF(AND(Q46=1,Q42=1),C46-G42)+IF(AND(Q46=1,Q43=1),D46-G43)+IF(AND(Q46=1,Q44=1),E46-G44)+IF(AND(Q46=1,Q45=1),F46-G45)+IF(AND(Q46=2,Q42=2),C46-G42)+IF(AND(Q46=2,Q43=2),D46-G43)+IF(AND(Q46=2,Q44=2),E46-G44)+IF(AND(Q46=2,Q45=2),F46-G45)+IF(AND(Q46=3,Q42=3),C46-G42)+IF(AND(Q46=3,Q43=3),D46-G43)+IF(AND(Q46=3,Q44=3),E46-G44)+IF(AND(Q46=3,Q45=3),F46-G45)+IF(AND(Q46=4,Q42=4),C46-G42)+IF(AND(Q46=4,Q43=4),D46-G43)+IF(AND(Q46=4,Q44=4),E46-G44)+IF(AND(Q46=4,Q45=4),F46-G45)</f>
        <v>0</v>
      </c>
      <c r="M46" s="483">
        <f>SUM(AND(R46=R42,C46&gt;G42),AND(R46=R43,D46&gt;G43),AND(R46=R44,E46&gt;G44),AND(R46=R45,F46&gt;G45))</f>
        <v>0</v>
      </c>
      <c r="N46" s="537" t="str">
        <f>SUM(C46:G46)&amp;"-"&amp;SUM(G42:G46)</f>
        <v>0-0</v>
      </c>
      <c r="O46" s="538">
        <f>C46+D46+E46+F46-G42-G43-G44-G45</f>
        <v>0</v>
      </c>
      <c r="P46" s="485" t="e">
        <f>SUM(C46:G46,G42:G46)/SUM(G42:G46)</f>
        <v>#DIV/0!</v>
      </c>
      <c r="Q46" s="491">
        <f>VALUE(LEFT(H46,1))</f>
        <v>0</v>
      </c>
      <c r="R46" s="321">
        <f>Q46*100000+J46*10000+K46*1000+100*L46</f>
        <v>0</v>
      </c>
      <c r="S46" s="486">
        <f>R46+M46*0.1+IF(ISNONTEXT(B46),0,0.01)+0.0001*O46</f>
        <v>0</v>
      </c>
      <c r="T46" s="487" t="str">
        <f>Q46&amp;J46</f>
        <v>00</v>
      </c>
      <c r="U46" s="477"/>
      <c r="V46" s="477"/>
      <c r="W46" s="477"/>
      <c r="X46" s="477"/>
      <c r="Y46" s="477"/>
      <c r="Z46" s="477"/>
      <c r="AA46" s="477"/>
      <c r="AB46" s="477"/>
      <c r="AC46" s="477"/>
      <c r="AD46" s="477"/>
      <c r="AE46" s="477"/>
      <c r="AF46" s="477"/>
      <c r="AG46" s="477"/>
      <c r="AH46" s="477"/>
      <c r="AI46" s="477"/>
      <c r="AJ46" s="477"/>
    </row>
    <row r="47" spans="1:42" hidden="1" x14ac:dyDescent="0.2">
      <c r="A47" s="494"/>
      <c r="B47" s="495"/>
      <c r="C47" s="496"/>
      <c r="D47" s="497"/>
      <c r="E47" s="496"/>
      <c r="F47" s="498"/>
      <c r="G47" s="499"/>
      <c r="H47" s="500"/>
      <c r="I47" s="512"/>
      <c r="J47" s="477"/>
      <c r="K47" s="477"/>
      <c r="L47" s="477"/>
      <c r="M47" s="477"/>
      <c r="N47" s="539"/>
      <c r="O47" s="539"/>
      <c r="P47" s="477"/>
      <c r="Q47" s="477"/>
      <c r="R47" s="502" t="s">
        <v>264</v>
      </c>
      <c r="S47" s="477"/>
      <c r="T47" s="477"/>
      <c r="U47" s="477"/>
      <c r="V47" s="477"/>
      <c r="W47" s="477"/>
      <c r="X47" s="477"/>
      <c r="Y47" s="477"/>
      <c r="Z47" s="477"/>
      <c r="AA47" s="477"/>
      <c r="AB47" s="477"/>
      <c r="AC47" s="477"/>
      <c r="AD47" s="477"/>
      <c r="AE47" s="477"/>
      <c r="AF47" s="477"/>
      <c r="AG47" s="477"/>
      <c r="AH47" s="477"/>
      <c r="AI47" s="477"/>
      <c r="AJ47" s="477"/>
    </row>
    <row r="48" spans="1:42" hidden="1" x14ac:dyDescent="0.2">
      <c r="A48" s="477"/>
      <c r="B48" s="477"/>
      <c r="C48" s="477"/>
      <c r="D48" s="477"/>
      <c r="E48" s="477"/>
      <c r="F48" s="477"/>
      <c r="G48" s="477"/>
      <c r="H48" s="477"/>
      <c r="I48" s="477"/>
      <c r="J48" s="477"/>
      <c r="K48" s="477"/>
      <c r="L48" s="477"/>
      <c r="M48" s="477"/>
      <c r="N48" s="477"/>
      <c r="O48" s="477"/>
      <c r="P48" s="477"/>
      <c r="Q48" s="477"/>
      <c r="R48" s="477"/>
      <c r="S48" s="477"/>
      <c r="T48" s="477"/>
      <c r="U48" s="477"/>
      <c r="V48" s="477"/>
      <c r="W48" s="477"/>
      <c r="X48" s="477"/>
      <c r="Y48" s="477"/>
      <c r="Z48" s="477"/>
      <c r="AA48" s="477"/>
      <c r="AB48" s="477"/>
      <c r="AC48" s="477"/>
      <c r="AD48" s="477"/>
      <c r="AE48" s="477"/>
      <c r="AF48" s="477"/>
      <c r="AG48" s="477"/>
      <c r="AH48" s="477"/>
      <c r="AI48" s="477"/>
      <c r="AJ48" s="477"/>
    </row>
    <row r="49" spans="1:36" hidden="1" x14ac:dyDescent="0.2">
      <c r="A49" s="477"/>
      <c r="B49" s="477"/>
      <c r="C49" s="477"/>
      <c r="D49" s="477"/>
      <c r="E49" s="477"/>
      <c r="F49" s="477"/>
      <c r="G49" s="477"/>
      <c r="H49" s="477"/>
      <c r="I49" s="477"/>
      <c r="J49" s="477"/>
      <c r="K49" s="477"/>
      <c r="L49" s="477"/>
      <c r="M49" s="477"/>
      <c r="N49" s="477"/>
      <c r="O49" s="477"/>
      <c r="P49" s="477"/>
      <c r="Q49" s="477"/>
      <c r="R49" s="477"/>
      <c r="S49" s="477"/>
      <c r="T49" s="477"/>
      <c r="U49" s="477"/>
      <c r="V49" s="477"/>
      <c r="W49" s="477"/>
      <c r="X49" s="477"/>
      <c r="Y49" s="477"/>
      <c r="Z49" s="477"/>
      <c r="AA49" s="477"/>
      <c r="AB49" s="477"/>
      <c r="AC49" s="477"/>
      <c r="AD49" s="477"/>
      <c r="AE49" s="477"/>
      <c r="AF49" s="477"/>
      <c r="AG49" s="477"/>
      <c r="AH49" s="477"/>
      <c r="AI49" s="477"/>
      <c r="AJ49" s="477"/>
    </row>
    <row r="50" spans="1:36" hidden="1" x14ac:dyDescent="0.2">
      <c r="A50" s="477"/>
      <c r="B50" s="477"/>
      <c r="C50" s="477"/>
      <c r="D50" s="477"/>
      <c r="E50" s="477"/>
      <c r="F50" s="477"/>
      <c r="G50" s="477"/>
      <c r="H50" s="477"/>
      <c r="I50" s="477"/>
      <c r="J50" s="477"/>
      <c r="K50" s="477"/>
      <c r="L50" s="477"/>
      <c r="M50" s="477"/>
      <c r="N50" s="477"/>
      <c r="O50" s="477"/>
      <c r="P50" s="477"/>
      <c r="Q50" s="477"/>
      <c r="R50" s="477"/>
      <c r="S50" s="477"/>
      <c r="T50" s="477"/>
      <c r="U50" s="477"/>
      <c r="V50" s="477"/>
      <c r="W50" s="477"/>
      <c r="X50" s="477"/>
      <c r="Y50" s="477"/>
      <c r="Z50" s="477"/>
      <c r="AA50" s="477"/>
      <c r="AB50" s="477"/>
      <c r="AC50" s="477"/>
      <c r="AD50" s="477"/>
      <c r="AE50" s="477"/>
      <c r="AF50" s="477"/>
      <c r="AG50" s="477"/>
      <c r="AH50" s="477"/>
      <c r="AI50" s="477"/>
      <c r="AJ50" s="477"/>
    </row>
    <row r="51" spans="1:36" hidden="1" x14ac:dyDescent="0.2">
      <c r="A51" s="477"/>
      <c r="B51" s="477"/>
      <c r="C51" s="477"/>
      <c r="D51" s="477"/>
      <c r="E51" s="477"/>
      <c r="F51" s="477"/>
      <c r="G51" s="477"/>
      <c r="H51" s="477"/>
      <c r="I51" s="477"/>
      <c r="J51" s="477"/>
      <c r="K51" s="477"/>
      <c r="L51" s="477"/>
      <c r="M51" s="477"/>
      <c r="N51" s="477"/>
      <c r="O51" s="477"/>
      <c r="P51" s="477"/>
      <c r="Q51" s="477"/>
      <c r="R51" s="477"/>
      <c r="S51" s="477"/>
      <c r="T51" s="477"/>
      <c r="U51" s="477"/>
      <c r="V51" s="477"/>
      <c r="W51" s="477"/>
      <c r="X51" s="477"/>
      <c r="Y51" s="477"/>
      <c r="Z51" s="477"/>
      <c r="AA51" s="477"/>
      <c r="AB51" s="477"/>
      <c r="AC51" s="477"/>
      <c r="AD51" s="477"/>
      <c r="AE51" s="477"/>
      <c r="AF51" s="477"/>
      <c r="AG51" s="477"/>
      <c r="AH51" s="477"/>
      <c r="AI51" s="477"/>
      <c r="AJ51" s="477"/>
    </row>
    <row r="52" spans="1:36" hidden="1" x14ac:dyDescent="0.2">
      <c r="A52" s="477"/>
      <c r="B52" s="477"/>
      <c r="C52" s="477"/>
      <c r="D52" s="477"/>
      <c r="E52" s="477"/>
      <c r="F52" s="477"/>
      <c r="G52" s="477"/>
      <c r="H52" s="477"/>
      <c r="I52" s="477"/>
      <c r="J52" s="477"/>
      <c r="K52" s="477"/>
      <c r="L52" s="477"/>
      <c r="M52" s="477"/>
      <c r="N52" s="477"/>
      <c r="O52" s="477"/>
      <c r="P52" s="477"/>
      <c r="Q52" s="477"/>
      <c r="R52" s="477"/>
      <c r="S52" s="477"/>
      <c r="T52" s="477"/>
      <c r="U52" s="477"/>
      <c r="V52" s="477"/>
      <c r="W52" s="477"/>
      <c r="X52" s="477"/>
      <c r="Y52" s="477"/>
      <c r="Z52" s="477"/>
      <c r="AA52" s="477"/>
      <c r="AB52" s="477"/>
      <c r="AC52" s="477"/>
      <c r="AD52" s="477"/>
      <c r="AE52" s="477"/>
      <c r="AF52" s="477"/>
      <c r="AG52" s="477"/>
      <c r="AH52" s="477"/>
      <c r="AI52" s="477"/>
      <c r="AJ52" s="477"/>
    </row>
    <row r="53" spans="1:36" hidden="1" x14ac:dyDescent="0.2">
      <c r="A53" s="477"/>
      <c r="B53" s="477"/>
      <c r="C53" s="477"/>
      <c r="D53" s="477"/>
      <c r="E53" s="477"/>
      <c r="F53" s="477"/>
      <c r="G53" s="477"/>
      <c r="H53" s="477"/>
      <c r="I53" s="477"/>
      <c r="J53" s="477"/>
      <c r="K53" s="477"/>
      <c r="L53" s="477"/>
      <c r="M53" s="477"/>
      <c r="N53" s="477"/>
      <c r="O53" s="477"/>
      <c r="P53" s="477"/>
      <c r="Q53" s="477"/>
      <c r="R53" s="477"/>
      <c r="S53" s="477"/>
      <c r="T53" s="477"/>
      <c r="U53" s="477"/>
      <c r="V53" s="477"/>
      <c r="W53" s="477"/>
      <c r="X53" s="477"/>
      <c r="Y53" s="477"/>
      <c r="Z53" s="477"/>
      <c r="AA53" s="477"/>
      <c r="AB53" s="477"/>
      <c r="AC53" s="477"/>
      <c r="AD53" s="477"/>
      <c r="AE53" s="477"/>
      <c r="AF53" s="477"/>
      <c r="AG53" s="477"/>
      <c r="AH53" s="477"/>
      <c r="AI53" s="477"/>
      <c r="AJ53" s="477"/>
    </row>
    <row r="54" spans="1:36" hidden="1" x14ac:dyDescent="0.2">
      <c r="A54" s="477"/>
      <c r="B54" s="477"/>
      <c r="C54" s="477"/>
      <c r="D54" s="477"/>
      <c r="E54" s="477"/>
      <c r="F54" s="477"/>
      <c r="G54" s="477"/>
      <c r="H54" s="477"/>
      <c r="I54" s="477"/>
      <c r="J54" s="477"/>
      <c r="K54" s="477"/>
      <c r="L54" s="477"/>
      <c r="M54" s="477"/>
      <c r="N54" s="477"/>
      <c r="O54" s="477"/>
      <c r="P54" s="477"/>
      <c r="Q54" s="477"/>
      <c r="R54" s="477"/>
      <c r="S54" s="477"/>
      <c r="T54" s="477"/>
      <c r="U54" s="477"/>
      <c r="V54" s="477"/>
      <c r="W54" s="477"/>
      <c r="X54" s="477"/>
      <c r="Y54" s="477"/>
      <c r="Z54" s="477"/>
      <c r="AA54" s="477"/>
      <c r="AB54" s="477"/>
      <c r="AC54" s="477"/>
      <c r="AD54" s="477"/>
      <c r="AE54" s="477"/>
      <c r="AF54" s="477"/>
      <c r="AG54" s="477"/>
      <c r="AH54" s="477"/>
      <c r="AI54" s="477"/>
      <c r="AJ54" s="477"/>
    </row>
    <row r="55" spans="1:36" hidden="1" x14ac:dyDescent="0.2">
      <c r="A55" s="477"/>
      <c r="B55" s="477"/>
      <c r="C55" s="477"/>
      <c r="D55" s="477"/>
      <c r="E55" s="477"/>
      <c r="F55" s="477"/>
      <c r="G55" s="477"/>
      <c r="H55" s="477"/>
      <c r="I55" s="477"/>
      <c r="J55" s="477"/>
      <c r="K55" s="477"/>
      <c r="L55" s="477"/>
      <c r="M55" s="477"/>
      <c r="N55" s="477"/>
      <c r="O55" s="477"/>
      <c r="P55" s="477"/>
      <c r="Q55" s="477"/>
      <c r="R55" s="477"/>
      <c r="S55" s="477"/>
      <c r="T55" s="477"/>
      <c r="U55" s="477"/>
      <c r="V55" s="477"/>
      <c r="W55" s="477"/>
      <c r="X55" s="477"/>
      <c r="Y55" s="477"/>
      <c r="Z55" s="477"/>
      <c r="AA55" s="477"/>
      <c r="AB55" s="477"/>
      <c r="AC55" s="477"/>
      <c r="AD55" s="477"/>
      <c r="AE55" s="477"/>
      <c r="AF55" s="477"/>
      <c r="AG55" s="477"/>
      <c r="AH55" s="477"/>
      <c r="AI55" s="477"/>
      <c r="AJ55" s="477"/>
    </row>
    <row r="56" spans="1:36" hidden="1" x14ac:dyDescent="0.2">
      <c r="A56" s="477"/>
      <c r="B56" s="477"/>
      <c r="C56" s="477"/>
      <c r="D56" s="477"/>
      <c r="E56" s="477"/>
      <c r="F56" s="477"/>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D56" s="477"/>
      <c r="AE56" s="477"/>
      <c r="AF56" s="477"/>
      <c r="AG56" s="477"/>
      <c r="AH56" s="477"/>
      <c r="AI56" s="477"/>
      <c r="AJ56" s="477"/>
    </row>
    <row r="57" spans="1:36" hidden="1" x14ac:dyDescent="0.2">
      <c r="A57" s="477"/>
      <c r="B57" s="477"/>
      <c r="C57" s="477"/>
      <c r="D57" s="477"/>
      <c r="E57" s="477"/>
      <c r="F57" s="477"/>
      <c r="G57" s="477"/>
      <c r="H57" s="477"/>
      <c r="I57" s="477"/>
      <c r="J57" s="477"/>
      <c r="K57" s="477"/>
      <c r="L57" s="477"/>
      <c r="M57" s="477"/>
      <c r="N57" s="477"/>
      <c r="O57" s="477"/>
      <c r="P57" s="477"/>
      <c r="Q57" s="477"/>
      <c r="R57" s="477"/>
      <c r="S57" s="477"/>
      <c r="T57" s="477"/>
      <c r="U57" s="477"/>
      <c r="V57" s="477"/>
      <c r="W57" s="477"/>
      <c r="X57" s="477"/>
      <c r="Y57" s="477"/>
      <c r="Z57" s="477"/>
      <c r="AA57" s="477"/>
      <c r="AB57" s="477"/>
      <c r="AC57" s="477"/>
      <c r="AD57" s="477"/>
      <c r="AE57" s="477"/>
      <c r="AF57" s="477"/>
      <c r="AG57" s="477"/>
      <c r="AH57" s="477"/>
      <c r="AI57" s="477"/>
      <c r="AJ57" s="477"/>
    </row>
    <row r="58" spans="1:36" hidden="1" x14ac:dyDescent="0.2">
      <c r="A58" s="477"/>
      <c r="B58" s="477"/>
      <c r="C58" s="477"/>
      <c r="D58" s="477"/>
      <c r="E58" s="477"/>
      <c r="F58" s="477"/>
      <c r="G58" s="477"/>
      <c r="H58" s="477"/>
      <c r="I58" s="477"/>
      <c r="J58" s="477"/>
      <c r="K58" s="477"/>
      <c r="L58" s="477"/>
      <c r="M58" s="477"/>
      <c r="N58" s="477"/>
      <c r="O58" s="477"/>
      <c r="P58" s="477"/>
      <c r="Q58" s="477"/>
      <c r="R58" s="477"/>
      <c r="S58" s="477"/>
      <c r="T58" s="477"/>
      <c r="U58" s="477"/>
      <c r="V58" s="477"/>
      <c r="W58" s="477"/>
      <c r="X58" s="477"/>
      <c r="Y58" s="477"/>
      <c r="Z58" s="477"/>
      <c r="AA58" s="477"/>
      <c r="AB58" s="477"/>
      <c r="AC58" s="477"/>
      <c r="AD58" s="477"/>
      <c r="AE58" s="477"/>
      <c r="AF58" s="477"/>
      <c r="AG58" s="477"/>
      <c r="AH58" s="477"/>
      <c r="AI58" s="477"/>
      <c r="AJ58" s="477"/>
    </row>
    <row r="59" spans="1:36" hidden="1" x14ac:dyDescent="0.2">
      <c r="A59" s="477"/>
      <c r="B59" s="477"/>
      <c r="C59" s="477"/>
      <c r="D59" s="477"/>
      <c r="E59" s="477"/>
      <c r="F59" s="477"/>
      <c r="G59" s="477"/>
      <c r="H59" s="477"/>
      <c r="I59" s="477"/>
      <c r="J59" s="477"/>
      <c r="K59" s="477"/>
      <c r="L59" s="477"/>
      <c r="M59" s="477"/>
      <c r="N59" s="477"/>
      <c r="O59" s="477"/>
      <c r="P59" s="477"/>
      <c r="Q59" s="477"/>
      <c r="R59" s="477"/>
      <c r="S59" s="477"/>
      <c r="T59" s="477"/>
      <c r="U59" s="477"/>
      <c r="V59" s="477"/>
      <c r="W59" s="477"/>
      <c r="X59" s="477"/>
      <c r="Y59" s="477"/>
      <c r="Z59" s="477"/>
      <c r="AA59" s="477"/>
      <c r="AB59" s="477"/>
      <c r="AC59" s="477"/>
      <c r="AD59" s="477"/>
      <c r="AE59" s="477"/>
      <c r="AF59" s="477"/>
      <c r="AG59" s="477"/>
      <c r="AH59" s="477"/>
      <c r="AI59" s="477"/>
      <c r="AJ59" s="477"/>
    </row>
    <row r="60" spans="1:36" hidden="1" x14ac:dyDescent="0.2">
      <c r="A60" s="477"/>
      <c r="B60" s="477"/>
      <c r="C60" s="477"/>
      <c r="D60" s="477"/>
      <c r="E60" s="477"/>
      <c r="F60" s="477"/>
      <c r="G60" s="477"/>
      <c r="H60" s="477"/>
      <c r="I60" s="477"/>
      <c r="J60" s="477"/>
      <c r="K60" s="477"/>
      <c r="L60" s="477"/>
      <c r="M60" s="477"/>
      <c r="N60" s="477"/>
      <c r="O60" s="477"/>
      <c r="P60" s="477"/>
      <c r="Q60" s="477"/>
      <c r="R60" s="477"/>
      <c r="S60" s="477"/>
      <c r="T60" s="477"/>
      <c r="U60" s="477"/>
      <c r="V60" s="477"/>
      <c r="W60" s="477"/>
      <c r="X60" s="477"/>
      <c r="Y60" s="477"/>
      <c r="Z60" s="477"/>
      <c r="AA60" s="477"/>
      <c r="AB60" s="477"/>
      <c r="AC60" s="477"/>
      <c r="AD60" s="477"/>
      <c r="AE60" s="477"/>
      <c r="AF60" s="477"/>
      <c r="AG60" s="477"/>
      <c r="AH60" s="477"/>
      <c r="AI60" s="477"/>
      <c r="AJ60" s="477"/>
    </row>
    <row r="61" spans="1:36" x14ac:dyDescent="0.2">
      <c r="A61" s="477"/>
      <c r="B61" s="477"/>
      <c r="C61" s="477"/>
      <c r="D61" s="477"/>
      <c r="E61" s="477"/>
      <c r="F61" s="477"/>
      <c r="G61" s="477"/>
      <c r="H61" s="477"/>
      <c r="I61" s="477"/>
      <c r="J61" s="477"/>
      <c r="K61" s="477"/>
      <c r="L61" s="477"/>
      <c r="M61" s="477"/>
      <c r="N61" s="477"/>
      <c r="O61" s="477"/>
      <c r="P61" s="477"/>
      <c r="Q61" s="477"/>
      <c r="R61" s="477"/>
      <c r="S61" s="477"/>
      <c r="T61" s="477"/>
    </row>
    <row r="62" spans="1:36" x14ac:dyDescent="0.2">
      <c r="A62" s="79"/>
      <c r="B62" s="322" t="s">
        <v>171</v>
      </c>
      <c r="C62" s="283" t="s">
        <v>175</v>
      </c>
      <c r="D62" s="445"/>
      <c r="E62" s="79"/>
      <c r="F62" s="62"/>
      <c r="G62" s="79"/>
      <c r="H62" s="79"/>
      <c r="I62" s="79"/>
      <c r="J62" s="79"/>
      <c r="K62" s="62"/>
      <c r="L62" s="79"/>
      <c r="M62" s="62"/>
      <c r="N62" s="79"/>
      <c r="O62" s="299"/>
      <c r="P62" s="62"/>
      <c r="Q62" s="62"/>
      <c r="R62" s="62"/>
      <c r="S62" s="62"/>
      <c r="T62" s="62"/>
    </row>
    <row r="63" spans="1:36" x14ac:dyDescent="0.2">
      <c r="A63" s="79"/>
      <c r="B63" s="322" t="s">
        <v>174</v>
      </c>
      <c r="C63" s="283" t="s">
        <v>191</v>
      </c>
      <c r="D63" s="79"/>
      <c r="E63" s="79"/>
      <c r="F63" s="62"/>
      <c r="G63" s="79"/>
      <c r="H63" s="79"/>
      <c r="I63" s="79"/>
      <c r="J63" s="79"/>
      <c r="K63" s="62"/>
      <c r="L63" s="79"/>
      <c r="M63" s="62"/>
      <c r="N63" s="79"/>
      <c r="O63" s="299"/>
      <c r="P63" s="62"/>
      <c r="Q63" s="62"/>
      <c r="R63" s="62"/>
      <c r="S63" s="62"/>
      <c r="T63" s="62"/>
    </row>
    <row r="64" spans="1:36" x14ac:dyDescent="0.2">
      <c r="A64" s="79"/>
      <c r="B64" s="322" t="s">
        <v>177</v>
      </c>
      <c r="C64" s="283" t="s">
        <v>183</v>
      </c>
      <c r="D64" s="79"/>
      <c r="E64" s="79"/>
      <c r="F64" s="62"/>
      <c r="G64" s="79"/>
      <c r="H64" s="79"/>
      <c r="I64" s="79"/>
      <c r="J64" s="79"/>
      <c r="K64" s="62"/>
      <c r="L64" s="79"/>
      <c r="M64" s="62"/>
      <c r="N64" s="79"/>
      <c r="O64" s="299"/>
      <c r="P64" s="62"/>
      <c r="Q64" s="62"/>
      <c r="R64" s="62"/>
      <c r="S64" s="62"/>
      <c r="T64" s="62"/>
    </row>
    <row r="65" spans="1:20" ht="12.75" hidden="1" customHeight="1" x14ac:dyDescent="0.2">
      <c r="A65" s="79"/>
      <c r="B65" s="79"/>
      <c r="C65" s="79"/>
      <c r="D65" s="79"/>
      <c r="E65" s="79"/>
      <c r="F65" s="79"/>
      <c r="G65" s="79"/>
      <c r="H65" s="79"/>
      <c r="I65" s="79"/>
      <c r="J65" s="79"/>
      <c r="K65" s="62"/>
      <c r="L65" s="79"/>
      <c r="M65" s="62"/>
      <c r="N65" s="79"/>
      <c r="O65" s="299"/>
      <c r="P65" s="62"/>
      <c r="Q65" s="62"/>
      <c r="R65" s="62"/>
      <c r="S65" s="62"/>
      <c r="T65" s="62"/>
    </row>
    <row r="66" spans="1:20" ht="12.75" hidden="1" customHeight="1" x14ac:dyDescent="0.2">
      <c r="A66" s="79"/>
      <c r="B66" s="322" t="s">
        <v>171</v>
      </c>
      <c r="C66" s="283" t="s">
        <v>184</v>
      </c>
      <c r="D66" s="283" t="s">
        <v>183</v>
      </c>
      <c r="E66" s="79"/>
      <c r="F66" s="79"/>
      <c r="G66" s="79"/>
      <c r="H66" s="79"/>
      <c r="I66" s="79"/>
      <c r="J66" s="79"/>
      <c r="K66" s="62"/>
      <c r="L66" s="79"/>
      <c r="M66" s="62"/>
      <c r="N66" s="79"/>
      <c r="O66" s="299"/>
      <c r="P66" s="62"/>
      <c r="Q66" s="62"/>
      <c r="R66" s="62"/>
      <c r="S66" s="62"/>
      <c r="T66" s="62"/>
    </row>
    <row r="67" spans="1:20" ht="12.75" hidden="1" customHeight="1" x14ac:dyDescent="0.2">
      <c r="A67" s="79"/>
      <c r="B67" s="322" t="s">
        <v>174</v>
      </c>
      <c r="C67" s="283" t="s">
        <v>175</v>
      </c>
      <c r="D67" s="283" t="s">
        <v>173</v>
      </c>
      <c r="E67" s="79"/>
      <c r="F67" s="79"/>
      <c r="G67" s="79"/>
      <c r="H67" s="79"/>
      <c r="I67" s="79"/>
      <c r="J67" s="79"/>
      <c r="K67" s="62"/>
      <c r="L67" s="79"/>
      <c r="M67" s="62"/>
      <c r="N67" s="79"/>
      <c r="O67" s="299"/>
      <c r="P67" s="62"/>
      <c r="Q67" s="62"/>
      <c r="R67" s="62"/>
      <c r="S67" s="62"/>
      <c r="T67" s="62"/>
    </row>
    <row r="68" spans="1:20" ht="12.75" hidden="1" customHeight="1" x14ac:dyDescent="0.2">
      <c r="A68" s="79"/>
      <c r="B68" s="322" t="s">
        <v>177</v>
      </c>
      <c r="C68" s="283" t="s">
        <v>191</v>
      </c>
      <c r="D68" s="283" t="s">
        <v>179</v>
      </c>
      <c r="E68" s="79"/>
      <c r="F68" s="79"/>
      <c r="G68" s="79"/>
      <c r="H68" s="79"/>
      <c r="I68" s="79"/>
      <c r="J68" s="79"/>
      <c r="K68" s="62"/>
      <c r="L68" s="79"/>
      <c r="M68" s="62"/>
      <c r="N68" s="79"/>
      <c r="O68" s="299"/>
      <c r="P68" s="62"/>
      <c r="Q68" s="62"/>
      <c r="R68" s="62"/>
      <c r="S68" s="62"/>
      <c r="T68" s="62"/>
    </row>
    <row r="69" spans="1:20" hidden="1" x14ac:dyDescent="0.2">
      <c r="A69" s="79"/>
      <c r="B69" s="330"/>
      <c r="C69" s="140"/>
      <c r="D69" s="140"/>
      <c r="E69" s="79"/>
      <c r="F69" s="79"/>
      <c r="G69" s="79"/>
      <c r="H69" s="79"/>
      <c r="I69" s="79"/>
      <c r="J69" s="79"/>
      <c r="K69" s="62"/>
      <c r="L69" s="79"/>
      <c r="M69" s="62"/>
      <c r="N69" s="79"/>
      <c r="O69" s="299"/>
      <c r="P69" s="62"/>
      <c r="Q69" s="62"/>
      <c r="R69" s="62"/>
      <c r="S69" s="62"/>
      <c r="T69" s="62"/>
    </row>
    <row r="70" spans="1:20" hidden="1" x14ac:dyDescent="0.2">
      <c r="A70" s="79"/>
      <c r="B70" s="322" t="s">
        <v>171</v>
      </c>
      <c r="C70" s="283" t="s">
        <v>172</v>
      </c>
      <c r="D70" s="283" t="s">
        <v>173</v>
      </c>
      <c r="E70" s="79"/>
      <c r="F70" s="62"/>
      <c r="G70" s="62"/>
      <c r="H70" s="79"/>
      <c r="I70" s="79"/>
      <c r="J70" s="79"/>
      <c r="K70" s="62"/>
      <c r="L70" s="79"/>
      <c r="M70" s="62"/>
      <c r="N70" s="79"/>
      <c r="O70" s="299"/>
      <c r="P70" s="62"/>
      <c r="Q70" s="62"/>
      <c r="R70" s="62"/>
      <c r="S70" s="62"/>
      <c r="T70" s="62"/>
    </row>
    <row r="71" spans="1:20" hidden="1" x14ac:dyDescent="0.2">
      <c r="A71" s="79"/>
      <c r="B71" s="322" t="s">
        <v>174</v>
      </c>
      <c r="C71" s="283" t="s">
        <v>184</v>
      </c>
      <c r="D71" s="283" t="s">
        <v>183</v>
      </c>
      <c r="E71" s="79"/>
      <c r="F71" s="62"/>
      <c r="G71" s="62"/>
      <c r="H71" s="62"/>
      <c r="I71" s="79"/>
      <c r="J71" s="79"/>
      <c r="K71" s="62"/>
      <c r="L71" s="79"/>
      <c r="M71" s="62"/>
      <c r="N71" s="79"/>
      <c r="O71" s="299"/>
      <c r="P71" s="62"/>
      <c r="Q71" s="62"/>
      <c r="R71" s="62"/>
      <c r="S71" s="62"/>
      <c r="T71" s="62"/>
    </row>
    <row r="72" spans="1:20" hidden="1" x14ac:dyDescent="0.2">
      <c r="A72" s="79"/>
      <c r="B72" s="322" t="s">
        <v>177</v>
      </c>
      <c r="C72" s="283" t="s">
        <v>175</v>
      </c>
      <c r="D72" s="283" t="s">
        <v>176</v>
      </c>
      <c r="E72" s="79"/>
      <c r="F72" s="62"/>
      <c r="G72" s="62"/>
      <c r="H72" s="79"/>
      <c r="I72" s="79"/>
      <c r="J72" s="79"/>
      <c r="K72" s="62"/>
      <c r="L72" s="79"/>
      <c r="M72" s="62"/>
      <c r="N72" s="79"/>
      <c r="O72" s="299"/>
      <c r="P72" s="62"/>
      <c r="Q72" s="62"/>
      <c r="R72" s="62"/>
      <c r="S72" s="62"/>
      <c r="T72" s="62"/>
    </row>
    <row r="73" spans="1:20" hidden="1" x14ac:dyDescent="0.2">
      <c r="A73" s="79"/>
      <c r="B73" s="322" t="s">
        <v>180</v>
      </c>
      <c r="C73" s="446" t="s">
        <v>191</v>
      </c>
      <c r="D73" s="283" t="s">
        <v>181</v>
      </c>
      <c r="E73" s="79"/>
      <c r="F73" s="62"/>
      <c r="G73" s="62"/>
      <c r="H73" s="79"/>
      <c r="I73" s="79"/>
      <c r="J73" s="79"/>
      <c r="K73" s="62"/>
      <c r="L73" s="79"/>
      <c r="M73" s="62"/>
      <c r="N73" s="79"/>
      <c r="O73" s="299"/>
      <c r="P73" s="62"/>
      <c r="Q73" s="62"/>
      <c r="R73" s="62"/>
      <c r="S73" s="62"/>
      <c r="T73" s="62"/>
    </row>
    <row r="74" spans="1:20" hidden="1" x14ac:dyDescent="0.2">
      <c r="A74" s="79"/>
      <c r="B74" s="322" t="s">
        <v>182</v>
      </c>
      <c r="C74" s="283" t="s">
        <v>178</v>
      </c>
      <c r="D74" s="283" t="s">
        <v>179</v>
      </c>
      <c r="E74" s="79"/>
      <c r="F74" s="62"/>
      <c r="G74" s="62"/>
      <c r="H74" s="79"/>
      <c r="I74" s="79"/>
      <c r="J74" s="79"/>
      <c r="K74" s="62"/>
      <c r="L74" s="79"/>
      <c r="M74" s="62"/>
      <c r="N74" s="79"/>
      <c r="O74" s="299"/>
      <c r="P74" s="62"/>
      <c r="Q74" s="62"/>
      <c r="R74" s="62"/>
      <c r="S74" s="62"/>
      <c r="T74" s="62"/>
    </row>
    <row r="75" spans="1:20" hidden="1" x14ac:dyDescent="0.2"/>
    <row r="76" spans="1:20" hidden="1" x14ac:dyDescent="0.2"/>
    <row r="77" spans="1:20" hidden="1" x14ac:dyDescent="0.2"/>
    <row r="78" spans="1:20" hidden="1" x14ac:dyDescent="0.2"/>
    <row r="79" spans="1:20" hidden="1" x14ac:dyDescent="0.2"/>
    <row r="80" spans="1:2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spans="1:11" hidden="1" x14ac:dyDescent="0.2"/>
    <row r="98" spans="1:11" hidden="1" x14ac:dyDescent="0.2"/>
    <row r="100" spans="1:11" x14ac:dyDescent="0.2">
      <c r="A100" s="286" t="s">
        <v>192</v>
      </c>
      <c r="B100" s="287"/>
      <c r="C100" s="288"/>
      <c r="D100" s="288"/>
      <c r="E100" s="288"/>
      <c r="F100" s="285"/>
      <c r="G100" s="283"/>
      <c r="H100" s="269"/>
      <c r="I100" s="269"/>
      <c r="J100" s="269"/>
      <c r="K100" s="269"/>
    </row>
    <row r="102" spans="1:11" x14ac:dyDescent="0.2">
      <c r="A102" s="300" t="s">
        <v>193</v>
      </c>
      <c r="B102" s="582" t="str">
        <f>IF(A102="-","-",IFERROR(INDEX(B$1:B$100,MATCH(A102,I$1:I$100,0)),""))</f>
        <v>Oleg Rõndenkov, Toomas Tedrekull</v>
      </c>
      <c r="C102" s="301">
        <f>IF(B102="-",0,IF(B104="-",13,""))</f>
        <v>13</v>
      </c>
      <c r="D102" s="269"/>
      <c r="E102" s="269"/>
      <c r="F102" s="269"/>
      <c r="G102" s="269"/>
      <c r="H102" s="269"/>
      <c r="I102" s="269"/>
      <c r="J102" s="269"/>
    </row>
    <row r="103" spans="1:11" x14ac:dyDescent="0.2">
      <c r="A103" s="302"/>
      <c r="B103" s="449"/>
      <c r="C103" s="303" t="str">
        <f>IF(COUNT(C102,C104)=2,IF(C102&gt;C104,B102,B104),"")</f>
        <v>Oleg Rõndenkov, Toomas Tedrekull</v>
      </c>
      <c r="D103" s="269"/>
      <c r="E103" s="301">
        <v>13</v>
      </c>
      <c r="F103" s="269"/>
      <c r="G103" s="269"/>
      <c r="H103" s="269"/>
      <c r="I103" s="269"/>
      <c r="J103" s="269"/>
    </row>
    <row r="104" spans="1:11" x14ac:dyDescent="0.2">
      <c r="A104" s="302" t="s">
        <v>205</v>
      </c>
      <c r="B104" s="450" t="str">
        <f>IF(A104="-","-",IFERROR(INDEX(B$1:B$100,MATCH(A104,I$1:I$100,0)),""))</f>
        <v>-</v>
      </c>
      <c r="C104" s="304">
        <f>IF(B104="-",0,IF(B102="-",13,""))</f>
        <v>0</v>
      </c>
      <c r="D104" s="336"/>
      <c r="E104" s="269"/>
      <c r="F104" s="269"/>
      <c r="G104" s="269"/>
      <c r="H104" s="269"/>
      <c r="I104" s="269"/>
      <c r="J104" s="269"/>
    </row>
    <row r="105" spans="1:11" x14ac:dyDescent="0.2">
      <c r="A105" s="302"/>
      <c r="B105" s="292"/>
      <c r="C105" s="269"/>
      <c r="D105" s="982" t="s">
        <v>15</v>
      </c>
      <c r="E105" s="303" t="str">
        <f>IF(COUNT(E103,E107)=2,IF(E103&gt;E107,C103,C107),"")</f>
        <v>Oleg Rõndenkov, Toomas Tedrekull</v>
      </c>
      <c r="F105" s="269"/>
      <c r="G105" s="301">
        <v>7</v>
      </c>
      <c r="H105" s="269"/>
      <c r="I105" s="269"/>
      <c r="J105" s="269"/>
    </row>
    <row r="106" spans="1:11" x14ac:dyDescent="0.2">
      <c r="A106" s="302" t="s">
        <v>198</v>
      </c>
      <c r="B106" s="582" t="str">
        <f>IF(A106="-","-",IFERROR(INDEX(B$1:B$100,MATCH(A106,I$1:I$100,0)),""))</f>
        <v>Enn Tokman, Tarmo Bombe</v>
      </c>
      <c r="C106" s="301">
        <v>10</v>
      </c>
      <c r="D106" s="305"/>
      <c r="E106" s="306"/>
      <c r="F106" s="336"/>
      <c r="G106" s="269"/>
      <c r="H106" s="269"/>
      <c r="I106" s="269"/>
      <c r="J106" s="269"/>
    </row>
    <row r="107" spans="1:11" x14ac:dyDescent="0.2">
      <c r="A107" s="302"/>
      <c r="B107" s="979" t="s">
        <v>10</v>
      </c>
      <c r="C107" s="303" t="str">
        <f>IF(COUNT(C106,C108)=2,IF(C106&gt;C108,B106,B108),"")</f>
        <v>Aigi Orro, Kalle Orro</v>
      </c>
      <c r="D107" s="451"/>
      <c r="E107" s="304">
        <v>10</v>
      </c>
      <c r="F107" s="305"/>
      <c r="G107" s="269"/>
      <c r="H107" s="269"/>
      <c r="I107" s="269"/>
      <c r="J107" s="269"/>
    </row>
    <row r="108" spans="1:11" x14ac:dyDescent="0.2">
      <c r="A108" s="302" t="s">
        <v>224</v>
      </c>
      <c r="B108" s="450" t="str">
        <f>IF(A108="-","-",IFERROR(INDEX(B$1:B$100,MATCH(A108,I$1:I$100,0)),""))</f>
        <v>Aigi Orro, Kalle Orro</v>
      </c>
      <c r="C108" s="304">
        <v>13</v>
      </c>
      <c r="D108" s="269"/>
      <c r="E108" s="287"/>
      <c r="F108" s="305"/>
      <c r="G108" s="269"/>
      <c r="H108" s="269"/>
      <c r="I108" s="269"/>
      <c r="J108" s="269"/>
    </row>
    <row r="109" spans="1:11" x14ac:dyDescent="0.2">
      <c r="A109" s="268"/>
      <c r="B109" s="292"/>
      <c r="C109" s="269"/>
      <c r="D109" s="269"/>
      <c r="E109" s="287"/>
      <c r="F109" s="305"/>
      <c r="G109" s="269" t="str">
        <f>IF(COUNT(G105,G113)=2,IF(G105&gt;G113,E105,E113),"")</f>
        <v>Elmo Lageda, Tõnu Piik</v>
      </c>
      <c r="H109" s="269"/>
      <c r="I109" s="301">
        <v>13</v>
      </c>
      <c r="J109" s="269"/>
    </row>
    <row r="110" spans="1:11" x14ac:dyDescent="0.2">
      <c r="A110" s="300" t="s">
        <v>223</v>
      </c>
      <c r="B110" s="582" t="str">
        <f>IF(A110="-","-",IFERROR(INDEX(B$1:B$100,MATCH(A110,I$1:I$100,0)),""))</f>
        <v>Tõnu Kapper, Vladimir Ogneštšikov</v>
      </c>
      <c r="C110" s="301">
        <v>3</v>
      </c>
      <c r="D110" s="269"/>
      <c r="E110" s="269"/>
      <c r="F110" s="305"/>
      <c r="G110" s="306"/>
      <c r="H110" s="336"/>
      <c r="I110" s="269"/>
      <c r="J110" s="269"/>
    </row>
    <row r="111" spans="1:11" x14ac:dyDescent="0.2">
      <c r="A111" s="302"/>
      <c r="B111" s="979" t="s">
        <v>11</v>
      </c>
      <c r="C111" s="303" t="str">
        <f>IF(COUNT(C110,C112)=2,IF(C110&gt;C112,B110,B112),"")</f>
        <v>Elmo Lageda, Tõnu Piik</v>
      </c>
      <c r="D111" s="269"/>
      <c r="E111" s="301">
        <v>13</v>
      </c>
      <c r="F111" s="305"/>
      <c r="G111" s="287"/>
      <c r="H111" s="305"/>
      <c r="I111" s="269"/>
      <c r="J111" s="269"/>
    </row>
    <row r="112" spans="1:11" x14ac:dyDescent="0.2">
      <c r="A112" s="302" t="s">
        <v>196</v>
      </c>
      <c r="B112" s="450" t="str">
        <f>IF(A112="-","-",IFERROR(INDEX(B$1:B$100,MATCH(A112,I$1:I$100,0)),""))</f>
        <v>Elmo Lageda, Tõnu Piik</v>
      </c>
      <c r="C112" s="304">
        <v>13</v>
      </c>
      <c r="D112" s="336"/>
      <c r="E112" s="269"/>
      <c r="F112" s="305"/>
      <c r="G112" s="287"/>
      <c r="H112" s="305"/>
      <c r="I112" s="269"/>
      <c r="J112" s="269"/>
    </row>
    <row r="113" spans="1:11" x14ac:dyDescent="0.2">
      <c r="A113" s="302"/>
      <c r="B113" s="292"/>
      <c r="C113" s="269"/>
      <c r="D113" s="982" t="s">
        <v>17</v>
      </c>
      <c r="E113" s="303" t="str">
        <f>IF(COUNT(E111,E115)=2,IF(E111&gt;E115,C111,C115),"")</f>
        <v>Elmo Lageda, Tõnu Piik</v>
      </c>
      <c r="F113" s="451"/>
      <c r="G113" s="304">
        <v>13</v>
      </c>
      <c r="H113" s="305"/>
      <c r="I113" s="269"/>
      <c r="J113" s="269"/>
    </row>
    <row r="114" spans="1:11" x14ac:dyDescent="0.2">
      <c r="A114" s="302" t="s">
        <v>205</v>
      </c>
      <c r="B114" s="582" t="str">
        <f>IF(A114="-","-",IFERROR(INDEX(B$1:B$100,MATCH(A114,I$1:I$100,0)),""))</f>
        <v>-</v>
      </c>
      <c r="C114" s="301">
        <f>IF(B114="-",0,IF(B116="-",13,""))</f>
        <v>0</v>
      </c>
      <c r="D114" s="305"/>
      <c r="E114" s="306"/>
      <c r="F114" s="287"/>
      <c r="G114" s="287"/>
      <c r="H114" s="305"/>
      <c r="I114" s="269"/>
      <c r="J114" s="269"/>
    </row>
    <row r="115" spans="1:11" x14ac:dyDescent="0.2">
      <c r="A115" s="302"/>
      <c r="B115" s="449"/>
      <c r="C115" s="303" t="str">
        <f>IF(COUNT(C114,C116)=2,IF(C114&gt;C116,B114,B116),"")</f>
        <v>Kaspar Mänd, Urmas Randlaine</v>
      </c>
      <c r="D115" s="451"/>
      <c r="E115" s="304">
        <v>9</v>
      </c>
      <c r="F115" s="269"/>
      <c r="G115" s="287"/>
      <c r="H115" s="305"/>
      <c r="I115" s="269"/>
      <c r="J115" s="269"/>
    </row>
    <row r="116" spans="1:11" x14ac:dyDescent="0.2">
      <c r="A116" s="302" t="s">
        <v>200</v>
      </c>
      <c r="B116" s="450" t="str">
        <f>IF(A116="-","-",IFERROR(INDEX(B$1:B$100,MATCH(A116,I$1:I$100,0)),""))</f>
        <v>Kaspar Mänd, Urmas Randlaine</v>
      </c>
      <c r="C116" s="304">
        <f>IF(B116="-",0,IF(B114="-",13,""))</f>
        <v>13</v>
      </c>
      <c r="D116" s="269"/>
      <c r="E116" s="287"/>
      <c r="F116" s="287"/>
      <c r="G116" s="287"/>
      <c r="H116" s="305"/>
      <c r="I116" s="269"/>
      <c r="J116" s="269"/>
    </row>
    <row r="117" spans="1:11" ht="13.5" thickBot="1" x14ac:dyDescent="0.25">
      <c r="A117" s="268"/>
      <c r="B117" s="292"/>
      <c r="C117" s="269"/>
      <c r="D117" s="269"/>
      <c r="E117" s="269"/>
      <c r="F117" s="269"/>
      <c r="G117" s="287"/>
      <c r="H117" s="305"/>
      <c r="I117" s="269"/>
      <c r="J117" s="284" t="str">
        <f>IF(COUNT(I109,I125)=2,IF(I109&gt;I125,G109,G125),"")</f>
        <v>Elmo Lageda, Tõnu Piik</v>
      </c>
    </row>
    <row r="118" spans="1:11" x14ac:dyDescent="0.2">
      <c r="A118" s="300" t="s">
        <v>197</v>
      </c>
      <c r="B118" s="582" t="str">
        <f>IF(A118="-","-",IFERROR(INDEX(B$1:B$100,MATCH(A118,I$1:I$100,0)),""))</f>
        <v>Andrei Grintšak, Boriss Klubov</v>
      </c>
      <c r="C118" s="301">
        <f>IF(B118="-",0,IF(B120="-",13,""))</f>
        <v>13</v>
      </c>
      <c r="D118" s="269"/>
      <c r="E118" s="269"/>
      <c r="F118" s="269"/>
      <c r="G118" s="287"/>
      <c r="H118" s="305"/>
      <c r="I118" s="307"/>
      <c r="J118" s="290" t="s">
        <v>185</v>
      </c>
      <c r="K118" s="333"/>
    </row>
    <row r="119" spans="1:11" x14ac:dyDescent="0.2">
      <c r="A119" s="302"/>
      <c r="B119" s="449"/>
      <c r="C119" s="303" t="str">
        <f>IF(COUNT(C118,C120)=2,IF(C118&gt;C120,B118,B120),"")</f>
        <v>Andrei Grintšak, Boriss Klubov</v>
      </c>
      <c r="D119" s="269"/>
      <c r="E119" s="301">
        <v>13</v>
      </c>
      <c r="F119" s="269"/>
      <c r="G119" s="287"/>
      <c r="H119" s="305"/>
      <c r="I119" s="287"/>
      <c r="J119" s="287"/>
      <c r="K119" s="334"/>
    </row>
    <row r="120" spans="1:11" x14ac:dyDescent="0.2">
      <c r="A120" s="302" t="s">
        <v>205</v>
      </c>
      <c r="B120" s="450" t="str">
        <f>IF(A120="-","-",IFERROR(INDEX(B$1:B$100,MATCH(A120,I$1:I$100,0)),""))</f>
        <v>-</v>
      </c>
      <c r="C120" s="304">
        <f>IF(B120="-",0,IF(B118="-",13,""))</f>
        <v>0</v>
      </c>
      <c r="D120" s="336"/>
      <c r="E120" s="269"/>
      <c r="F120" s="269"/>
      <c r="G120" s="287"/>
      <c r="H120" s="305"/>
      <c r="I120" s="287"/>
      <c r="J120" s="287"/>
      <c r="K120" s="334"/>
    </row>
    <row r="121" spans="1:11" x14ac:dyDescent="0.2">
      <c r="A121" s="302"/>
      <c r="B121" s="292"/>
      <c r="C121" s="269"/>
      <c r="D121" s="982" t="s">
        <v>18</v>
      </c>
      <c r="E121" s="303" t="str">
        <f>IF(COUNT(E119,E123)=2,IF(E119&gt;E123,C119,C123),"")</f>
        <v>Andrei Grintšak, Boriss Klubov</v>
      </c>
      <c r="F121" s="269"/>
      <c r="G121" s="301">
        <v>13</v>
      </c>
      <c r="H121" s="305"/>
      <c r="I121" s="287"/>
      <c r="J121" s="287"/>
      <c r="K121" s="334"/>
    </row>
    <row r="122" spans="1:11" x14ac:dyDescent="0.2">
      <c r="A122" s="302" t="s">
        <v>194</v>
      </c>
      <c r="B122" s="582" t="str">
        <f>IF(A122="-","-",IFERROR(INDEX(B$1:B$100,MATCH(A122,I$1:I$100,0)),""))</f>
        <v>Jaan Saar, Liidia Põllu</v>
      </c>
      <c r="C122" s="301">
        <v>11</v>
      </c>
      <c r="D122" s="305"/>
      <c r="E122" s="306"/>
      <c r="F122" s="336"/>
      <c r="G122" s="269"/>
      <c r="H122" s="305"/>
      <c r="I122" s="287"/>
      <c r="J122" s="287"/>
      <c r="K122" s="334"/>
    </row>
    <row r="123" spans="1:11" x14ac:dyDescent="0.2">
      <c r="A123" s="302"/>
      <c r="B123" s="979" t="s">
        <v>12</v>
      </c>
      <c r="C123" s="303" t="str">
        <f>IF(COUNT(C122,C124)=2,IF(C122&gt;C124,B122,B124),"")</f>
        <v>Aarne Välja, Janek Tarto</v>
      </c>
      <c r="D123" s="451"/>
      <c r="E123" s="304">
        <v>10</v>
      </c>
      <c r="F123" s="305"/>
      <c r="G123" s="269"/>
      <c r="H123" s="305"/>
      <c r="I123" s="287"/>
      <c r="J123" s="287"/>
      <c r="K123" s="334"/>
    </row>
    <row r="124" spans="1:11" x14ac:dyDescent="0.2">
      <c r="A124" s="302" t="s">
        <v>225</v>
      </c>
      <c r="B124" s="450" t="str">
        <f>IF(A124="-","-",IFERROR(INDEX(B$1:B$100,MATCH(A124,I$1:I$100,0)),""))</f>
        <v>Aarne Välja, Janek Tarto</v>
      </c>
      <c r="C124" s="304">
        <v>13</v>
      </c>
      <c r="D124" s="269"/>
      <c r="E124" s="287"/>
      <c r="F124" s="305"/>
      <c r="G124" s="269"/>
      <c r="H124" s="305"/>
      <c r="I124" s="287"/>
      <c r="J124" s="287"/>
      <c r="K124" s="334"/>
    </row>
    <row r="125" spans="1:11" x14ac:dyDescent="0.2">
      <c r="A125" s="268"/>
      <c r="B125" s="292"/>
      <c r="C125" s="269"/>
      <c r="D125" s="269"/>
      <c r="E125" s="287"/>
      <c r="F125" s="305"/>
      <c r="G125" s="269" t="str">
        <f>IF(COUNT(G121,G129)=2,IF(G121&gt;G129,E121,E129),"")</f>
        <v>Andrei Grintšak, Boriss Klubov</v>
      </c>
      <c r="H125" s="451"/>
      <c r="I125" s="304">
        <v>7</v>
      </c>
      <c r="J125" s="287"/>
      <c r="K125" s="334"/>
    </row>
    <row r="126" spans="1:11" ht="13.5" thickBot="1" x14ac:dyDescent="0.25">
      <c r="A126" s="300" t="s">
        <v>226</v>
      </c>
      <c r="B126" s="582" t="str">
        <f>IF(A126="-","-",IFERROR(INDEX(B$1:B$100,MATCH(A126,I$1:I$100,0)),""))</f>
        <v>Henri Mitt, Meelis Luud, Melika Lehtla</v>
      </c>
      <c r="C126" s="301">
        <v>7</v>
      </c>
      <c r="D126" s="269"/>
      <c r="E126" s="269"/>
      <c r="F126" s="305"/>
      <c r="G126" s="306"/>
      <c r="H126" s="269"/>
      <c r="I126" s="287"/>
      <c r="J126" s="583" t="str">
        <f>IF(COUNT(I109,I125)=2,IF(I109&lt;I125,G109,G125),"")</f>
        <v>Andrei Grintšak, Boriss Klubov</v>
      </c>
      <c r="K126" s="584"/>
    </row>
    <row r="127" spans="1:11" x14ac:dyDescent="0.2">
      <c r="A127" s="302"/>
      <c r="B127" s="979" t="s">
        <v>13</v>
      </c>
      <c r="C127" s="303" t="str">
        <f>IF(COUNT(C126,C128)=2,IF(C126&gt;C128,B126,B128),"")</f>
        <v>Argo Sepp, Johannes Neiland, Karla Purgats</v>
      </c>
      <c r="D127" s="269"/>
      <c r="E127" s="301">
        <v>2</v>
      </c>
      <c r="F127" s="305"/>
      <c r="G127" s="287"/>
      <c r="H127" s="269"/>
      <c r="I127" s="287"/>
      <c r="J127" s="296" t="s">
        <v>186</v>
      </c>
    </row>
    <row r="128" spans="1:11" x14ac:dyDescent="0.2">
      <c r="A128" s="302" t="s">
        <v>199</v>
      </c>
      <c r="B128" s="450" t="str">
        <f>IF(A128="-","-",IFERROR(INDEX(B$1:B$100,MATCH(A128,I$1:I$100,0)),""))</f>
        <v>Argo Sepp, Johannes Neiland, Karla Purgats</v>
      </c>
      <c r="C128" s="304">
        <v>13</v>
      </c>
      <c r="D128" s="336"/>
      <c r="E128" s="269"/>
      <c r="F128" s="305"/>
      <c r="G128" s="287"/>
      <c r="H128" s="269"/>
      <c r="I128" s="287"/>
      <c r="J128" s="269"/>
    </row>
    <row r="129" spans="1:11" x14ac:dyDescent="0.2">
      <c r="A129" s="302"/>
      <c r="B129" s="292"/>
      <c r="C129" s="269"/>
      <c r="D129" s="982" t="s">
        <v>19</v>
      </c>
      <c r="E129" s="303" t="str">
        <f>IF(COUNT(E127,E131)=2,IF(E127&gt;E131,C127,C131),"")</f>
        <v>Kenneth Muusikus, Ülo Piik</v>
      </c>
      <c r="F129" s="451"/>
      <c r="G129" s="304">
        <v>3</v>
      </c>
      <c r="H129" s="269"/>
      <c r="I129" s="287"/>
      <c r="J129" s="269"/>
    </row>
    <row r="130" spans="1:11" x14ac:dyDescent="0.2">
      <c r="A130" s="302" t="s">
        <v>205</v>
      </c>
      <c r="B130" s="582" t="str">
        <f>IF(A130="-","-",IFERROR(INDEX(B$1:B$100,MATCH(A130,I$1:I$100,0)),""))</f>
        <v>-</v>
      </c>
      <c r="C130" s="301">
        <f>IF(B130="-",0,IF(B132="-",13,""))</f>
        <v>0</v>
      </c>
      <c r="D130" s="305"/>
      <c r="E130" s="306"/>
      <c r="F130" s="287"/>
      <c r="G130" s="287"/>
      <c r="H130" s="269"/>
      <c r="I130" s="287"/>
      <c r="J130" s="269"/>
    </row>
    <row r="131" spans="1:11" x14ac:dyDescent="0.2">
      <c r="A131" s="302"/>
      <c r="B131" s="449"/>
      <c r="C131" s="303" t="str">
        <f>IF(COUNT(C130,C132)=2,IF(C130&gt;C132,B130,B132),"")</f>
        <v>Kenneth Muusikus, Ülo Piik</v>
      </c>
      <c r="D131" s="451"/>
      <c r="E131" s="304">
        <v>13</v>
      </c>
      <c r="F131" s="269"/>
      <c r="G131" s="287" t="str">
        <f>IF(COUNT(G105,G113)=2,IF(G105&lt;G113,E105,E113),"")</f>
        <v>Oleg Rõndenkov, Toomas Tedrekull</v>
      </c>
      <c r="H131" s="269"/>
      <c r="I131" s="308">
        <v>1</v>
      </c>
      <c r="J131" s="269"/>
    </row>
    <row r="132" spans="1:11" ht="13.5" thickBot="1" x14ac:dyDescent="0.25">
      <c r="A132" s="302" t="s">
        <v>195</v>
      </c>
      <c r="B132" s="450" t="str">
        <f>IF(A132="-","-",IFERROR(INDEX(B$1:B$100,MATCH(A132,I$1:I$100,0)),""))</f>
        <v>Kenneth Muusikus, Ülo Piik</v>
      </c>
      <c r="C132" s="304">
        <f>IF(B132="-",0,IF(B130="-",13,""))</f>
        <v>13</v>
      </c>
      <c r="D132" s="269"/>
      <c r="E132" s="287"/>
      <c r="F132" s="287"/>
      <c r="G132" s="455"/>
      <c r="H132" s="336"/>
      <c r="I132" s="585"/>
      <c r="J132" s="284" t="str">
        <f>IF(COUNT(I131,I133)=2,IF(I131&gt;I133,G131,G133),"")</f>
        <v>Kenneth Muusikus, Ülo Piik</v>
      </c>
    </row>
    <row r="133" spans="1:11" x14ac:dyDescent="0.2">
      <c r="A133" s="269"/>
      <c r="B133" s="269"/>
      <c r="C133" s="269"/>
      <c r="D133" s="269"/>
      <c r="E133" s="269"/>
      <c r="F133" s="287"/>
      <c r="G133" s="456" t="str">
        <f>IF(COUNT(G121,G129)=2,IF(G121&lt;G129,E121,E129),"")</f>
        <v>Kenneth Muusikus, Ülo Piik</v>
      </c>
      <c r="H133" s="451"/>
      <c r="I133" s="304">
        <v>13</v>
      </c>
      <c r="J133" s="290" t="s">
        <v>187</v>
      </c>
      <c r="K133" s="333"/>
    </row>
    <row r="134" spans="1:11" x14ac:dyDescent="0.2">
      <c r="A134" s="269"/>
      <c r="B134" s="269"/>
      <c r="C134" s="269"/>
      <c r="D134" s="269"/>
      <c r="E134" s="269"/>
      <c r="F134" s="287"/>
      <c r="G134" s="269"/>
      <c r="H134" s="269"/>
      <c r="I134" s="269"/>
      <c r="J134" s="287"/>
      <c r="K134" s="334"/>
    </row>
    <row r="135" spans="1:11" ht="13.5" thickBot="1" x14ac:dyDescent="0.25">
      <c r="A135" s="269"/>
      <c r="B135" s="269"/>
      <c r="C135" s="269"/>
      <c r="D135" s="269"/>
      <c r="E135" s="269"/>
      <c r="F135" s="287"/>
      <c r="G135" s="287"/>
      <c r="H135" s="287"/>
      <c r="I135" s="269"/>
      <c r="J135" s="583" t="str">
        <f>IF(COUNT(I131,I133)=2,IF(I131&lt;I133,G131,G133),"")</f>
        <v>Oleg Rõndenkov, Toomas Tedrekull</v>
      </c>
      <c r="K135" s="584"/>
    </row>
    <row r="136" spans="1:11" x14ac:dyDescent="0.2">
      <c r="A136" s="269"/>
      <c r="B136" s="269"/>
      <c r="C136" s="269"/>
      <c r="D136" s="269"/>
      <c r="E136" s="269"/>
      <c r="F136" s="269"/>
      <c r="G136" s="287"/>
      <c r="H136" s="287"/>
      <c r="I136" s="269"/>
      <c r="J136" s="268" t="s">
        <v>188</v>
      </c>
    </row>
    <row r="137" spans="1:11" x14ac:dyDescent="0.2">
      <c r="A137" s="269"/>
      <c r="B137" s="269"/>
      <c r="C137" s="269"/>
      <c r="D137" s="269"/>
      <c r="E137" s="269"/>
      <c r="F137" s="269"/>
      <c r="G137" s="287"/>
      <c r="H137" s="287"/>
      <c r="I137" s="269"/>
      <c r="J137" s="268"/>
    </row>
    <row r="138" spans="1:11" x14ac:dyDescent="0.2">
      <c r="A138" s="331" t="s">
        <v>477</v>
      </c>
    </row>
    <row r="140" spans="1:11" x14ac:dyDescent="0.2">
      <c r="A140" s="269"/>
      <c r="B140" s="269"/>
      <c r="C140" s="269"/>
      <c r="D140" s="983" t="s">
        <v>15</v>
      </c>
      <c r="E140" s="456" t="str">
        <f>IF(COUNT(E103,E107)=2,IF(E103&lt;E107,C103,C107),"")</f>
        <v>Aigi Orro, Kalle Orro</v>
      </c>
      <c r="F140" s="269"/>
      <c r="G140" s="301">
        <v>12</v>
      </c>
      <c r="H140" s="301"/>
      <c r="I140" s="301"/>
      <c r="J140" s="269"/>
    </row>
    <row r="141" spans="1:11" x14ac:dyDescent="0.2">
      <c r="A141" s="269"/>
      <c r="B141" s="269"/>
      <c r="C141" s="269"/>
      <c r="D141" s="981"/>
      <c r="E141" s="457"/>
      <c r="F141" s="337"/>
      <c r="G141" s="303" t="str">
        <f>IF(COUNT(G140,G142)=2,IF(G140&gt;G142,E140,E142),"")</f>
        <v>Kaspar Mänd, Urmas Randlaine</v>
      </c>
      <c r="H141" s="269"/>
      <c r="I141" s="301">
        <v>13</v>
      </c>
      <c r="J141" s="269"/>
    </row>
    <row r="142" spans="1:11" x14ac:dyDescent="0.2">
      <c r="A142" s="269"/>
      <c r="B142" s="269"/>
      <c r="C142" s="269"/>
      <c r="D142" s="983" t="s">
        <v>17</v>
      </c>
      <c r="E142" s="456" t="str">
        <f>IF(COUNT(E111,E115)=2,IF(E111&lt;E115,C111,C115),"")</f>
        <v>Kaspar Mänd, Urmas Randlaine</v>
      </c>
      <c r="F142" s="458"/>
      <c r="G142" s="304">
        <v>13</v>
      </c>
      <c r="H142" s="337"/>
      <c r="I142" s="269"/>
      <c r="J142" s="269"/>
    </row>
    <row r="143" spans="1:11" ht="13.5" thickBot="1" x14ac:dyDescent="0.25">
      <c r="A143" s="269"/>
      <c r="B143" s="269"/>
      <c r="C143" s="269"/>
      <c r="D143" s="981"/>
      <c r="E143" s="301"/>
      <c r="F143" s="301"/>
      <c r="G143" s="308"/>
      <c r="H143" s="309"/>
      <c r="I143" s="338"/>
      <c r="J143" s="284" t="str">
        <f>IF(COUNT(I141,I145)=2,IF(I141&gt;I145,G141,G145),"")</f>
        <v>Kaspar Mänd, Urmas Randlaine</v>
      </c>
    </row>
    <row r="144" spans="1:11" x14ac:dyDescent="0.2">
      <c r="A144" s="269"/>
      <c r="B144" s="269"/>
      <c r="C144" s="269"/>
      <c r="D144" s="983" t="s">
        <v>18</v>
      </c>
      <c r="E144" s="456" t="str">
        <f>IF(COUNT(E119,E123)=2,IF(E119&lt;E123,C119,C123),"")</f>
        <v>Aarne Välja, Janek Tarto</v>
      </c>
      <c r="F144" s="301"/>
      <c r="G144" s="301">
        <v>13</v>
      </c>
      <c r="H144" s="309"/>
      <c r="I144" s="307"/>
      <c r="J144" s="290" t="s">
        <v>189</v>
      </c>
      <c r="K144" s="333"/>
    </row>
    <row r="145" spans="1:11" x14ac:dyDescent="0.2">
      <c r="A145" s="269"/>
      <c r="B145" s="269"/>
      <c r="C145" s="269"/>
      <c r="D145" s="981"/>
      <c r="E145" s="457"/>
      <c r="F145" s="337"/>
      <c r="G145" s="303" t="str">
        <f>IF(COUNT(G144,G146)=2,IF(G144&gt;G146,E144,E146),"")</f>
        <v>Aarne Välja, Janek Tarto</v>
      </c>
      <c r="H145" s="451"/>
      <c r="I145" s="304">
        <v>12</v>
      </c>
      <c r="J145" s="287"/>
      <c r="K145" s="334"/>
    </row>
    <row r="146" spans="1:11" ht="13.5" thickBot="1" x14ac:dyDescent="0.25">
      <c r="A146" s="269"/>
      <c r="B146" s="269"/>
      <c r="C146" s="269"/>
      <c r="D146" s="983" t="s">
        <v>19</v>
      </c>
      <c r="E146" s="456" t="str">
        <f>IF(COUNT(E127,E131)=2,IF(E127&lt;E131,C127,C131),"")</f>
        <v>Argo Sepp, Johannes Neiland, Karla Purgats</v>
      </c>
      <c r="F146" s="458"/>
      <c r="G146" s="304">
        <v>7</v>
      </c>
      <c r="H146" s="301"/>
      <c r="I146" s="308"/>
      <c r="J146" s="583" t="str">
        <f>IF(COUNT(I141,I145)=2,IF(I141&lt;I145,G141,G145),"")</f>
        <v>Aarne Välja, Janek Tarto</v>
      </c>
      <c r="K146" s="584"/>
    </row>
    <row r="147" spans="1:11" x14ac:dyDescent="0.2">
      <c r="A147" s="269"/>
      <c r="B147" s="269"/>
      <c r="C147" s="269"/>
      <c r="D147" s="269"/>
      <c r="E147" s="301"/>
      <c r="F147" s="301"/>
      <c r="G147" s="301"/>
      <c r="H147" s="301"/>
      <c r="I147" s="308"/>
      <c r="J147" s="296" t="s">
        <v>190</v>
      </c>
    </row>
    <row r="148" spans="1:11" x14ac:dyDescent="0.2">
      <c r="A148" s="269"/>
      <c r="B148" s="269"/>
      <c r="C148" s="269"/>
      <c r="D148" s="269"/>
      <c r="E148" s="301"/>
      <c r="F148" s="308"/>
      <c r="G148" s="284" t="str">
        <f>IF(COUNT(G140,G142)=2,IF(G140&lt;G142,E140,E142),"")</f>
        <v>Aigi Orro, Kalle Orro</v>
      </c>
      <c r="H148" s="269"/>
      <c r="I148" s="308">
        <v>7</v>
      </c>
      <c r="J148" s="287"/>
    </row>
    <row r="149" spans="1:11" ht="13.5" thickBot="1" x14ac:dyDescent="0.25">
      <c r="A149" s="269"/>
      <c r="B149" s="269"/>
      <c r="C149" s="269"/>
      <c r="D149" s="269"/>
      <c r="E149" s="301"/>
      <c r="F149" s="308"/>
      <c r="G149" s="455"/>
      <c r="H149" s="336"/>
      <c r="I149" s="585"/>
      <c r="J149" s="284" t="str">
        <f>IF(COUNT(I148,I150)=2,IF(I148&gt;I150,G148,G150),"")</f>
        <v>Argo Sepp, Johannes Neiland, Karla Purgats</v>
      </c>
    </row>
    <row r="150" spans="1:11" x14ac:dyDescent="0.2">
      <c r="A150" s="269"/>
      <c r="B150" s="269"/>
      <c r="C150" s="269"/>
      <c r="D150" s="269"/>
      <c r="E150" s="301"/>
      <c r="F150" s="308"/>
      <c r="G150" s="456" t="str">
        <f>IF(COUNT(G144,G146)=2,IF(G144&lt;G146,E144,E146),"")</f>
        <v>Argo Sepp, Johannes Neiland, Karla Purgats</v>
      </c>
      <c r="H150" s="451"/>
      <c r="I150" s="304">
        <v>13</v>
      </c>
      <c r="J150" s="290" t="s">
        <v>201</v>
      </c>
      <c r="K150" s="333"/>
    </row>
    <row r="151" spans="1:11" x14ac:dyDescent="0.2">
      <c r="A151" s="269"/>
      <c r="B151" s="269"/>
      <c r="C151" s="269"/>
      <c r="D151" s="269"/>
      <c r="E151" s="269"/>
      <c r="F151" s="287"/>
      <c r="G151" s="269"/>
      <c r="H151" s="269"/>
      <c r="I151" s="269"/>
      <c r="J151" s="287"/>
      <c r="K151" s="334"/>
    </row>
    <row r="152" spans="1:11" ht="13.5" thickBot="1" x14ac:dyDescent="0.25">
      <c r="A152" s="269"/>
      <c r="B152" s="269"/>
      <c r="C152" s="269"/>
      <c r="D152" s="269"/>
      <c r="E152" s="269"/>
      <c r="F152" s="269"/>
      <c r="G152" s="287"/>
      <c r="H152" s="287"/>
      <c r="I152" s="269"/>
      <c r="J152" s="586" t="str">
        <f>IF(COUNT(I148,I150)=2,IF(I148&lt;I150,G148,G150),"")</f>
        <v>Aigi Orro, Kalle Orro</v>
      </c>
      <c r="K152" s="584"/>
    </row>
    <row r="153" spans="1:11" x14ac:dyDescent="0.2">
      <c r="A153" s="269"/>
      <c r="B153" s="269"/>
      <c r="C153" s="269"/>
      <c r="D153" s="269"/>
      <c r="E153" s="269"/>
      <c r="F153" s="269"/>
      <c r="G153" s="287"/>
      <c r="H153" s="287"/>
      <c r="I153" s="269"/>
      <c r="J153" s="296" t="s">
        <v>202</v>
      </c>
    </row>
    <row r="154" spans="1:11" hidden="1" x14ac:dyDescent="0.2"/>
    <row r="155" spans="1:11" hidden="1" x14ac:dyDescent="0.2">
      <c r="A155" s="331" t="s">
        <v>318</v>
      </c>
      <c r="B155" s="151"/>
      <c r="C155" s="151"/>
      <c r="D155" s="151"/>
      <c r="E155" s="151"/>
      <c r="F155" s="151"/>
      <c r="G155" s="151"/>
      <c r="H155" s="151"/>
      <c r="I155" s="151"/>
      <c r="J155" s="151"/>
    </row>
    <row r="156" spans="1:11" x14ac:dyDescent="0.2">
      <c r="A156" s="151"/>
      <c r="B156" s="151"/>
      <c r="C156" s="151"/>
      <c r="D156" s="151"/>
      <c r="E156" s="151"/>
      <c r="F156" s="151"/>
      <c r="G156" s="151"/>
      <c r="H156" s="151"/>
      <c r="I156" s="151"/>
      <c r="J156" s="151"/>
    </row>
    <row r="157" spans="1:11" x14ac:dyDescent="0.2">
      <c r="A157" s="151"/>
      <c r="B157" s="984"/>
      <c r="C157" s="456" t="str">
        <f>IF(COUNT(C102,C104)=2,IF(C102&lt;C104,B102,B104),"")</f>
        <v>-</v>
      </c>
      <c r="D157" s="151"/>
      <c r="E157" s="301">
        <f>IF(C157="-",0,IF(C159="-",13,""))</f>
        <v>0</v>
      </c>
      <c r="F157" s="269"/>
      <c r="G157" s="269"/>
      <c r="H157" s="269"/>
      <c r="I157" s="269"/>
      <c r="J157" s="269"/>
    </row>
    <row r="158" spans="1:11" x14ac:dyDescent="0.2">
      <c r="A158" s="151"/>
      <c r="B158" s="984"/>
      <c r="C158" s="449"/>
      <c r="D158" s="335"/>
      <c r="E158" s="303" t="str">
        <f>IF(COUNT(E157,E159)=2,IF(E157&gt;E159,C157,C159),"")</f>
        <v>Enn Tokman, Tarmo Bombe</v>
      </c>
      <c r="F158" s="269"/>
      <c r="G158" s="301">
        <v>8</v>
      </c>
      <c r="H158" s="269"/>
      <c r="I158" s="269"/>
      <c r="J158" s="269"/>
    </row>
    <row r="159" spans="1:11" x14ac:dyDescent="0.2">
      <c r="A159" s="151"/>
      <c r="B159" s="980" t="s">
        <v>10</v>
      </c>
      <c r="C159" s="456" t="str">
        <f>IF(COUNT(C106,C108)=2,IF(C106&lt;C108,B106,B108),"")</f>
        <v>Enn Tokman, Tarmo Bombe</v>
      </c>
      <c r="D159" s="587"/>
      <c r="E159" s="304">
        <f>IF(C159="-",0,IF(C157="-",13,""))</f>
        <v>13</v>
      </c>
      <c r="F159" s="336"/>
      <c r="G159" s="269"/>
      <c r="H159" s="269"/>
      <c r="I159" s="269"/>
      <c r="J159" s="269"/>
    </row>
    <row r="160" spans="1:11" x14ac:dyDescent="0.2">
      <c r="A160" s="151"/>
      <c r="B160" s="984"/>
      <c r="C160" s="292"/>
      <c r="D160" s="151"/>
      <c r="E160" s="269"/>
      <c r="F160" s="305"/>
      <c r="G160" s="303" t="str">
        <f>IF(COUNT(G158,G162)=2,IF(G158&gt;G162,E158,E162),"")</f>
        <v>Tõnu Kapper, Vladimir Ogneštšikov</v>
      </c>
      <c r="H160" s="269"/>
      <c r="I160" s="301">
        <v>13</v>
      </c>
      <c r="J160" s="269"/>
    </row>
    <row r="161" spans="1:11" x14ac:dyDescent="0.2">
      <c r="A161" s="151"/>
      <c r="B161" s="980" t="s">
        <v>11</v>
      </c>
      <c r="C161" s="456" t="str">
        <f>IF(COUNT(C110,C112)=2,IF(C110&lt;C112,B110,B112),"")</f>
        <v>Tõnu Kapper, Vladimir Ogneštšikov</v>
      </c>
      <c r="D161" s="151"/>
      <c r="E161" s="301">
        <f>IF(C161="-",0,IF(C163="-",13,""))</f>
        <v>13</v>
      </c>
      <c r="F161" s="305"/>
      <c r="G161" s="306"/>
      <c r="H161" s="336"/>
      <c r="I161" s="269"/>
      <c r="J161" s="269"/>
    </row>
    <row r="162" spans="1:11" x14ac:dyDescent="0.2">
      <c r="A162" s="151"/>
      <c r="B162" s="984"/>
      <c r="C162" s="449"/>
      <c r="D162" s="335"/>
      <c r="E162" s="303" t="str">
        <f>IF(COUNT(E161,E163)=2,IF(E161&gt;E163,C161,C163),"")</f>
        <v>Tõnu Kapper, Vladimir Ogneštšikov</v>
      </c>
      <c r="F162" s="451"/>
      <c r="G162" s="304">
        <v>13</v>
      </c>
      <c r="H162" s="305"/>
      <c r="I162" s="269"/>
      <c r="J162" s="269"/>
    </row>
    <row r="163" spans="1:11" x14ac:dyDescent="0.2">
      <c r="A163" s="151"/>
      <c r="B163" s="984"/>
      <c r="C163" s="456" t="str">
        <f>IF(COUNT(C114,C116)=2,IF(C114&lt;C116,B114,B116),"")</f>
        <v>-</v>
      </c>
      <c r="D163" s="587"/>
      <c r="E163" s="304">
        <f>IF(C163="-",0,IF(C161="-",13,""))</f>
        <v>0</v>
      </c>
      <c r="F163" s="269"/>
      <c r="G163" s="287"/>
      <c r="H163" s="305"/>
      <c r="I163" s="269"/>
      <c r="J163" s="269"/>
    </row>
    <row r="164" spans="1:11" ht="13.5" thickBot="1" x14ac:dyDescent="0.25">
      <c r="A164" s="151"/>
      <c r="B164" s="984"/>
      <c r="C164" s="292"/>
      <c r="D164" s="151"/>
      <c r="E164" s="269"/>
      <c r="F164" s="269"/>
      <c r="G164" s="287"/>
      <c r="H164" s="305"/>
      <c r="I164" s="269"/>
      <c r="J164" s="284" t="str">
        <f>IF(COUNT(I160,I168)=2,IF(I160&gt;I168,G160,G168),"")</f>
        <v>Tõnu Kapper, Vladimir Ogneštšikov</v>
      </c>
    </row>
    <row r="165" spans="1:11" x14ac:dyDescent="0.2">
      <c r="A165" s="151"/>
      <c r="B165" s="984"/>
      <c r="C165" s="456" t="str">
        <f>IF(COUNT(C118,C120)=2,IF(C118&lt;C120,B118,B120),"")</f>
        <v>-</v>
      </c>
      <c r="D165" s="151"/>
      <c r="E165" s="301">
        <f>IF(C165="-",0,IF(C167="-",13,""))</f>
        <v>0</v>
      </c>
      <c r="F165" s="269"/>
      <c r="G165" s="269"/>
      <c r="H165" s="305"/>
      <c r="I165" s="307"/>
      <c r="J165" s="290" t="s">
        <v>207</v>
      </c>
      <c r="K165" s="333"/>
    </row>
    <row r="166" spans="1:11" x14ac:dyDescent="0.2">
      <c r="A166" s="151"/>
      <c r="B166" s="984"/>
      <c r="C166" s="449"/>
      <c r="D166" s="335"/>
      <c r="E166" s="303" t="str">
        <f>IF(COUNT(E165,E167)=2,IF(E165&gt;E167,C165,C167),"")</f>
        <v>Jaan Saar, Liidia Põllu</v>
      </c>
      <c r="F166" s="269"/>
      <c r="G166" s="301">
        <v>13</v>
      </c>
      <c r="H166" s="305"/>
      <c r="I166" s="287"/>
      <c r="J166" s="287"/>
      <c r="K166" s="334"/>
    </row>
    <row r="167" spans="1:11" x14ac:dyDescent="0.2">
      <c r="A167" s="151"/>
      <c r="B167" s="980" t="s">
        <v>12</v>
      </c>
      <c r="C167" s="456" t="str">
        <f>IF(COUNT(C122,C124)=2,IF(C122&lt;C124,B122,B124),"")</f>
        <v>Jaan Saar, Liidia Põllu</v>
      </c>
      <c r="D167" s="587"/>
      <c r="E167" s="304">
        <f>IF(C167="-",0,IF(C165="-",13,""))</f>
        <v>13</v>
      </c>
      <c r="F167" s="336"/>
      <c r="G167" s="269"/>
      <c r="H167" s="305"/>
      <c r="I167" s="287"/>
      <c r="J167" s="287"/>
      <c r="K167" s="334"/>
    </row>
    <row r="168" spans="1:11" x14ac:dyDescent="0.2">
      <c r="A168" s="151"/>
      <c r="B168" s="984"/>
      <c r="C168" s="292"/>
      <c r="D168" s="151"/>
      <c r="E168" s="269"/>
      <c r="F168" s="305"/>
      <c r="G168" s="303" t="str">
        <f>IF(COUNT(G166,G170)=2,IF(G166&gt;G170,E166,E170),"")</f>
        <v>Jaan Saar, Liidia Põllu</v>
      </c>
      <c r="H168" s="451"/>
      <c r="I168" s="304">
        <v>6</v>
      </c>
      <c r="J168" s="287"/>
      <c r="K168" s="334"/>
    </row>
    <row r="169" spans="1:11" ht="13.5" thickBot="1" x14ac:dyDescent="0.25">
      <c r="A169" s="151"/>
      <c r="B169" s="980" t="s">
        <v>13</v>
      </c>
      <c r="C169" s="456" t="str">
        <f>IF(COUNT(C126,C128)=2,IF(C126&lt;C128,B126,B128),"")</f>
        <v>Henri Mitt, Meelis Luud, Melika Lehtla</v>
      </c>
      <c r="D169" s="151"/>
      <c r="E169" s="301">
        <f>IF(C169="-",0,IF(C171="-",13,""))</f>
        <v>13</v>
      </c>
      <c r="F169" s="305"/>
      <c r="G169" s="306"/>
      <c r="H169" s="287"/>
      <c r="I169" s="287"/>
      <c r="J169" s="583" t="str">
        <f>IF(COUNT(I160,I168)=2,IF(I160&lt;I168,G160,G168),"")</f>
        <v>Jaan Saar, Liidia Põllu</v>
      </c>
      <c r="K169" s="584"/>
    </row>
    <row r="170" spans="1:11" x14ac:dyDescent="0.2">
      <c r="A170" s="151"/>
      <c r="B170" s="984"/>
      <c r="C170" s="449"/>
      <c r="D170" s="335"/>
      <c r="E170" s="303" t="str">
        <f>IF(COUNT(E169,E171)=2,IF(E169&gt;E171,C169,C171),"")</f>
        <v>Henri Mitt, Meelis Luud, Melika Lehtla</v>
      </c>
      <c r="F170" s="451"/>
      <c r="G170" s="304">
        <v>10</v>
      </c>
      <c r="H170" s="269"/>
      <c r="I170" s="287"/>
      <c r="J170" s="296" t="s">
        <v>209</v>
      </c>
    </row>
    <row r="171" spans="1:11" x14ac:dyDescent="0.2">
      <c r="A171" s="151"/>
      <c r="B171" s="984"/>
      <c r="C171" s="456" t="str">
        <f>IF(COUNT(C130,C132)=2,IF(C130&lt;C132,B130,B132),"")</f>
        <v>-</v>
      </c>
      <c r="D171" s="587"/>
      <c r="E171" s="304">
        <f>IF(C171="-",0,IF(C169="-",13,""))</f>
        <v>0</v>
      </c>
      <c r="F171" s="269"/>
      <c r="G171" s="287"/>
      <c r="H171" s="287"/>
      <c r="I171" s="287"/>
      <c r="J171" s="269"/>
    </row>
    <row r="172" spans="1:11" x14ac:dyDescent="0.2">
      <c r="A172" s="151"/>
      <c r="B172" s="151"/>
      <c r="C172" s="151"/>
      <c r="D172" s="151"/>
      <c r="E172" s="269"/>
      <c r="F172" s="269"/>
      <c r="G172" s="284" t="str">
        <f>IF(COUNT(G158,G162)=2,IF(G158&lt;G162,E158,E162),"")</f>
        <v>Enn Tokman, Tarmo Bombe</v>
      </c>
      <c r="H172" s="269"/>
      <c r="I172" s="308">
        <v>7</v>
      </c>
      <c r="J172" s="269"/>
    </row>
    <row r="173" spans="1:11" ht="13.5" thickBot="1" x14ac:dyDescent="0.25">
      <c r="A173" s="151"/>
      <c r="B173" s="151"/>
      <c r="C173" s="151"/>
      <c r="D173" s="151"/>
      <c r="E173" s="269"/>
      <c r="F173" s="269"/>
      <c r="G173" s="455"/>
      <c r="H173" s="336"/>
      <c r="I173" s="585"/>
      <c r="J173" s="284" t="str">
        <f>IF(COUNT(I172,I174)=2,IF(I172&gt;I174,G172,G174),"")</f>
        <v>Henri Mitt, Meelis Luud, Melika Lehtla</v>
      </c>
    </row>
    <row r="174" spans="1:11" x14ac:dyDescent="0.2">
      <c r="A174" s="151"/>
      <c r="B174" s="151"/>
      <c r="C174" s="151"/>
      <c r="D174" s="151"/>
      <c r="E174" s="269"/>
      <c r="F174" s="269"/>
      <c r="G174" s="456" t="str">
        <f>IF(COUNT(G166,G170)=2,IF(G166&lt;G170,E166,E170),"")</f>
        <v>Henri Mitt, Meelis Luud, Melika Lehtla</v>
      </c>
      <c r="H174" s="451"/>
      <c r="I174" s="304">
        <v>13</v>
      </c>
      <c r="J174" s="290" t="s">
        <v>210</v>
      </c>
      <c r="K174" s="333"/>
    </row>
    <row r="175" spans="1:11" x14ac:dyDescent="0.2">
      <c r="A175" s="151"/>
      <c r="B175" s="151"/>
      <c r="C175" s="151"/>
      <c r="D175" s="269"/>
      <c r="E175" s="269"/>
      <c r="F175" s="269"/>
      <c r="G175" s="269"/>
      <c r="H175" s="269"/>
      <c r="I175" s="269"/>
      <c r="J175" s="287"/>
      <c r="K175" s="334"/>
    </row>
    <row r="176" spans="1:11" ht="13.5" thickBot="1" x14ac:dyDescent="0.25">
      <c r="A176" s="151"/>
      <c r="B176" s="151"/>
      <c r="C176" s="151"/>
      <c r="D176" s="269"/>
      <c r="E176" s="269"/>
      <c r="F176" s="269"/>
      <c r="G176" s="287"/>
      <c r="H176" s="287"/>
      <c r="I176" s="269"/>
      <c r="J176" s="583" t="str">
        <f>IF(COUNT(I172,I174)=2,IF(I172&lt;I174,G172,G174),"")</f>
        <v>Enn Tokman, Tarmo Bombe</v>
      </c>
      <c r="K176" s="584"/>
    </row>
    <row r="177" spans="1:11" x14ac:dyDescent="0.2">
      <c r="A177" s="151"/>
      <c r="B177" s="151"/>
      <c r="C177" s="151"/>
      <c r="D177" s="269"/>
      <c r="E177" s="269"/>
      <c r="F177" s="269"/>
      <c r="G177" s="269"/>
      <c r="H177" s="269"/>
      <c r="I177" s="269"/>
      <c r="J177" s="268" t="s">
        <v>211</v>
      </c>
    </row>
    <row r="178" spans="1:11" hidden="1" x14ac:dyDescent="0.2">
      <c r="A178" s="151"/>
      <c r="B178" s="151"/>
      <c r="C178" s="151"/>
      <c r="D178" s="269"/>
      <c r="E178" s="269"/>
      <c r="F178" s="269"/>
      <c r="G178" s="269"/>
      <c r="H178" s="269"/>
      <c r="I178" s="269"/>
      <c r="J178" s="269"/>
    </row>
    <row r="179" spans="1:11" hidden="1" x14ac:dyDescent="0.2">
      <c r="A179" s="151"/>
      <c r="B179" s="151"/>
      <c r="C179" s="151"/>
      <c r="D179" s="269"/>
      <c r="E179" s="456" t="str">
        <f>IF(COUNT(E157,E159)=2,IF(E157&lt;E159,C157,C159),"")</f>
        <v>-</v>
      </c>
      <c r="F179" s="269"/>
      <c r="G179" s="301">
        <f>IF(E179="-",0,IF(E181="-",13,""))</f>
        <v>0</v>
      </c>
      <c r="H179" s="301"/>
      <c r="I179" s="301"/>
      <c r="J179" s="269"/>
    </row>
    <row r="180" spans="1:11" hidden="1" x14ac:dyDescent="0.2">
      <c r="A180" s="151"/>
      <c r="B180" s="151"/>
      <c r="C180" s="151"/>
      <c r="D180" s="269"/>
      <c r="E180" s="457"/>
      <c r="F180" s="337"/>
      <c r="G180" s="303" t="str">
        <f>IF(COUNT(G179,G181)=2,IF(G179&gt;G181,E179,E181),"")</f>
        <v>-</v>
      </c>
      <c r="H180" s="269"/>
      <c r="I180" s="301">
        <f>IF(G180="-",0,IF(G184="-",13,""))</f>
        <v>0</v>
      </c>
      <c r="J180" s="269"/>
    </row>
    <row r="181" spans="1:11" hidden="1" x14ac:dyDescent="0.2">
      <c r="A181" s="151"/>
      <c r="B181" s="151"/>
      <c r="C181" s="151"/>
      <c r="D181" s="269"/>
      <c r="E181" s="456" t="str">
        <f>IF(COUNT(E161,E163)=2,IF(E161&lt;E163,C161,C163),"")</f>
        <v>-</v>
      </c>
      <c r="F181" s="458"/>
      <c r="G181" s="304">
        <f>IF(E181="-",0,IF(E179="-",13,""))</f>
        <v>0</v>
      </c>
      <c r="H181" s="337"/>
      <c r="I181" s="269"/>
      <c r="J181" s="269"/>
    </row>
    <row r="182" spans="1:11" hidden="1" x14ac:dyDescent="0.2">
      <c r="A182" s="151"/>
      <c r="B182" s="151"/>
      <c r="C182" s="151"/>
      <c r="D182" s="269"/>
      <c r="E182" s="301"/>
      <c r="F182" s="301"/>
      <c r="G182" s="308"/>
      <c r="H182" s="309"/>
      <c r="I182" s="338" t="str">
        <f>IF(COUNT(I180,I184)=2,IF(I180&gt;I184,G180,G184),"")</f>
        <v>-</v>
      </c>
      <c r="J182" s="284" t="str">
        <f>IF(COUNT(I180,I184)=2,IF(I180&gt;I184,G180,G184),"")</f>
        <v>-</v>
      </c>
    </row>
    <row r="183" spans="1:11" hidden="1" x14ac:dyDescent="0.2">
      <c r="A183" s="151"/>
      <c r="B183" s="151"/>
      <c r="C183" s="151"/>
      <c r="D183" s="269"/>
      <c r="E183" s="456" t="str">
        <f>IF(COUNT(E165,E167)=2,IF(E165&lt;E167,C165,C167),"")</f>
        <v>-</v>
      </c>
      <c r="F183" s="301"/>
      <c r="G183" s="301">
        <f>IF(E183="-",0,IF(E185="-",13,""))</f>
        <v>0</v>
      </c>
      <c r="H183" s="309"/>
      <c r="I183" s="307"/>
      <c r="J183" s="290"/>
      <c r="K183" s="333"/>
    </row>
    <row r="184" spans="1:11" hidden="1" x14ac:dyDescent="0.2">
      <c r="A184" s="151"/>
      <c r="B184" s="151"/>
      <c r="C184" s="151"/>
      <c r="D184" s="269"/>
      <c r="E184" s="457"/>
      <c r="F184" s="337"/>
      <c r="G184" s="303" t="str">
        <f>IF(COUNT(G183,G185)=2,IF(G183&gt;G185,E183,E185),"")</f>
        <v>-</v>
      </c>
      <c r="H184" s="451"/>
      <c r="I184" s="304">
        <f>IF(G184="-",0,IF(G180="-",13,""))</f>
        <v>0</v>
      </c>
      <c r="J184" s="287"/>
      <c r="K184" s="334"/>
    </row>
    <row r="185" spans="1:11" ht="13.5" hidden="1" thickBot="1" x14ac:dyDescent="0.25">
      <c r="A185" s="151"/>
      <c r="B185" s="151"/>
      <c r="C185" s="151"/>
      <c r="D185" s="269"/>
      <c r="E185" s="456" t="str">
        <f>IF(COUNT(E169,E171)=2,IF(E169&lt;E171,C169,C171),"")</f>
        <v>-</v>
      </c>
      <c r="F185" s="458"/>
      <c r="G185" s="304">
        <f>IF(E185="-",0,IF(E183="-",13,""))</f>
        <v>0</v>
      </c>
      <c r="H185" s="301"/>
      <c r="I185" s="308"/>
      <c r="J185" s="583" t="str">
        <f>IF(COUNT(I180,I184)=2,IF(I180&lt;I184,G180,G184),"")</f>
        <v>-</v>
      </c>
      <c r="K185" s="584"/>
    </row>
    <row r="186" spans="1:11" hidden="1" x14ac:dyDescent="0.2">
      <c r="A186" s="151"/>
      <c r="B186" s="151"/>
      <c r="C186" s="151"/>
      <c r="D186" s="269"/>
      <c r="E186" s="301"/>
      <c r="F186" s="301"/>
      <c r="G186" s="301"/>
      <c r="H186" s="301"/>
      <c r="I186" s="308"/>
      <c r="J186" s="268"/>
    </row>
    <row r="187" spans="1:11" hidden="1" x14ac:dyDescent="0.2">
      <c r="A187" s="151"/>
      <c r="B187" s="151"/>
      <c r="C187" s="151"/>
      <c r="D187" s="269"/>
      <c r="E187" s="301"/>
      <c r="F187" s="308"/>
      <c r="G187" s="284" t="str">
        <f>IF(COUNT(G179,G181)=2,IF(G179&lt;G181,E179,E181),"")</f>
        <v>-</v>
      </c>
      <c r="H187" s="269"/>
      <c r="I187" s="308">
        <f>IF(G187="-",0,IF(G189="-",13,""))</f>
        <v>0</v>
      </c>
      <c r="J187" s="287"/>
    </row>
    <row r="188" spans="1:11" ht="13.5" hidden="1" thickBot="1" x14ac:dyDescent="0.25">
      <c r="A188" s="151"/>
      <c r="B188" s="151"/>
      <c r="C188" s="151"/>
      <c r="D188" s="269"/>
      <c r="E188" s="301"/>
      <c r="F188" s="308"/>
      <c r="G188" s="455"/>
      <c r="H188" s="336"/>
      <c r="I188" s="585" t="str">
        <f>IF(COUNT(I187,I189)=2,IF(I187&gt;I189,G187,G189),"")</f>
        <v>-</v>
      </c>
      <c r="J188" s="284" t="str">
        <f>IF(COUNT(I187,I189)=2,IF(I187&gt;I189,G187,G189),"")</f>
        <v>-</v>
      </c>
    </row>
    <row r="189" spans="1:11" hidden="1" x14ac:dyDescent="0.2">
      <c r="A189" s="151"/>
      <c r="B189" s="151"/>
      <c r="C189" s="151"/>
      <c r="D189" s="269"/>
      <c r="E189" s="301"/>
      <c r="F189" s="308"/>
      <c r="G189" s="456" t="str">
        <f>IF(COUNT(G183,G185)=2,IF(G183&lt;G185,E183,E185),"")</f>
        <v>-</v>
      </c>
      <c r="H189" s="451"/>
      <c r="I189" s="304">
        <f>IF(G189="-",0,IF(G187="-",13,""))</f>
        <v>0</v>
      </c>
      <c r="J189" s="290"/>
      <c r="K189" s="333"/>
    </row>
    <row r="190" spans="1:11" hidden="1" x14ac:dyDescent="0.2">
      <c r="A190" s="151"/>
      <c r="B190" s="151"/>
      <c r="C190" s="151"/>
      <c r="D190" s="269"/>
      <c r="E190" s="269"/>
      <c r="F190" s="287"/>
      <c r="G190" s="269"/>
      <c r="H190" s="269"/>
      <c r="I190" s="269"/>
      <c r="J190" s="287"/>
      <c r="K190" s="334"/>
    </row>
    <row r="191" spans="1:11" ht="13.5" hidden="1" thickBot="1" x14ac:dyDescent="0.25">
      <c r="A191" s="151"/>
      <c r="B191" s="151"/>
      <c r="C191" s="151"/>
      <c r="D191" s="269"/>
      <c r="E191" s="269"/>
      <c r="F191" s="269"/>
      <c r="G191" s="287"/>
      <c r="H191" s="287"/>
      <c r="I191" s="269"/>
      <c r="J191" s="586" t="str">
        <f>IF(COUNT(I187,I189)=2,IF(I187&lt;I189,G187,G189),"")</f>
        <v>-</v>
      </c>
      <c r="K191" s="584"/>
    </row>
    <row r="192" spans="1:11" hidden="1" x14ac:dyDescent="0.2">
      <c r="A192" s="151"/>
      <c r="B192" s="151"/>
      <c r="C192" s="151"/>
      <c r="D192" s="269"/>
      <c r="E192" s="269"/>
      <c r="F192" s="269"/>
      <c r="G192" s="287"/>
      <c r="H192" s="287"/>
      <c r="I192" s="269"/>
      <c r="J192" s="268"/>
    </row>
    <row r="193" spans="1:11" x14ac:dyDescent="0.2">
      <c r="A193" s="151"/>
      <c r="B193" s="151"/>
      <c r="C193" s="151"/>
      <c r="D193" s="151"/>
      <c r="E193" s="151"/>
      <c r="F193" s="151"/>
      <c r="G193" s="151"/>
      <c r="H193" s="151"/>
      <c r="I193" s="151"/>
      <c r="J193" s="151"/>
    </row>
    <row r="194" spans="1:11" x14ac:dyDescent="0.2">
      <c r="A194" s="331" t="s">
        <v>319</v>
      </c>
      <c r="B194" s="151"/>
      <c r="C194" s="151"/>
      <c r="D194" s="151"/>
      <c r="E194" s="151"/>
      <c r="F194" s="151"/>
      <c r="G194" s="151"/>
      <c r="H194" s="151"/>
      <c r="I194" s="151"/>
      <c r="J194" s="151"/>
    </row>
    <row r="195" spans="1:11" x14ac:dyDescent="0.2">
      <c r="A195" s="151"/>
      <c r="B195" s="151"/>
      <c r="C195" s="151"/>
      <c r="D195" s="151"/>
      <c r="E195" s="151"/>
      <c r="F195" s="151"/>
      <c r="G195" s="151"/>
      <c r="H195" s="151"/>
      <c r="I195" s="151"/>
      <c r="J195" s="151"/>
    </row>
    <row r="196" spans="1:11" x14ac:dyDescent="0.2">
      <c r="B196" s="332" t="s">
        <v>203</v>
      </c>
      <c r="C196" s="582" t="str">
        <f>IF(B196="-","-",IFERROR(INDEX(B$1:B$100,MATCH(B196,I$1:I$100,0)),""))</f>
        <v>Jaan Sepp, Oskar Sepp</v>
      </c>
      <c r="D196" s="151"/>
      <c r="E196" s="301">
        <f>IF(C196="-",0,IF(C198="-",13,""))</f>
        <v>13</v>
      </c>
      <c r="F196" s="269"/>
      <c r="G196" s="269"/>
      <c r="H196" s="269"/>
      <c r="I196" s="269"/>
      <c r="J196" s="269"/>
    </row>
    <row r="197" spans="1:11" x14ac:dyDescent="0.2">
      <c r="B197" s="332"/>
      <c r="C197" s="449"/>
      <c r="D197" s="335"/>
      <c r="E197" s="303" t="str">
        <f>IF(COUNT(E196,E198)=2,IF(E196&gt;E198,C196,C198),"")</f>
        <v>Jaan Sepp, Oskar Sepp</v>
      </c>
      <c r="F197" s="269"/>
      <c r="G197" s="301">
        <v>13</v>
      </c>
      <c r="H197" s="269"/>
      <c r="I197" s="269"/>
      <c r="J197" s="269"/>
    </row>
    <row r="198" spans="1:11" x14ac:dyDescent="0.2">
      <c r="B198" s="332" t="s">
        <v>205</v>
      </c>
      <c r="C198" s="582" t="str">
        <f>IF(B198="-","-",IFERROR(INDEX(B$1:B$100,MATCH(B198,I$1:I$100,0)),""))</f>
        <v>-</v>
      </c>
      <c r="D198" s="587"/>
      <c r="E198" s="304">
        <f>IF(C198="-",0,IF(C196="-",13,""))</f>
        <v>0</v>
      </c>
      <c r="F198" s="336"/>
      <c r="G198" s="269"/>
      <c r="H198" s="269"/>
      <c r="I198" s="269"/>
      <c r="J198" s="269"/>
    </row>
    <row r="199" spans="1:11" x14ac:dyDescent="0.2">
      <c r="B199" s="332"/>
      <c r="C199" s="292"/>
      <c r="D199" s="151"/>
      <c r="E199" s="269"/>
      <c r="F199" s="305"/>
      <c r="G199" s="303" t="str">
        <f>IF(COUNT(G197,G201)=2,IF(G197&gt;G201,E197,E201),"")</f>
        <v>Jaan Sepp, Oskar Sepp</v>
      </c>
      <c r="H199" s="269"/>
      <c r="I199" s="301">
        <v>13</v>
      </c>
      <c r="J199" s="269"/>
    </row>
    <row r="200" spans="1:11" x14ac:dyDescent="0.2">
      <c r="B200" s="332" t="s">
        <v>227</v>
      </c>
      <c r="C200" s="582" t="str">
        <f>IF(B200="-","-",IFERROR(INDEX(B$1:B$100,MATCH(B200,I$1:I$100,0)),""))</f>
        <v>Denis Skrabutenas, Lydia Skrabutenas, Veronika Pirk</v>
      </c>
      <c r="D200" s="151"/>
      <c r="E200" s="301">
        <v>13</v>
      </c>
      <c r="F200" s="305"/>
      <c r="G200" s="306"/>
      <c r="H200" s="336"/>
      <c r="I200" s="269"/>
      <c r="J200" s="269"/>
    </row>
    <row r="201" spans="1:11" x14ac:dyDescent="0.2">
      <c r="B201" s="332"/>
      <c r="C201" s="449"/>
      <c r="D201" s="985" t="s">
        <v>23</v>
      </c>
      <c r="E201" s="1037" t="str">
        <f>IF(COUNT(E200,E202)=2,IF(E200&gt;E202,C200,C202),"")</f>
        <v>Denis Skrabutenas, Lydia Skrabutenas, Veronika Pirk</v>
      </c>
      <c r="F201" s="451"/>
      <c r="G201" s="304">
        <v>1</v>
      </c>
      <c r="H201" s="305"/>
      <c r="I201" s="269"/>
      <c r="J201" s="269"/>
    </row>
    <row r="202" spans="1:11" x14ac:dyDescent="0.2">
      <c r="B202" s="332" t="s">
        <v>208</v>
      </c>
      <c r="C202" s="582" t="str">
        <f>IF(B202="-","-",IFERROR(INDEX(B$1:B$100,MATCH(B202,I$1:I$100,0)),""))</f>
        <v>Sander Skrabutenas, Vladimir Mihhailov</v>
      </c>
      <c r="D202" s="587"/>
      <c r="E202" s="304">
        <v>9</v>
      </c>
      <c r="F202" s="269"/>
      <c r="G202" s="287"/>
      <c r="H202" s="305"/>
      <c r="I202" s="269"/>
      <c r="J202" s="269"/>
    </row>
    <row r="203" spans="1:11" ht="13.5" thickBot="1" x14ac:dyDescent="0.25">
      <c r="B203" s="332"/>
      <c r="C203" s="292"/>
      <c r="D203" s="151"/>
      <c r="E203" s="269"/>
      <c r="F203" s="269"/>
      <c r="G203" s="287"/>
      <c r="H203" s="305"/>
      <c r="I203" s="269"/>
      <c r="J203" s="284" t="str">
        <f>IF(COUNT(I199,I207)=2,IF(I199&gt;I207,G199,G207),"")</f>
        <v>Jaan Sepp, Oskar Sepp</v>
      </c>
    </row>
    <row r="204" spans="1:11" x14ac:dyDescent="0.2">
      <c r="B204" s="332" t="s">
        <v>206</v>
      </c>
      <c r="C204" s="582" t="str">
        <f>IF(B204="-","-",IFERROR(INDEX(B$1:B$100,MATCH(B204,I$1:I$100,0)),""))</f>
        <v>Alar Peek, Vello Vasser</v>
      </c>
      <c r="D204" s="151"/>
      <c r="E204" s="301">
        <v>13</v>
      </c>
      <c r="F204" s="269"/>
      <c r="G204" s="269"/>
      <c r="H204" s="305"/>
      <c r="I204" s="307"/>
      <c r="J204" s="290" t="s">
        <v>212</v>
      </c>
      <c r="K204" s="333"/>
    </row>
    <row r="205" spans="1:11" x14ac:dyDescent="0.2">
      <c r="B205" s="332"/>
      <c r="C205" s="449"/>
      <c r="D205" s="985" t="s">
        <v>24</v>
      </c>
      <c r="E205" s="303" t="str">
        <f>IF(COUNT(E204,E206)=2,IF(E204&gt;E206,C204,C206),"")</f>
        <v>Alar Peek, Vello Vasser</v>
      </c>
      <c r="F205" s="269"/>
      <c r="G205" s="301">
        <v>13</v>
      </c>
      <c r="H205" s="305"/>
      <c r="I205" s="287"/>
      <c r="J205" s="287"/>
      <c r="K205" s="334"/>
    </row>
    <row r="206" spans="1:11" x14ac:dyDescent="0.2">
      <c r="B206" s="332" t="s">
        <v>228</v>
      </c>
      <c r="C206" s="582" t="str">
        <f>IF(B206="-","-",IFERROR(INDEX(B$1:B$100,MATCH(B206,I$1:I$100,0)),""))</f>
        <v>Illar Tõnurist, Klavdia Piik</v>
      </c>
      <c r="D206" s="587"/>
      <c r="E206" s="304">
        <v>2</v>
      </c>
      <c r="F206" s="336"/>
      <c r="G206" s="269"/>
      <c r="H206" s="305"/>
      <c r="I206" s="287"/>
      <c r="J206" s="287"/>
      <c r="K206" s="334"/>
    </row>
    <row r="207" spans="1:11" x14ac:dyDescent="0.2">
      <c r="B207" s="332"/>
      <c r="C207" s="292"/>
      <c r="D207" s="151"/>
      <c r="E207" s="269"/>
      <c r="F207" s="305"/>
      <c r="G207" s="303" t="str">
        <f>IF(COUNT(G205,G209)=2,IF(G205&gt;G209,E205,E209),"")</f>
        <v>Alar Peek, Vello Vasser</v>
      </c>
      <c r="H207" s="451"/>
      <c r="I207" s="304">
        <v>11</v>
      </c>
      <c r="J207" s="287"/>
      <c r="K207" s="334"/>
    </row>
    <row r="208" spans="1:11" ht="13.5" thickBot="1" x14ac:dyDescent="0.25">
      <c r="B208" s="332" t="s">
        <v>205</v>
      </c>
      <c r="C208" s="582" t="str">
        <f>IF(B208="-","-",IFERROR(INDEX(B$1:B$100,MATCH(B208,I$1:I$100,0)),""))</f>
        <v>-</v>
      </c>
      <c r="D208" s="151"/>
      <c r="E208" s="301">
        <f>IF(C208="-",0,IF(C210="-",13,""))</f>
        <v>0</v>
      </c>
      <c r="F208" s="305"/>
      <c r="G208" s="306"/>
      <c r="H208" s="287"/>
      <c r="I208" s="287"/>
      <c r="J208" s="583" t="str">
        <f>IF(COUNT(I199,I207)=2,IF(I199&lt;I207,G199,G207),"")</f>
        <v>Alar Peek, Vello Vasser</v>
      </c>
      <c r="K208" s="584"/>
    </row>
    <row r="209" spans="2:11" x14ac:dyDescent="0.2">
      <c r="B209" s="332"/>
      <c r="C209" s="449"/>
      <c r="D209" s="335"/>
      <c r="E209" s="303" t="str">
        <f>IF(COUNT(E208,E210)=2,IF(E208&gt;E210,C208,C210),"")</f>
        <v>Ljudmila Varendi, Viktor Švarõgin</v>
      </c>
      <c r="F209" s="451"/>
      <c r="G209" s="304">
        <v>12</v>
      </c>
      <c r="H209" s="269"/>
      <c r="I209" s="287"/>
      <c r="J209" s="296" t="s">
        <v>213</v>
      </c>
    </row>
    <row r="210" spans="2:11" x14ac:dyDescent="0.2">
      <c r="B210" s="332" t="s">
        <v>204</v>
      </c>
      <c r="C210" s="582" t="str">
        <f>IF(B210="-","-",IFERROR(INDEX(B$1:B$100,MATCH(B210,I$1:I$100,0)),""))</f>
        <v>Ljudmila Varendi, Viktor Švarõgin</v>
      </c>
      <c r="D210" s="587"/>
      <c r="E210" s="304">
        <f>IF(C210="-",0,IF(C208="-",13,""))</f>
        <v>13</v>
      </c>
      <c r="F210" s="269"/>
      <c r="G210" s="287"/>
      <c r="H210" s="287"/>
      <c r="I210" s="287"/>
      <c r="J210" s="269"/>
    </row>
    <row r="211" spans="2:11" x14ac:dyDescent="0.2">
      <c r="C211" s="151"/>
      <c r="D211" s="151"/>
      <c r="E211" s="269"/>
      <c r="F211" s="269"/>
      <c r="G211" s="284" t="str">
        <f>IF(COUNT(G197,G201)=2,IF(G197&lt;G201,E197,E201),"")</f>
        <v>Denis Skrabutenas, Lydia Skrabutenas, Veronika Pirk</v>
      </c>
      <c r="H211" s="269"/>
      <c r="I211" s="308">
        <v>3</v>
      </c>
      <c r="J211" s="269"/>
    </row>
    <row r="212" spans="2:11" ht="13.5" thickBot="1" x14ac:dyDescent="0.25">
      <c r="C212" s="151"/>
      <c r="D212" s="151"/>
      <c r="E212" s="269"/>
      <c r="F212" s="269"/>
      <c r="G212" s="455"/>
      <c r="H212" s="336"/>
      <c r="I212" s="585"/>
      <c r="J212" s="284" t="str">
        <f>IF(COUNT(I211,I213)=2,IF(I211&gt;I213,G211,G213),"")</f>
        <v>Ljudmila Varendi, Viktor Švarõgin</v>
      </c>
    </row>
    <row r="213" spans="2:11" x14ac:dyDescent="0.2">
      <c r="C213" s="151"/>
      <c r="D213" s="151"/>
      <c r="E213" s="269"/>
      <c r="F213" s="269"/>
      <c r="G213" s="456" t="str">
        <f>IF(COUNT(G205,G209)=2,IF(G205&lt;G209,E205,E209),"")</f>
        <v>Ljudmila Varendi, Viktor Švarõgin</v>
      </c>
      <c r="H213" s="451"/>
      <c r="I213" s="304">
        <v>13</v>
      </c>
      <c r="J213" s="290" t="s">
        <v>216</v>
      </c>
      <c r="K213" s="333"/>
    </row>
    <row r="214" spans="2:11" x14ac:dyDescent="0.2">
      <c r="C214" s="151"/>
      <c r="D214" s="269"/>
      <c r="E214" s="269"/>
      <c r="F214" s="269"/>
      <c r="G214" s="269"/>
      <c r="H214" s="269"/>
      <c r="I214" s="269"/>
      <c r="J214" s="287"/>
      <c r="K214" s="334"/>
    </row>
    <row r="215" spans="2:11" ht="13.5" thickBot="1" x14ac:dyDescent="0.25">
      <c r="C215" s="151"/>
      <c r="D215" s="269"/>
      <c r="E215" s="269"/>
      <c r="F215" s="269"/>
      <c r="G215" s="287"/>
      <c r="H215" s="287"/>
      <c r="I215" s="269"/>
      <c r="J215" s="583" t="str">
        <f>IF(COUNT(I211,I213)=2,IF(I211&lt;I213,G211,G213),"")</f>
        <v>Denis Skrabutenas, Lydia Skrabutenas, Veronika Pirk</v>
      </c>
      <c r="K215" s="584"/>
    </row>
    <row r="216" spans="2:11" x14ac:dyDescent="0.2">
      <c r="C216" s="151"/>
      <c r="D216" s="269"/>
      <c r="E216" s="269"/>
      <c r="F216" s="269"/>
      <c r="G216" s="269"/>
      <c r="H216" s="269"/>
      <c r="I216" s="269"/>
      <c r="J216" s="268" t="s">
        <v>217</v>
      </c>
    </row>
    <row r="217" spans="2:11" x14ac:dyDescent="0.2">
      <c r="C217" s="151"/>
      <c r="D217" s="269"/>
      <c r="E217" s="269"/>
      <c r="F217" s="269"/>
      <c r="G217" s="269"/>
      <c r="H217" s="269"/>
      <c r="I217" s="269"/>
      <c r="J217" s="269"/>
    </row>
    <row r="218" spans="2:11" x14ac:dyDescent="0.2">
      <c r="C218" s="151"/>
      <c r="D218" s="269"/>
      <c r="E218" s="456" t="str">
        <f>IF(COUNT(E196,E198)=2,IF(E196&lt;E198,C196,C198),"")</f>
        <v>-</v>
      </c>
      <c r="F218" s="269"/>
      <c r="G218" s="301">
        <f>IF(E218="-",0,IF(E220="-",13,""))</f>
        <v>0</v>
      </c>
      <c r="H218" s="301"/>
      <c r="I218" s="301"/>
      <c r="J218" s="269"/>
    </row>
    <row r="219" spans="2:11" x14ac:dyDescent="0.2">
      <c r="C219" s="151"/>
      <c r="D219" s="269"/>
      <c r="E219" s="457"/>
      <c r="F219" s="337"/>
      <c r="G219" s="303" t="str">
        <f>IF(COUNT(G218,G220)=2,IF(G218&gt;G220,E218,E220),"")</f>
        <v>Sander Skrabutenas, Vladimir Mihhailov</v>
      </c>
      <c r="H219" s="269"/>
      <c r="I219" s="301">
        <v>5</v>
      </c>
      <c r="J219" s="269"/>
    </row>
    <row r="220" spans="2:11" x14ac:dyDescent="0.2">
      <c r="C220" s="151"/>
      <c r="D220" s="986" t="s">
        <v>23</v>
      </c>
      <c r="E220" s="1038" t="str">
        <f>IF(COUNT(E200,E202)=2,IF(E200&lt;E202,C200,C202),"")</f>
        <v>Sander Skrabutenas, Vladimir Mihhailov</v>
      </c>
      <c r="F220" s="458"/>
      <c r="G220" s="304">
        <f>IF(E220="-",0,IF(E218="-",13,""))</f>
        <v>13</v>
      </c>
      <c r="H220" s="337"/>
      <c r="I220" s="269"/>
      <c r="J220" s="269"/>
    </row>
    <row r="221" spans="2:11" ht="13.5" thickBot="1" x14ac:dyDescent="0.25">
      <c r="C221" s="151"/>
      <c r="D221" s="269"/>
      <c r="E221" s="301"/>
      <c r="F221" s="301"/>
      <c r="G221" s="308"/>
      <c r="H221" s="309"/>
      <c r="I221" s="338"/>
      <c r="J221" s="284" t="str">
        <f>IF(COUNT(I219,I223)=2,IF(I219&gt;I223,G219,G223),"")</f>
        <v>Illar Tõnurist, Klavdia Piik</v>
      </c>
    </row>
    <row r="222" spans="2:11" x14ac:dyDescent="0.2">
      <c r="C222" s="151"/>
      <c r="D222" s="986" t="s">
        <v>24</v>
      </c>
      <c r="E222" s="456" t="str">
        <f>IF(COUNT(E204,E206)=2,IF(E204&lt;E206,C204,C206),"")</f>
        <v>Illar Tõnurist, Klavdia Piik</v>
      </c>
      <c r="F222" s="301"/>
      <c r="G222" s="301">
        <f>IF(E222="-",0,IF(E224="-",13,""))</f>
        <v>13</v>
      </c>
      <c r="H222" s="309"/>
      <c r="I222" s="307"/>
      <c r="J222" s="290" t="s">
        <v>218</v>
      </c>
      <c r="K222" s="333"/>
    </row>
    <row r="223" spans="2:11" x14ac:dyDescent="0.2">
      <c r="C223" s="151"/>
      <c r="D223" s="269"/>
      <c r="E223" s="457"/>
      <c r="F223" s="337"/>
      <c r="G223" s="303" t="str">
        <f>IF(COUNT(G222,G224)=2,IF(G222&gt;G224,E222,E224),"")</f>
        <v>Illar Tõnurist, Klavdia Piik</v>
      </c>
      <c r="H223" s="451"/>
      <c r="I223" s="304">
        <v>13</v>
      </c>
      <c r="J223" s="287"/>
      <c r="K223" s="334"/>
    </row>
    <row r="224" spans="2:11" ht="13.5" thickBot="1" x14ac:dyDescent="0.25">
      <c r="C224" s="151"/>
      <c r="D224" s="269"/>
      <c r="E224" s="456" t="str">
        <f>IF(COUNT(E208,E210)=2,IF(E208&lt;E210,C208,C210),"")</f>
        <v>-</v>
      </c>
      <c r="F224" s="458"/>
      <c r="G224" s="304">
        <f>IF(E224="-",0,IF(E222="-",13,""))</f>
        <v>0</v>
      </c>
      <c r="H224" s="301"/>
      <c r="I224" s="308"/>
      <c r="J224" s="583" t="str">
        <f>IF(COUNT(I219,I223)=2,IF(I219&lt;I223,G219,G223),"")</f>
        <v>Sander Skrabutenas, Vladimir Mihhailov</v>
      </c>
      <c r="K224" s="584"/>
    </row>
    <row r="225" spans="3:11" x14ac:dyDescent="0.2">
      <c r="C225" s="151"/>
      <c r="D225" s="269"/>
      <c r="E225" s="301"/>
      <c r="F225" s="301"/>
      <c r="G225" s="301"/>
      <c r="H225" s="301"/>
      <c r="I225" s="308"/>
      <c r="J225" s="268" t="s">
        <v>219</v>
      </c>
    </row>
    <row r="226" spans="3:11" x14ac:dyDescent="0.2">
      <c r="C226" s="151"/>
      <c r="D226" s="269"/>
      <c r="E226" s="301"/>
      <c r="F226" s="308"/>
      <c r="G226" s="284" t="str">
        <f>IF(COUNT(G218,G220)=2,IF(G218&lt;G220,E218,E220),"")</f>
        <v>-</v>
      </c>
      <c r="H226" s="269"/>
      <c r="I226" s="308">
        <f>IF(G226="-",0,IF(G228="-",13,""))</f>
        <v>0</v>
      </c>
      <c r="J226" s="287"/>
    </row>
    <row r="227" spans="3:11" ht="13.5" thickBot="1" x14ac:dyDescent="0.25">
      <c r="C227" s="151"/>
      <c r="D227" s="269"/>
      <c r="E227" s="301"/>
      <c r="F227" s="308"/>
      <c r="G227" s="455"/>
      <c r="H227" s="336"/>
      <c r="I227" s="585"/>
      <c r="J227" s="284" t="str">
        <f>IF(COUNT(I226,I228)=2,IF(I226&gt;I228,G226,G228),"")</f>
        <v>-</v>
      </c>
    </row>
    <row r="228" spans="3:11" x14ac:dyDescent="0.2">
      <c r="C228" s="151"/>
      <c r="D228" s="269"/>
      <c r="E228" s="301"/>
      <c r="F228" s="308"/>
      <c r="G228" s="456" t="str">
        <f>IF(COUNT(G222,G224)=2,IF(G222&lt;G224,E222,E224),"")</f>
        <v>-</v>
      </c>
      <c r="H228" s="451"/>
      <c r="I228" s="304">
        <f>IF(G228="-",0,IF(G226="-",13,""))</f>
        <v>0</v>
      </c>
      <c r="J228" s="290"/>
      <c r="K228" s="333"/>
    </row>
    <row r="229" spans="3:11" x14ac:dyDescent="0.2">
      <c r="C229" s="151"/>
      <c r="D229" s="269"/>
      <c r="E229" s="269"/>
      <c r="F229" s="287"/>
      <c r="G229" s="269"/>
      <c r="H229" s="269"/>
      <c r="I229" s="269"/>
      <c r="J229" s="287"/>
      <c r="K229" s="334"/>
    </row>
    <row r="230" spans="3:11" ht="13.5" thickBot="1" x14ac:dyDescent="0.25">
      <c r="C230" s="151"/>
      <c r="D230" s="269"/>
      <c r="E230" s="269"/>
      <c r="F230" s="269"/>
      <c r="G230" s="287"/>
      <c r="H230" s="287"/>
      <c r="I230" s="269"/>
      <c r="J230" s="586" t="str">
        <f>IF(COUNT(I226,I228)=2,IF(I226&lt;I228,G226,G228),"")</f>
        <v>-</v>
      </c>
      <c r="K230" s="584"/>
    </row>
    <row r="231" spans="3:11" x14ac:dyDescent="0.2">
      <c r="C231" s="151"/>
      <c r="D231" s="269"/>
      <c r="E231" s="269"/>
      <c r="F231" s="269"/>
      <c r="G231" s="287"/>
      <c r="H231" s="287"/>
      <c r="I231" s="269"/>
      <c r="J231" s="268"/>
    </row>
    <row r="232" spans="3:11" hidden="1" x14ac:dyDescent="0.2"/>
    <row r="233" spans="3:11" hidden="1" x14ac:dyDescent="0.2"/>
    <row r="234" spans="3:11" hidden="1" x14ac:dyDescent="0.2"/>
    <row r="235" spans="3:11" hidden="1" x14ac:dyDescent="0.2"/>
    <row r="236" spans="3:11" hidden="1" x14ac:dyDescent="0.2"/>
    <row r="237" spans="3:11" hidden="1" x14ac:dyDescent="0.2"/>
    <row r="238" spans="3:11" hidden="1" x14ac:dyDescent="0.2"/>
    <row r="239" spans="3:11" hidden="1" x14ac:dyDescent="0.2"/>
    <row r="240" spans="3:11"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3" hidden="1" x14ac:dyDescent="0.2"/>
    <row r="290" spans="1:3" hidden="1" x14ac:dyDescent="0.2"/>
    <row r="291" spans="1:3" hidden="1" x14ac:dyDescent="0.2"/>
    <row r="292" spans="1:3" hidden="1" x14ac:dyDescent="0.2"/>
    <row r="293" spans="1:3" hidden="1" x14ac:dyDescent="0.2"/>
    <row r="294" spans="1:3" hidden="1" x14ac:dyDescent="0.2"/>
    <row r="295" spans="1:3" hidden="1" x14ac:dyDescent="0.2"/>
    <row r="296" spans="1:3" hidden="1" x14ac:dyDescent="0.2"/>
    <row r="297" spans="1:3" hidden="1" x14ac:dyDescent="0.2"/>
    <row r="299" spans="1:3" x14ac:dyDescent="0.2">
      <c r="A299" s="271"/>
      <c r="B299" s="271"/>
      <c r="C299" s="401" t="s">
        <v>248</v>
      </c>
    </row>
    <row r="300" spans="1:3" x14ac:dyDescent="0.2">
      <c r="A300" s="530">
        <v>1</v>
      </c>
      <c r="B300" s="529" t="str">
        <f t="shared" ref="B300:B317" si="11">IFERROR(INDEX(J$100:J$300,MATCH(A300&amp;". koht",J$101:J$301,0)),"")</f>
        <v>Elmo Lageda, Tõnu Piik</v>
      </c>
      <c r="C300" s="499">
        <f t="shared" ref="C300:C317" si="12">IF(21-A300&gt;0,21-A300,1)</f>
        <v>20</v>
      </c>
    </row>
    <row r="301" spans="1:3" x14ac:dyDescent="0.2">
      <c r="A301" s="530">
        <v>2</v>
      </c>
      <c r="B301" s="529" t="str">
        <f t="shared" si="11"/>
        <v>Andrei Grintšak, Boriss Klubov</v>
      </c>
      <c r="C301" s="499">
        <f t="shared" si="12"/>
        <v>19</v>
      </c>
    </row>
    <row r="302" spans="1:3" x14ac:dyDescent="0.2">
      <c r="A302" s="530">
        <v>3</v>
      </c>
      <c r="B302" s="529" t="str">
        <f t="shared" si="11"/>
        <v>Kenneth Muusikus, Ülo Piik</v>
      </c>
      <c r="C302" s="499">
        <f t="shared" si="12"/>
        <v>18</v>
      </c>
    </row>
    <row r="303" spans="1:3" x14ac:dyDescent="0.2">
      <c r="A303" s="530">
        <v>4</v>
      </c>
      <c r="B303" s="529" t="str">
        <f t="shared" si="11"/>
        <v>Oleg Rõndenkov, Toomas Tedrekull</v>
      </c>
      <c r="C303" s="499">
        <f t="shared" si="12"/>
        <v>17</v>
      </c>
    </row>
    <row r="304" spans="1:3" x14ac:dyDescent="0.2">
      <c r="A304" s="530">
        <v>5</v>
      </c>
      <c r="B304" s="529" t="str">
        <f t="shared" si="11"/>
        <v>Kaspar Mänd, Urmas Randlaine</v>
      </c>
      <c r="C304" s="499">
        <f t="shared" si="12"/>
        <v>16</v>
      </c>
    </row>
    <row r="305" spans="1:3" x14ac:dyDescent="0.2">
      <c r="A305" s="530">
        <v>6</v>
      </c>
      <c r="B305" s="529" t="str">
        <f t="shared" si="11"/>
        <v>Aarne Välja, Janek Tarto</v>
      </c>
      <c r="C305" s="499">
        <f t="shared" si="12"/>
        <v>15</v>
      </c>
    </row>
    <row r="306" spans="1:3" x14ac:dyDescent="0.2">
      <c r="A306" s="530">
        <v>7</v>
      </c>
      <c r="B306" s="529" t="str">
        <f t="shared" si="11"/>
        <v>Argo Sepp, Johannes Neiland, Karla Purgats</v>
      </c>
      <c r="C306" s="499">
        <f t="shared" si="12"/>
        <v>14</v>
      </c>
    </row>
    <row r="307" spans="1:3" x14ac:dyDescent="0.2">
      <c r="A307" s="530">
        <v>8</v>
      </c>
      <c r="B307" s="529" t="str">
        <f t="shared" si="11"/>
        <v>Aigi Orro, Kalle Orro</v>
      </c>
      <c r="C307" s="499">
        <f t="shared" si="12"/>
        <v>13</v>
      </c>
    </row>
    <row r="308" spans="1:3" x14ac:dyDescent="0.2">
      <c r="A308" s="530">
        <v>9</v>
      </c>
      <c r="B308" s="529" t="str">
        <f t="shared" si="11"/>
        <v>Tõnu Kapper, Vladimir Ogneštšikov</v>
      </c>
      <c r="C308" s="499">
        <f t="shared" si="12"/>
        <v>12</v>
      </c>
    </row>
    <row r="309" spans="1:3" x14ac:dyDescent="0.2">
      <c r="A309" s="530">
        <v>10</v>
      </c>
      <c r="B309" s="529" t="str">
        <f t="shared" si="11"/>
        <v>Jaan Saar, Liidia Põllu</v>
      </c>
      <c r="C309" s="499">
        <f t="shared" si="12"/>
        <v>11</v>
      </c>
    </row>
    <row r="310" spans="1:3" x14ac:dyDescent="0.2">
      <c r="A310" s="530">
        <v>11</v>
      </c>
      <c r="B310" s="529" t="str">
        <f t="shared" si="11"/>
        <v>Henri Mitt, Meelis Luud, Melika Lehtla</v>
      </c>
      <c r="C310" s="499">
        <f t="shared" si="12"/>
        <v>10</v>
      </c>
    </row>
    <row r="311" spans="1:3" x14ac:dyDescent="0.2">
      <c r="A311" s="530">
        <v>12</v>
      </c>
      <c r="B311" s="529" t="str">
        <f t="shared" si="11"/>
        <v>Enn Tokman, Tarmo Bombe</v>
      </c>
      <c r="C311" s="499">
        <f t="shared" si="12"/>
        <v>9</v>
      </c>
    </row>
    <row r="312" spans="1:3" x14ac:dyDescent="0.2">
      <c r="A312" s="530">
        <v>13</v>
      </c>
      <c r="B312" s="529" t="str">
        <f t="shared" si="11"/>
        <v>Jaan Sepp, Oskar Sepp</v>
      </c>
      <c r="C312" s="499">
        <f t="shared" si="12"/>
        <v>8</v>
      </c>
    </row>
    <row r="313" spans="1:3" x14ac:dyDescent="0.2">
      <c r="A313" s="530">
        <v>14</v>
      </c>
      <c r="B313" s="529" t="str">
        <f t="shared" si="11"/>
        <v>Alar Peek, Vello Vasser</v>
      </c>
      <c r="C313" s="499">
        <f t="shared" si="12"/>
        <v>7</v>
      </c>
    </row>
    <row r="314" spans="1:3" x14ac:dyDescent="0.2">
      <c r="A314" s="530">
        <v>15</v>
      </c>
      <c r="B314" s="529" t="str">
        <f t="shared" si="11"/>
        <v>Ljudmila Varendi, Viktor Švarõgin</v>
      </c>
      <c r="C314" s="499">
        <f t="shared" si="12"/>
        <v>6</v>
      </c>
    </row>
    <row r="315" spans="1:3" ht="25.5" x14ac:dyDescent="0.2">
      <c r="A315" s="530">
        <v>16</v>
      </c>
      <c r="B315" s="529" t="str">
        <f t="shared" si="11"/>
        <v>Denis Skrabutenas, Lydia Skrabutenas, Veronika Pirk</v>
      </c>
      <c r="C315" s="499">
        <f t="shared" si="12"/>
        <v>5</v>
      </c>
    </row>
    <row r="316" spans="1:3" x14ac:dyDescent="0.2">
      <c r="A316" s="530">
        <v>17</v>
      </c>
      <c r="B316" s="529" t="str">
        <f t="shared" si="11"/>
        <v>Illar Tõnurist, Klavdia Piik</v>
      </c>
      <c r="C316" s="499">
        <f t="shared" si="12"/>
        <v>4</v>
      </c>
    </row>
    <row r="317" spans="1:3" x14ac:dyDescent="0.2">
      <c r="A317" s="530">
        <v>18</v>
      </c>
      <c r="B317" s="529" t="str">
        <f t="shared" si="11"/>
        <v>Sander Skrabutenas, Vladimir Mihhailov</v>
      </c>
      <c r="C317" s="499">
        <f t="shared" si="12"/>
        <v>3</v>
      </c>
    </row>
  </sheetData>
  <conditionalFormatting sqref="D7 C8">
    <cfRule type="aboveAverage" dxfId="4510" priority="598"/>
  </conditionalFormatting>
  <conditionalFormatting sqref="E7 C9">
    <cfRule type="aboveAverage" dxfId="4509" priority="597"/>
  </conditionalFormatting>
  <conditionalFormatting sqref="F7 C10">
    <cfRule type="aboveAverage" dxfId="4508" priority="596"/>
  </conditionalFormatting>
  <conditionalFormatting sqref="E8 D9">
    <cfRule type="aboveAverage" dxfId="4507" priority="595"/>
  </conditionalFormatting>
  <conditionalFormatting sqref="G7 C11">
    <cfRule type="aboveAverage" dxfId="4506" priority="594"/>
  </conditionalFormatting>
  <conditionalFormatting sqref="F8 D10">
    <cfRule type="aboveAverage" dxfId="4505" priority="593"/>
  </conditionalFormatting>
  <conditionalFormatting sqref="G8 D11">
    <cfRule type="aboveAverage" dxfId="4504" priority="592"/>
  </conditionalFormatting>
  <conditionalFormatting sqref="F9 E10">
    <cfRule type="aboveAverage" dxfId="4503" priority="591"/>
  </conditionalFormatting>
  <conditionalFormatting sqref="G9 E11">
    <cfRule type="aboveAverage" dxfId="4502" priority="590"/>
  </conditionalFormatting>
  <conditionalFormatting sqref="F11 G10">
    <cfRule type="aboveAverage" dxfId="4501" priority="589"/>
  </conditionalFormatting>
  <conditionalFormatting sqref="D14 C15">
    <cfRule type="aboveAverage" dxfId="4500" priority="588"/>
  </conditionalFormatting>
  <conditionalFormatting sqref="E14 C16">
    <cfRule type="aboveAverage" dxfId="4499" priority="587"/>
  </conditionalFormatting>
  <conditionalFormatting sqref="F14 C17">
    <cfRule type="aboveAverage" dxfId="4498" priority="586"/>
  </conditionalFormatting>
  <conditionalFormatting sqref="E15 D16">
    <cfRule type="aboveAverage" dxfId="4497" priority="585"/>
  </conditionalFormatting>
  <conditionalFormatting sqref="G14 C18">
    <cfRule type="aboveAverage" dxfId="4496" priority="584"/>
  </conditionalFormatting>
  <conditionalFormatting sqref="F15 D17">
    <cfRule type="aboveAverage" dxfId="4495" priority="583"/>
  </conditionalFormatting>
  <conditionalFormatting sqref="G15 D18">
    <cfRule type="aboveAverage" dxfId="4494" priority="582"/>
  </conditionalFormatting>
  <conditionalFormatting sqref="F16 E17">
    <cfRule type="aboveAverage" dxfId="4493" priority="581"/>
  </conditionalFormatting>
  <conditionalFormatting sqref="G16 E18">
    <cfRule type="aboveAverage" dxfId="4492" priority="580"/>
  </conditionalFormatting>
  <conditionalFormatting sqref="F18 G17">
    <cfRule type="aboveAverage" dxfId="4491" priority="579"/>
  </conditionalFormatting>
  <conditionalFormatting sqref="D21 C22">
    <cfRule type="aboveAverage" dxfId="4490" priority="578"/>
  </conditionalFormatting>
  <conditionalFormatting sqref="E21 C23">
    <cfRule type="aboveAverage" dxfId="4489" priority="577"/>
  </conditionalFormatting>
  <conditionalFormatting sqref="F21 C24">
    <cfRule type="aboveAverage" dxfId="4488" priority="576"/>
  </conditionalFormatting>
  <conditionalFormatting sqref="E22 D23">
    <cfRule type="aboveAverage" dxfId="4487" priority="575"/>
  </conditionalFormatting>
  <conditionalFormatting sqref="G21 C25">
    <cfRule type="aboveAverage" dxfId="4486" priority="574"/>
  </conditionalFormatting>
  <conditionalFormatting sqref="F22 D24">
    <cfRule type="aboveAverage" dxfId="4485" priority="573"/>
  </conditionalFormatting>
  <conditionalFormatting sqref="G22 D25">
    <cfRule type="aboveAverage" dxfId="4484" priority="572"/>
  </conditionalFormatting>
  <conditionalFormatting sqref="F23 E24">
    <cfRule type="aboveAverage" dxfId="4483" priority="571"/>
  </conditionalFormatting>
  <conditionalFormatting sqref="G23 E25">
    <cfRule type="aboveAverage" dxfId="4482" priority="570"/>
  </conditionalFormatting>
  <conditionalFormatting sqref="F25 G24">
    <cfRule type="aboveAverage" dxfId="4481" priority="569"/>
  </conditionalFormatting>
  <conditionalFormatting sqref="D28 C29">
    <cfRule type="aboveAverage" dxfId="4480" priority="568"/>
  </conditionalFormatting>
  <conditionalFormatting sqref="E28 C30">
    <cfRule type="aboveAverage" dxfId="4479" priority="567"/>
  </conditionalFormatting>
  <conditionalFormatting sqref="F28 C31">
    <cfRule type="aboveAverage" dxfId="4478" priority="566"/>
  </conditionalFormatting>
  <conditionalFormatting sqref="E29 D30">
    <cfRule type="aboveAverage" dxfId="4477" priority="565"/>
  </conditionalFormatting>
  <conditionalFormatting sqref="G28 C32">
    <cfRule type="aboveAverage" dxfId="4476" priority="564"/>
  </conditionalFormatting>
  <conditionalFormatting sqref="F29 D31">
    <cfRule type="aboveAverage" dxfId="4475" priority="563"/>
  </conditionalFormatting>
  <conditionalFormatting sqref="G29 D32">
    <cfRule type="aboveAverage" dxfId="4474" priority="562"/>
  </conditionalFormatting>
  <conditionalFormatting sqref="F30 E31">
    <cfRule type="aboveAverage" dxfId="4473" priority="561"/>
  </conditionalFormatting>
  <conditionalFormatting sqref="G30 E32">
    <cfRule type="aboveAverage" dxfId="4472" priority="560"/>
  </conditionalFormatting>
  <conditionalFormatting sqref="F32 G31">
    <cfRule type="aboveAverage" dxfId="4471" priority="559"/>
  </conditionalFormatting>
  <conditionalFormatting sqref="D35 C36">
    <cfRule type="aboveAverage" dxfId="4470" priority="558"/>
  </conditionalFormatting>
  <conditionalFormatting sqref="E35 C37">
    <cfRule type="aboveAverage" dxfId="4469" priority="557"/>
  </conditionalFormatting>
  <conditionalFormatting sqref="F35 C38">
    <cfRule type="aboveAverage" dxfId="4468" priority="556"/>
  </conditionalFormatting>
  <conditionalFormatting sqref="E36 D37">
    <cfRule type="aboveAverage" dxfId="4467" priority="555"/>
  </conditionalFormatting>
  <conditionalFormatting sqref="G35 C39">
    <cfRule type="aboveAverage" dxfId="4466" priority="554"/>
  </conditionalFormatting>
  <conditionalFormatting sqref="F36 D38">
    <cfRule type="aboveAverage" dxfId="4465" priority="553"/>
  </conditionalFormatting>
  <conditionalFormatting sqref="G36 D39">
    <cfRule type="aboveAverage" dxfId="4464" priority="552"/>
  </conditionalFormatting>
  <conditionalFormatting sqref="F37 E38">
    <cfRule type="aboveAverage" dxfId="4463" priority="551"/>
  </conditionalFormatting>
  <conditionalFormatting sqref="G37 E39">
    <cfRule type="aboveAverage" dxfId="4462" priority="550"/>
  </conditionalFormatting>
  <conditionalFormatting sqref="F39 G38">
    <cfRule type="aboveAverage" dxfId="4461" priority="549"/>
  </conditionalFormatting>
  <conditionalFormatting sqref="D42 C43">
    <cfRule type="aboveAverage" dxfId="4460" priority="548"/>
  </conditionalFormatting>
  <conditionalFormatting sqref="E42 C44">
    <cfRule type="aboveAverage" dxfId="4459" priority="547"/>
  </conditionalFormatting>
  <conditionalFormatting sqref="F42 C45">
    <cfRule type="aboveAverage" dxfId="4458" priority="546"/>
  </conditionalFormatting>
  <conditionalFormatting sqref="E43 D44">
    <cfRule type="aboveAverage" dxfId="4457" priority="545"/>
  </conditionalFormatting>
  <conditionalFormatting sqref="G42 C46">
    <cfRule type="aboveAverage" dxfId="4456" priority="544"/>
  </conditionalFormatting>
  <conditionalFormatting sqref="F43 D45">
    <cfRule type="aboveAverage" dxfId="4455" priority="543"/>
  </conditionalFormatting>
  <conditionalFormatting sqref="G43 D46">
    <cfRule type="aboveAverage" dxfId="4454" priority="542"/>
  </conditionalFormatting>
  <conditionalFormatting sqref="F44 E45">
    <cfRule type="aboveAverage" dxfId="4453" priority="541"/>
  </conditionalFormatting>
  <conditionalFormatting sqref="G44 E46">
    <cfRule type="aboveAverage" dxfId="4452" priority="540"/>
  </conditionalFormatting>
  <conditionalFormatting sqref="F46 G45">
    <cfRule type="aboveAverage" dxfId="4451" priority="539"/>
  </conditionalFormatting>
  <conditionalFormatting sqref="H14:H18">
    <cfRule type="expression" dxfId="4450" priority="449">
      <formula>AND(Q14=4,IF(COUNTIF(Q$14:Q$18,"=4")&gt;=2,TRUE))</formula>
    </cfRule>
    <cfRule type="expression" dxfId="4449" priority="599">
      <formula>AND(Q14=3,IF(COUNTIF(Q$14:Q$18,"=3")&gt;=2,TRUE))</formula>
    </cfRule>
    <cfRule type="expression" dxfId="4448" priority="600">
      <formula>AND(Q14=2,IF(COUNTIF(Q$14:Q$18,"=2")&gt;=2,TRUE))</formula>
    </cfRule>
    <cfRule type="expression" dxfId="4447" priority="601">
      <formula>AND(Q14=1,IF(COUNTIF(Q$14:Q$18,"=1")&gt;=2,TRUE))</formula>
    </cfRule>
  </conditionalFormatting>
  <conditionalFormatting sqref="B7:B47">
    <cfRule type="duplicateValues" dxfId="4446" priority="504"/>
  </conditionalFormatting>
  <conditionalFormatting sqref="L7:L11">
    <cfRule type="expression" dxfId="4445" priority="487">
      <formula>K7=0</formula>
    </cfRule>
    <cfRule type="expression" dxfId="4444" priority="496">
      <formula>IF(COUNTIF(J$7:J$11,"=2")=2,TRUE)</formula>
    </cfRule>
    <cfRule type="expression" dxfId="4443" priority="497">
      <formula>IF(COUNTIF(J$7:J$11,"=1")=2,TRUE)</formula>
    </cfRule>
    <cfRule type="expression" dxfId="4442" priority="498">
      <formula>AND(IF(COUNTIF(Q$7:Q$11,"=1")=2,TRUE),IF(COUNTIF(Q$7:Q$11,"=2")=2,TRUE))</formula>
    </cfRule>
    <cfRule type="expression" dxfId="4441" priority="499">
      <formula>AND(Q7=4,IF(COUNTIF(Q$7:Q$11,"=4")=1,TRUE))</formula>
    </cfRule>
    <cfRule type="expression" dxfId="4440" priority="500">
      <formula>AND(Q7=3,IF(COUNTIF(Q$7:Q$11,"=3")=1,TRUE))</formula>
    </cfRule>
    <cfRule type="expression" dxfId="4439" priority="501">
      <formula>AND(Q7=2,IF(COUNTIF(Q$7:Q$11,"=2")=1,TRUE))</formula>
    </cfRule>
    <cfRule type="expression" dxfId="4438" priority="502">
      <formula>AND(Q7=1,IF(COUNTIF(Q$7:Q$11,"=1")=1,TRUE))</formula>
    </cfRule>
    <cfRule type="expression" dxfId="4437" priority="503">
      <formula>OR(Q7=0,Q7=5)</formula>
    </cfRule>
  </conditionalFormatting>
  <conditionalFormatting sqref="O7:O11">
    <cfRule type="expression" dxfId="4436" priority="495">
      <formula>OR(AND(J7=1,K7=1,L7=0,M7=1),AND(J7=2,K7=2,L7=0,M7=2))</formula>
    </cfRule>
  </conditionalFormatting>
  <conditionalFormatting sqref="M7:M11">
    <cfRule type="expression" dxfId="4435" priority="488">
      <formula>AND(L7&gt;0,IF(COUNTIF(L$7:L$11,L7)&gt;1,TRUE,FALSE))</formula>
    </cfRule>
    <cfRule type="expression" dxfId="4434" priority="489">
      <formula>AND(IF(COUNTIF(R$7:R$11,"=1")=2,TRUE),IF(COUNTIF(R$7:R$11,"=2")=2,TRUE))</formula>
    </cfRule>
    <cfRule type="expression" dxfId="4433" priority="490">
      <formula>AND(R7=4,IF(COUNTIF(R$7:R$11,"=4")=1,TRUE))</formula>
    </cfRule>
    <cfRule type="expression" dxfId="4432" priority="491">
      <formula>AND(R7=3,IF(COUNTIF(R$7:R$11,"=3")=1,TRUE))</formula>
    </cfRule>
    <cfRule type="expression" dxfId="4431" priority="492">
      <formula>AND(R7=2,IF(COUNTIF(R$7:R$11,"=2")=1,TRUE))</formula>
    </cfRule>
    <cfRule type="expression" dxfId="4430" priority="493">
      <formula>AND(R7=1,IF(COUNTIF(R$7:R$11,"=1")=1,TRUE))</formula>
    </cfRule>
    <cfRule type="expression" dxfId="4429" priority="494">
      <formula>OR(R7=0,R7=5)</formula>
    </cfRule>
  </conditionalFormatting>
  <conditionalFormatting sqref="J7:J11">
    <cfRule type="expression" dxfId="4428" priority="483">
      <formula>AND(Q7=4,IF(COUNTIF(Q$7:Q$11,"=4")&gt;=2,TRUE))</formula>
    </cfRule>
    <cfRule type="expression" dxfId="4427" priority="484">
      <formula>AND(Q7=3,IF(COUNTIF(Q$7:Q$11,"=3")&gt;=2,TRUE))</formula>
    </cfRule>
    <cfRule type="expression" dxfId="4426" priority="485">
      <formula>AND(Q7=2,IF(COUNTIF(Q$7:Q$11,"=2")&gt;=2,TRUE))</formula>
    </cfRule>
    <cfRule type="expression" dxfId="4425" priority="486">
      <formula>AND(Q7=1,IF(COUNTIF(Q$7:Q$11,"=1")&gt;=2,TRUE))</formula>
    </cfRule>
  </conditionalFormatting>
  <conditionalFormatting sqref="H7:H11">
    <cfRule type="expression" dxfId="4424" priority="450">
      <formula>AND(Q7=4,IF(COUNTIF(Q$7:Q$11,"=4")&gt;=2,TRUE))</formula>
    </cfRule>
    <cfRule type="expression" dxfId="4423" priority="602">
      <formula>AND(Q7=3,IF(COUNTIF(Q$7:Q$11,"=3")&gt;=2,TRUE))</formula>
    </cfRule>
    <cfRule type="expression" dxfId="4422" priority="603">
      <formula>AND(Q7=2,IF(COUNTIF(Q$7:Q$11,"=2")&gt;=2,TRUE))</formula>
    </cfRule>
    <cfRule type="expression" dxfId="4421" priority="604">
      <formula>AND(Q7=1,IF(COUNTIF(Q$7:Q$11,"=1")&gt;=2,TRUE))</formula>
    </cfRule>
  </conditionalFormatting>
  <conditionalFormatting sqref="K7:K11">
    <cfRule type="expression" dxfId="4420" priority="605">
      <formula>AND(J7&gt;0,IF(COUNTIF(J$7:J$11,"=1")=2,TRUE),IF(COUNTIF(J$7:J$11,"=2")=2,TRUE))</formula>
    </cfRule>
    <cfRule type="expression" dxfId="4419" priority="606">
      <formula>IF(COUNTIF(L$7:L$11,"=2")=2,TRUE)</formula>
    </cfRule>
    <cfRule type="expression" dxfId="4418" priority="607">
      <formula>IF(COUNTIF(L$7:L$11,"=1")=2,TRUE)</formula>
    </cfRule>
    <cfRule type="expression" dxfId="4417" priority="608">
      <formula>AND(IF(COUNTIF(R$7:R$11,"=1")=2,TRUE),IF(COUNTIF(S$7:S$11,"=2")=2,TRUE))</formula>
    </cfRule>
    <cfRule type="expression" dxfId="4416" priority="609">
      <formula>AND(R7=4,IF(COUNTIF(R$7:R$11,"=4")=1,TRUE))</formula>
    </cfRule>
    <cfRule type="expression" dxfId="4415" priority="610">
      <formula>AND(R7=3,IF(COUNTIF(R$7:R$11,"=3")=1,TRUE))</formula>
    </cfRule>
    <cfRule type="expression" dxfId="4414" priority="611">
      <formula>AND(R7=2,IF(COUNTIF(R$7:R$11,"=2")=1,TRUE))</formula>
    </cfRule>
    <cfRule type="expression" dxfId="4413" priority="612">
      <formula>AND(R7=1,IF(COUNTIF(R$7:R$11,"=1")=1,TRUE))</formula>
    </cfRule>
    <cfRule type="expression" dxfId="4412" priority="613">
      <formula>OR(R7=0,R7=5)</formula>
    </cfRule>
  </conditionalFormatting>
  <conditionalFormatting sqref="L14:L18">
    <cfRule type="expression" dxfId="4411" priority="455">
      <formula>K14=0</formula>
    </cfRule>
    <cfRule type="expression" dxfId="4410" priority="464">
      <formula>IF(COUNTIF(J$14:J$18,"=2")=2,TRUE)</formula>
    </cfRule>
    <cfRule type="expression" dxfId="4409" priority="465">
      <formula>IF(COUNTIF(J$14:J$18,"=1")=2,TRUE)</formula>
    </cfRule>
    <cfRule type="expression" dxfId="4408" priority="466">
      <formula>AND(IF(COUNTIF(Q$14:Q$18,"=1")=2,TRUE),IF(COUNTIF(Q$14:Q$18,"=2")=2,TRUE))</formula>
    </cfRule>
    <cfRule type="expression" dxfId="4407" priority="467">
      <formula>AND(Q14=4,IF(COUNTIF(Q$14:Q$18,"=4")=1,TRUE))</formula>
    </cfRule>
    <cfRule type="expression" dxfId="4406" priority="468">
      <formula>AND(Q14=3,IF(COUNTIF(Q$14:Q$18,"=3")=1,TRUE))</formula>
    </cfRule>
    <cfRule type="expression" dxfId="4405" priority="469">
      <formula>AND(Q14=2,IF(COUNTIF(Q$14:Q$18,"=2")=1,TRUE))</formula>
    </cfRule>
    <cfRule type="expression" dxfId="4404" priority="470">
      <formula>AND(Q14=1,IF(COUNTIF(Q$14:Q$18,"=1")=1,TRUE))</formula>
    </cfRule>
    <cfRule type="expression" dxfId="4403" priority="471">
      <formula>OR(Q14=0,Q14=5)</formula>
    </cfRule>
  </conditionalFormatting>
  <conditionalFormatting sqref="O14:O18">
    <cfRule type="expression" dxfId="4402" priority="463">
      <formula>OR(AND(J14=1,K14=1,L14=0,M14=1),AND(J14=2,K14=2,L14=0,M14=2))</formula>
    </cfRule>
  </conditionalFormatting>
  <conditionalFormatting sqref="M14:M18">
    <cfRule type="expression" dxfId="4401" priority="456">
      <formula>AND(L14&gt;0,IF(COUNTIF(L$14:L$18,L14)&gt;1,TRUE,FALSE))</formula>
    </cfRule>
    <cfRule type="expression" dxfId="4400" priority="457">
      <formula>AND(IF(COUNTIF(R$14:R$18,"=1")=2,TRUE),IF(COUNTIF(R$14:R$18,"=2")=2,TRUE))</formula>
    </cfRule>
    <cfRule type="expression" dxfId="4399" priority="458">
      <formula>AND(R14=4,IF(COUNTIF(R$14:R$18,"=4")=1,TRUE))</formula>
    </cfRule>
    <cfRule type="expression" dxfId="4398" priority="459">
      <formula>AND(R14=3,IF(COUNTIF(R$14:R$18,"=3")=1,TRUE))</formula>
    </cfRule>
    <cfRule type="expression" dxfId="4397" priority="460">
      <formula>AND(R14=2,IF(COUNTIF(R$14:R$18,"=2")=1,TRUE))</formula>
    </cfRule>
    <cfRule type="expression" dxfId="4396" priority="461">
      <formula>AND(R14=1,IF(COUNTIF(R$14:R$18,"=1")=1,TRUE))</formula>
    </cfRule>
    <cfRule type="expression" dxfId="4395" priority="462">
      <formula>OR(R14=0,R14=5)</formula>
    </cfRule>
  </conditionalFormatting>
  <conditionalFormatting sqref="J14:J18">
    <cfRule type="expression" dxfId="4394" priority="451">
      <formula>AND(Q14=4,IF(COUNTIF(Q$14:Q$18,"=4")&gt;=2,TRUE))</formula>
    </cfRule>
    <cfRule type="expression" dxfId="4393" priority="452">
      <formula>AND(Q14=3,IF(COUNTIF(Q$14:Q$18,"=3")&gt;=2,TRUE))</formula>
    </cfRule>
    <cfRule type="expression" dxfId="4392" priority="453">
      <formula>AND(Q14=2,IF(COUNTIF(Q$14:Q$18,"=2")&gt;=2,TRUE))</formula>
    </cfRule>
    <cfRule type="expression" dxfId="4391" priority="454">
      <formula>AND(Q14=1,IF(COUNTIF(Q$14:Q$18,"=1")&gt;=2,TRUE))</formula>
    </cfRule>
  </conditionalFormatting>
  <conditionalFormatting sqref="K14:K18">
    <cfRule type="expression" dxfId="4390" priority="474">
      <formula>AND(J14&gt;0,IF(COUNTIF(J$14:J$18,"=1")=2,TRUE),IF(COUNTIF(J$14:J$18,"=2")=2,TRUE))</formula>
    </cfRule>
    <cfRule type="expression" dxfId="4389" priority="475">
      <formula>IF(COUNTIF(L$14:L$18,"=2")=2,TRUE)</formula>
    </cfRule>
    <cfRule type="expression" dxfId="4388" priority="476">
      <formula>IF(COUNTIF(L$14:L$18,"=1")=2,TRUE)</formula>
    </cfRule>
    <cfRule type="expression" dxfId="4387" priority="477">
      <formula>AND(IF(COUNTIF(R$14:R$18,"=1")=2,TRUE),IF(COUNTIF(S$14:S$18,"=2")=2,TRUE))</formula>
    </cfRule>
    <cfRule type="expression" dxfId="4386" priority="478">
      <formula>AND(R14=4,IF(COUNTIF(R$14:R$18,"=4")=1,TRUE))</formula>
    </cfRule>
    <cfRule type="expression" dxfId="4385" priority="479">
      <formula>AND(R14=3,IF(COUNTIF(R$14:R$18,"=3")=1,TRUE))</formula>
    </cfRule>
    <cfRule type="expression" dxfId="4384" priority="480">
      <formula>AND(R14=2,IF(COUNTIF(R$14:R$18,"=2")=1,TRUE))</formula>
    </cfRule>
    <cfRule type="expression" dxfId="4383" priority="481">
      <formula>AND(R14=1,IF(COUNTIF(R$14:R$18,"=1")=1,TRUE))</formula>
    </cfRule>
    <cfRule type="expression" dxfId="4382" priority="482">
      <formula>OR(R14=0,R14=5)</formula>
    </cfRule>
  </conditionalFormatting>
  <conditionalFormatting sqref="L21:L25">
    <cfRule type="expression" dxfId="4381" priority="423">
      <formula>K21=0</formula>
    </cfRule>
    <cfRule type="expression" dxfId="4380" priority="432">
      <formula>IF(COUNTIF(J$21:J$25,"=2")=2,TRUE)</formula>
    </cfRule>
    <cfRule type="expression" dxfId="4379" priority="433">
      <formula>IF(COUNTIF(J$21:J$25,"=1")=2,TRUE)</formula>
    </cfRule>
    <cfRule type="expression" dxfId="4378" priority="434">
      <formula>AND(IF(COUNTIF(Q$21:Q$25,"=1")=2,TRUE),IF(COUNTIF(Q$21:Q$25,"=2")=2,TRUE))</formula>
    </cfRule>
    <cfRule type="expression" dxfId="4377" priority="435">
      <formula>AND(Q21=4,IF(COUNTIF(Q$21:Q$25,"=4")=1,TRUE))</formula>
    </cfRule>
    <cfRule type="expression" dxfId="4376" priority="436">
      <formula>AND(Q21=3,IF(COUNTIF(Q$21:Q$25,"=3")=1,TRUE))</formula>
    </cfRule>
    <cfRule type="expression" dxfId="4375" priority="437">
      <formula>AND(Q21=2,IF(COUNTIF(Q$21:Q$25,"=2")=1,TRUE))</formula>
    </cfRule>
    <cfRule type="expression" dxfId="4374" priority="438">
      <formula>AND(Q21=1,IF(COUNTIF(Q$21:Q$25,"=1")=1,TRUE))</formula>
    </cfRule>
    <cfRule type="expression" dxfId="4373" priority="439">
      <formula>OR(Q21=0,Q21=5)</formula>
    </cfRule>
  </conditionalFormatting>
  <conditionalFormatting sqref="O21:O25">
    <cfRule type="expression" dxfId="4372" priority="431">
      <formula>OR(AND(J21=1,K21=1,L21=0,M21=1),AND(J21=2,K21=2,L21=0,M21=2))</formula>
    </cfRule>
  </conditionalFormatting>
  <conditionalFormatting sqref="M21:M25">
    <cfRule type="expression" dxfId="4371" priority="424">
      <formula>AND(L21&gt;0,IF(COUNTIF(L$21:L$25,L21)&gt;1,TRUE,FALSE))</formula>
    </cfRule>
    <cfRule type="expression" dxfId="4370" priority="425">
      <formula>AND(IF(COUNTIF(R$21:R$25,"=1")=2,TRUE),IF(COUNTIF(R$21:R$25,"=2")=2,TRUE))</formula>
    </cfRule>
    <cfRule type="expression" dxfId="4369" priority="426">
      <formula>AND(R21=4,IF(COUNTIF(R$21:R$25,"=4")=1,TRUE))</formula>
    </cfRule>
    <cfRule type="expression" dxfId="4368" priority="427">
      <formula>AND(R21=3,IF(COUNTIF(R$21:R$25,"=3")=1,TRUE))</formula>
    </cfRule>
    <cfRule type="expression" dxfId="4367" priority="428">
      <formula>AND(R21=2,IF(COUNTIF(R$21:R$25,"=2")=1,TRUE))</formula>
    </cfRule>
    <cfRule type="expression" dxfId="4366" priority="429">
      <formula>AND(R21=1,IF(COUNTIF(R$21:R$25,"=1")=1,TRUE))</formula>
    </cfRule>
    <cfRule type="expression" dxfId="4365" priority="430">
      <formula>OR(R21=0,R21=5)</formula>
    </cfRule>
  </conditionalFormatting>
  <conditionalFormatting sqref="J21:J25">
    <cfRule type="expression" dxfId="4364" priority="419">
      <formula>AND(Q21=4,IF(COUNTIF(Q$21:Q$25,"=4")&gt;=2,TRUE))</formula>
    </cfRule>
    <cfRule type="expression" dxfId="4363" priority="420">
      <formula>AND(Q21=3,IF(COUNTIF(Q$21:Q$25,"=3")&gt;=2,TRUE))</formula>
    </cfRule>
    <cfRule type="expression" dxfId="4362" priority="421">
      <formula>AND(Q21=2,IF(COUNTIF(Q$21:Q$25,"=2")&gt;=2,TRUE))</formula>
    </cfRule>
    <cfRule type="expression" dxfId="4361" priority="422">
      <formula>AND(Q21=1,IF(COUNTIF(Q$21:Q$25,"=1")&gt;=2,TRUE))</formula>
    </cfRule>
  </conditionalFormatting>
  <conditionalFormatting sqref="K21:K25">
    <cfRule type="expression" dxfId="4360" priority="440">
      <formula>AND(J21&gt;0,IF(COUNTIF(J$21:J$25,"=1")=2,TRUE),IF(COUNTIF(J$21:J$25,"=2")=2,TRUE))</formula>
    </cfRule>
    <cfRule type="expression" dxfId="4359" priority="441">
      <formula>IF(COUNTIF(L$21:L$25,"=2")=2,TRUE)</formula>
    </cfRule>
    <cfRule type="expression" dxfId="4358" priority="442">
      <formula>IF(COUNTIF(L$21:L$25,"=1")=2,TRUE)</formula>
    </cfRule>
    <cfRule type="expression" dxfId="4357" priority="443">
      <formula>AND(IF(COUNTIF(R$21:R$25,"=1")=2,TRUE),IF(COUNTIF(S$21:S$25,"=2")=2,TRUE))</formula>
    </cfRule>
    <cfRule type="expression" dxfId="4356" priority="444">
      <formula>AND(R21=4,IF(COUNTIF(R$21:R$25,"=4")=1,TRUE))</formula>
    </cfRule>
    <cfRule type="expression" dxfId="4355" priority="445">
      <formula>AND(R21=3,IF(COUNTIF(R$21:R$25,"=3")=1,TRUE))</formula>
    </cfRule>
    <cfRule type="expression" dxfId="4354" priority="446">
      <formula>AND(R21=2,IF(COUNTIF(R$21:R$25,"=2")=1,TRUE))</formula>
    </cfRule>
    <cfRule type="expression" dxfId="4353" priority="447">
      <formula>AND(R21=1,IF(COUNTIF(R$21:R$25,"=1")=1,TRUE))</formula>
    </cfRule>
    <cfRule type="expression" dxfId="4352" priority="448">
      <formula>OR(R21=0,R21=5)</formula>
    </cfRule>
  </conditionalFormatting>
  <conditionalFormatting sqref="H21:H25">
    <cfRule type="expression" dxfId="4351" priority="415">
      <formula>AND(Q21=4,IF(COUNTIF(Q$21:Q$25,"=4")&gt;=2,TRUE))</formula>
    </cfRule>
    <cfRule type="expression" dxfId="4350" priority="416">
      <formula>AND(Q21=3,IF(COUNTIF(Q$21:Q$25,"=3")&gt;=2,TRUE))</formula>
    </cfRule>
    <cfRule type="expression" dxfId="4349" priority="417">
      <formula>AND(Q21=2,IF(COUNTIF(Q$21:Q$25,"=2")&gt;=2,TRUE))</formula>
    </cfRule>
    <cfRule type="expression" dxfId="4348" priority="418">
      <formula>AND(Q21=1,IF(COUNTIF(Q$21:Q$25,"=1")&gt;=2,TRUE))</formula>
    </cfRule>
  </conditionalFormatting>
  <conditionalFormatting sqref="L28:L32">
    <cfRule type="expression" dxfId="4347" priority="389">
      <formula>K28=0</formula>
    </cfRule>
    <cfRule type="expression" dxfId="4346" priority="398">
      <formula>IF(COUNTIF(J$28:J$32,"=2")=2,TRUE)</formula>
    </cfRule>
    <cfRule type="expression" dxfId="4345" priority="399">
      <formula>IF(COUNTIF(J$28:J$32,"=1")=2,TRUE)</formula>
    </cfRule>
    <cfRule type="expression" dxfId="4344" priority="400">
      <formula>AND(IF(COUNTIF(Q$28:Q$32,"=1")=2,TRUE),IF(COUNTIF(Q$28:Q$32,"=2")=2,TRUE))</formula>
    </cfRule>
    <cfRule type="expression" dxfId="4343" priority="401">
      <formula>AND(Q28=4,IF(COUNTIF(Q$28:Q$32,"=4")=1,TRUE))</formula>
    </cfRule>
    <cfRule type="expression" dxfId="4342" priority="402">
      <formula>AND(Q28=3,IF(COUNTIF(Q$28:Q$32,"=3")=1,TRUE))</formula>
    </cfRule>
    <cfRule type="expression" dxfId="4341" priority="403">
      <formula>AND(Q28=2,IF(COUNTIF(Q$28:Q$32,"=2")=1,TRUE))</formula>
    </cfRule>
    <cfRule type="expression" dxfId="4340" priority="404">
      <formula>AND(Q28=1,IF(COUNTIF(Q$28:Q$32,"=1")=1,TRUE))</formula>
    </cfRule>
    <cfRule type="expression" dxfId="4339" priority="405">
      <formula>OR(Q28=0,Q28=5)</formula>
    </cfRule>
  </conditionalFormatting>
  <conditionalFormatting sqref="O28:O32">
    <cfRule type="expression" dxfId="4338" priority="397">
      <formula>OR(AND(J28=1,K28=1,L28=0,M28=1),AND(J28=2,K28=2,L28=0,M28=2))</formula>
    </cfRule>
  </conditionalFormatting>
  <conditionalFormatting sqref="M28:M32">
    <cfRule type="expression" dxfId="4337" priority="390">
      <formula>AND(L28&gt;0,IF(COUNTIF(L$28:L$32,L28)&gt;1,TRUE,FALSE))</formula>
    </cfRule>
    <cfRule type="expression" dxfId="4336" priority="391">
      <formula>AND(IF(COUNTIF(R$28:R$32,"=1")=2,TRUE),IF(COUNTIF(R$28:R$32,"=2")=2,TRUE))</formula>
    </cfRule>
    <cfRule type="expression" dxfId="4335" priority="392">
      <formula>AND(R28=4,IF(COUNTIF(R$28:R$32,"=4")=1,TRUE))</formula>
    </cfRule>
    <cfRule type="expression" dxfId="4334" priority="393">
      <formula>AND(R28=3,IF(COUNTIF(R$28:R$32,"=3")=1,TRUE))</formula>
    </cfRule>
    <cfRule type="expression" dxfId="4333" priority="394">
      <formula>AND(R28=2,IF(COUNTIF(R$28:R$32,"=2")=1,TRUE))</formula>
    </cfRule>
    <cfRule type="expression" dxfId="4332" priority="395">
      <formula>AND(R28=1,IF(COUNTIF(R$28:R$32,"=1")=1,TRUE))</formula>
    </cfRule>
    <cfRule type="expression" dxfId="4331" priority="396">
      <formula>OR(R28=0,R28=5)</formula>
    </cfRule>
  </conditionalFormatting>
  <conditionalFormatting sqref="J28:J32">
    <cfRule type="expression" dxfId="4330" priority="385">
      <formula>AND(Q28=4,IF(COUNTIF(Q$28:Q$32,"=4")&gt;=2,TRUE))</formula>
    </cfRule>
    <cfRule type="expression" dxfId="4329" priority="386">
      <formula>AND(Q28=3,IF(COUNTIF(Q$28:Q$32,"=3")&gt;=2,TRUE))</formula>
    </cfRule>
    <cfRule type="expression" dxfId="4328" priority="387">
      <formula>AND(Q28=2,IF(COUNTIF(Q$28:Q$32,"=2")&gt;=2,TRUE))</formula>
    </cfRule>
    <cfRule type="expression" dxfId="4327" priority="388">
      <formula>AND(Q28=1,IF(COUNTIF(Q$28:Q$32,"=1")&gt;=2,TRUE))</formula>
    </cfRule>
  </conditionalFormatting>
  <conditionalFormatting sqref="K28:K32">
    <cfRule type="expression" dxfId="4326" priority="406">
      <formula>AND(J28&gt;0,IF(COUNTIF(J$28:J$32,"=1")=2,TRUE),IF(COUNTIF(J$28:J$32,"=2")=2,TRUE))</formula>
    </cfRule>
    <cfRule type="expression" dxfId="4325" priority="407">
      <formula>IF(COUNTIF(L$28:L$32,"=2")=2,TRUE)</formula>
    </cfRule>
    <cfRule type="expression" dxfId="4324" priority="408">
      <formula>IF(COUNTIF(L$28:L$32,"=1")=2,TRUE)</formula>
    </cfRule>
    <cfRule type="expression" dxfId="4323" priority="409">
      <formula>AND(IF(COUNTIF(R$28:R$32,"=1")=2,TRUE),IF(COUNTIF(S$28:S$32,"=2")=2,TRUE))</formula>
    </cfRule>
    <cfRule type="expression" dxfId="4322" priority="410">
      <formula>AND(R28=4,IF(COUNTIF(R$28:R$32,"=4")=1,TRUE))</formula>
    </cfRule>
    <cfRule type="expression" dxfId="4321" priority="411">
      <formula>AND(R28=3,IF(COUNTIF(R$28:R$32,"=3")=1,TRUE))</formula>
    </cfRule>
    <cfRule type="expression" dxfId="4320" priority="412">
      <formula>AND(R28=2,IF(COUNTIF(R$28:R$32,"=2")=1,TRUE))</formula>
    </cfRule>
    <cfRule type="expression" dxfId="4319" priority="413">
      <formula>AND(R28=1,IF(COUNTIF(R$28:R$32,"=1")=1,TRUE))</formula>
    </cfRule>
    <cfRule type="expression" dxfId="4318" priority="414">
      <formula>OR(R28=0,R28=5)</formula>
    </cfRule>
  </conditionalFormatting>
  <conditionalFormatting sqref="H28:H32">
    <cfRule type="expression" dxfId="4317" priority="381">
      <formula>AND(Q28=4,IF(COUNTIF(Q$28:Q$32,"=4")&gt;=2,TRUE))</formula>
    </cfRule>
    <cfRule type="expression" dxfId="4316" priority="382">
      <formula>AND(Q28=3,IF(COUNTIF(Q$28:Q$32,"=3")&gt;=2,TRUE))</formula>
    </cfRule>
    <cfRule type="expression" dxfId="4315" priority="383">
      <formula>AND(Q28=2,IF(COUNTIF(Q$28:Q$32,"=2")&gt;=2,TRUE))</formula>
    </cfRule>
    <cfRule type="expression" dxfId="4314" priority="384">
      <formula>AND(Q28=1,IF(COUNTIF(Q$28:Q$32,"=1")&gt;=2,TRUE))</formula>
    </cfRule>
  </conditionalFormatting>
  <conditionalFormatting sqref="L35:L39">
    <cfRule type="expression" dxfId="4313" priority="355">
      <formula>K35=0</formula>
    </cfRule>
    <cfRule type="expression" dxfId="4312" priority="364">
      <formula>IF(COUNTIF(J$35:J$39,"=2")=2,TRUE)</formula>
    </cfRule>
    <cfRule type="expression" dxfId="4311" priority="365">
      <formula>IF(COUNTIF(J$35:J$39,"=1")=2,TRUE)</formula>
    </cfRule>
    <cfRule type="expression" dxfId="4310" priority="366">
      <formula>AND(IF(COUNTIF(Q$35:Q$39,"=1")=2,TRUE),IF(COUNTIF(Q$35:Q$39,"=2")=2,TRUE))</formula>
    </cfRule>
    <cfRule type="expression" dxfId="4309" priority="367">
      <formula>AND(Q35=4,IF(COUNTIF(Q$35:Q$39,"=4")=1,TRUE))</formula>
    </cfRule>
    <cfRule type="expression" dxfId="4308" priority="368">
      <formula>AND(Q35=3,IF(COUNTIF(Q$35:Q$39,"=3")=1,TRUE))</formula>
    </cfRule>
    <cfRule type="expression" dxfId="4307" priority="369">
      <formula>AND(Q35=2,IF(COUNTIF(Q$35:Q$39,"=2")=1,TRUE))</formula>
    </cfRule>
    <cfRule type="expression" dxfId="4306" priority="370">
      <formula>AND(Q35=1,IF(COUNTIF(Q$35:Q$39,"=1")=1,TRUE))</formula>
    </cfRule>
    <cfRule type="expression" dxfId="4305" priority="371">
      <formula>OR(Q35=0,Q35=5)</formula>
    </cfRule>
  </conditionalFormatting>
  <conditionalFormatting sqref="O35:O39">
    <cfRule type="expression" dxfId="4304" priority="363">
      <formula>OR(AND(J35=1,K35=1,L35=0,M35=1),AND(J35=2,K35=2,L35=0,M35=2))</formula>
    </cfRule>
  </conditionalFormatting>
  <conditionalFormatting sqref="M35:M39">
    <cfRule type="expression" dxfId="4303" priority="356">
      <formula>AND(L35&gt;0,IF(COUNTIF(L$35:L$39,L35)&gt;1,TRUE,FALSE))</formula>
    </cfRule>
    <cfRule type="expression" dxfId="4302" priority="357">
      <formula>AND(IF(COUNTIF(R$35:R$39,"=1")=2,TRUE),IF(COUNTIF(R$35:R$39,"=2")=2,TRUE))</formula>
    </cfRule>
    <cfRule type="expression" dxfId="4301" priority="358">
      <formula>AND(R35=4,IF(COUNTIF(R$35:R$39,"=4")=1,TRUE))</formula>
    </cfRule>
    <cfRule type="expression" dxfId="4300" priority="359">
      <formula>AND(R35=3,IF(COUNTIF(R$35:R$39,"=3")=1,TRUE))</formula>
    </cfRule>
    <cfRule type="expression" dxfId="4299" priority="360">
      <formula>AND(R35=2,IF(COUNTIF(R$35:R$39,"=2")=1,TRUE))</formula>
    </cfRule>
    <cfRule type="expression" dxfId="4298" priority="361">
      <formula>AND(R35=1,IF(COUNTIF(R$35:R$39,"=1")=1,TRUE))</formula>
    </cfRule>
    <cfRule type="expression" dxfId="4297" priority="362">
      <formula>OR(R35=0,R35=5)</formula>
    </cfRule>
  </conditionalFormatting>
  <conditionalFormatting sqref="J35:J39">
    <cfRule type="expression" dxfId="4296" priority="351">
      <formula>AND(Q35=4,IF(COUNTIF(Q$35:Q$39,"=4")&gt;=2,TRUE))</formula>
    </cfRule>
    <cfRule type="expression" dxfId="4295" priority="352">
      <formula>AND(Q35=3,IF(COUNTIF(Q$35:Q$39,"=3")&gt;=2,TRUE))</formula>
    </cfRule>
    <cfRule type="expression" dxfId="4294" priority="353">
      <formula>AND(Q35=2,IF(COUNTIF(Q$35:Q$39,"=2")&gt;=2,TRUE))</formula>
    </cfRule>
    <cfRule type="expression" dxfId="4293" priority="354">
      <formula>AND(Q35=1,IF(COUNTIF(Q$35:Q$39,"=1")&gt;=2,TRUE))</formula>
    </cfRule>
  </conditionalFormatting>
  <conditionalFormatting sqref="K35:K39">
    <cfRule type="expression" dxfId="4292" priority="372">
      <formula>AND(J35&gt;0,IF(COUNTIF(J$35:J$39,"=1")=2,TRUE),IF(COUNTIF(J$35:J$39,"=2")=2,TRUE))</formula>
    </cfRule>
    <cfRule type="expression" dxfId="4291" priority="373">
      <formula>IF(COUNTIF(L$35:L$39,"=2")=2,TRUE)</formula>
    </cfRule>
    <cfRule type="expression" dxfId="4290" priority="374">
      <formula>IF(COUNTIF(L$35:L$39,"=1")=2,TRUE)</formula>
    </cfRule>
    <cfRule type="expression" dxfId="4289" priority="375">
      <formula>AND(IF(COUNTIF(R$35:R$39,"=1")=2,TRUE),IF(COUNTIF(S$35:S$39,"=2")=2,TRUE))</formula>
    </cfRule>
    <cfRule type="expression" dxfId="4288" priority="376">
      <formula>AND(R35=4,IF(COUNTIF(R$35:R$39,"=4")=1,TRUE))</formula>
    </cfRule>
    <cfRule type="expression" dxfId="4287" priority="377">
      <formula>AND(R35=3,IF(COUNTIF(R$35:R$39,"=3")=1,TRUE))</formula>
    </cfRule>
    <cfRule type="expression" dxfId="4286" priority="378">
      <formula>AND(R35=2,IF(COUNTIF(R$35:R$39,"=2")=1,TRUE))</formula>
    </cfRule>
    <cfRule type="expression" dxfId="4285" priority="379">
      <formula>AND(R35=1,IF(COUNTIF(R$35:R$39,"=1")=1,TRUE))</formula>
    </cfRule>
    <cfRule type="expression" dxfId="4284" priority="380">
      <formula>OR(R35=0,R35=5)</formula>
    </cfRule>
  </conditionalFormatting>
  <conditionalFormatting sqref="H35:H39">
    <cfRule type="expression" dxfId="4283" priority="347">
      <formula>AND(Q35=4,IF(COUNTIF(Q$35:Q$39,"=4")&gt;=2,TRUE))</formula>
    </cfRule>
    <cfRule type="expression" dxfId="4282" priority="348">
      <formula>AND(Q35=3,IF(COUNTIF(Q$35:Q$39,"=3")&gt;=2,TRUE))</formula>
    </cfRule>
    <cfRule type="expression" dxfId="4281" priority="349">
      <formula>AND(Q35=2,IF(COUNTIF(Q$35:Q$39,"=2")&gt;=2,TRUE))</formula>
    </cfRule>
    <cfRule type="expression" dxfId="4280" priority="350">
      <formula>AND(Q35=1,IF(COUNTIF(Q$35:Q$39,"=1")&gt;=2,TRUE))</formula>
    </cfRule>
  </conditionalFormatting>
  <conditionalFormatting sqref="L42:L46">
    <cfRule type="expression" dxfId="4279" priority="321">
      <formula>K42=0</formula>
    </cfRule>
    <cfRule type="expression" dxfId="4278" priority="330">
      <formula>IF(COUNTIF(J$42:J$46,"=2")=2,TRUE)</formula>
    </cfRule>
    <cfRule type="expression" dxfId="4277" priority="331">
      <formula>IF(COUNTIF(J$42:J$46,"=1")=2,TRUE)</formula>
    </cfRule>
    <cfRule type="expression" dxfId="4276" priority="332">
      <formula>AND(IF(COUNTIF(Q$42:Q$46,"=1")=2,TRUE),IF(COUNTIF(Q$42:Q$46,"=2")=2,TRUE))</formula>
    </cfRule>
    <cfRule type="expression" dxfId="4275" priority="333">
      <formula>AND(Q42=4,IF(COUNTIF(Q$42:Q$46,"=4")=1,TRUE))</formula>
    </cfRule>
    <cfRule type="expression" dxfId="4274" priority="334">
      <formula>AND(Q42=3,IF(COUNTIF(Q$42:Q$46,"=3")=1,TRUE))</formula>
    </cfRule>
    <cfRule type="expression" dxfId="4273" priority="335">
      <formula>AND(Q42=2,IF(COUNTIF(Q$42:Q$46,"=2")=1,TRUE))</formula>
    </cfRule>
    <cfRule type="expression" dxfId="4272" priority="336">
      <formula>AND(Q42=1,IF(COUNTIF(Q$42:Q$46,"=1")=1,TRUE))</formula>
    </cfRule>
    <cfRule type="expression" dxfId="4271" priority="337">
      <formula>OR(Q42=0,Q42=5)</formula>
    </cfRule>
  </conditionalFormatting>
  <conditionalFormatting sqref="O42:O46">
    <cfRule type="expression" dxfId="4270" priority="329">
      <formula>OR(AND(J42=1,K42=1,L42=0,M42=1),AND(J42=2,K42=2,L42=0,M42=2))</formula>
    </cfRule>
  </conditionalFormatting>
  <conditionalFormatting sqref="M42:M46">
    <cfRule type="expression" dxfId="4269" priority="322">
      <formula>AND(L42&gt;0,IF(COUNTIF(L$42:L$46,L42)&gt;1,TRUE,FALSE))</formula>
    </cfRule>
    <cfRule type="expression" dxfId="4268" priority="323">
      <formula>AND(IF(COUNTIF(R$42:R$46,"=1")=2,TRUE),IF(COUNTIF(R$42:R$46,"=2")=2,TRUE))</formula>
    </cfRule>
    <cfRule type="expression" dxfId="4267" priority="324">
      <formula>AND(R42=4,IF(COUNTIF(R$42:R$46,"=4")=1,TRUE))</formula>
    </cfRule>
    <cfRule type="expression" dxfId="4266" priority="325">
      <formula>AND(R42=3,IF(COUNTIF(R$42:R$46,"=3")=1,TRUE))</formula>
    </cfRule>
    <cfRule type="expression" dxfId="4265" priority="326">
      <formula>AND(R42=2,IF(COUNTIF(R$42:R$46,"=2")=1,TRUE))</formula>
    </cfRule>
    <cfRule type="expression" dxfId="4264" priority="327">
      <formula>AND(R42=1,IF(COUNTIF(R$42:R$46,"=1")=1,TRUE))</formula>
    </cfRule>
    <cfRule type="expression" dxfId="4263" priority="328">
      <formula>OR(R42=0,R42=5)</formula>
    </cfRule>
  </conditionalFormatting>
  <conditionalFormatting sqref="J42:J46">
    <cfRule type="expression" dxfId="4262" priority="317">
      <formula>AND(Q42=4,IF(COUNTIF(Q$42:Q$46,"=4")&gt;=2,TRUE))</formula>
    </cfRule>
    <cfRule type="expression" dxfId="4261" priority="318">
      <formula>AND(Q42=3,IF(COUNTIF(Q$42:Q$46,"=3")&gt;=2,TRUE))</formula>
    </cfRule>
    <cfRule type="expression" dxfId="4260" priority="319">
      <formula>AND(Q42=2,IF(COUNTIF(Q$42:Q$46,"=2")&gt;=2,TRUE))</formula>
    </cfRule>
    <cfRule type="expression" dxfId="4259" priority="320">
      <formula>AND(Q42=1,IF(COUNTIF(Q$42:Q$46,"=1")&gt;=2,TRUE))</formula>
    </cfRule>
  </conditionalFormatting>
  <conditionalFormatting sqref="K42:K46">
    <cfRule type="expression" dxfId="4258" priority="338">
      <formula>AND(J42&gt;0,IF(COUNTIF(J$42:J$46,"=1")=2,TRUE),IF(COUNTIF(J$42:J$46,"=2")=2,TRUE))</formula>
    </cfRule>
    <cfRule type="expression" dxfId="4257" priority="339">
      <formula>IF(COUNTIF(L$42:L$46,"=2")=2,TRUE)</formula>
    </cfRule>
    <cfRule type="expression" dxfId="4256" priority="340">
      <formula>IF(COUNTIF(L$42:L$46,"=1")=2,TRUE)</formula>
    </cfRule>
    <cfRule type="expression" dxfId="4255" priority="341">
      <formula>AND(IF(COUNTIF(R$42:R$46,"=1")=2,TRUE),IF(COUNTIF(S$42:S$46,"=2")=2,TRUE))</formula>
    </cfRule>
    <cfRule type="expression" dxfId="4254" priority="342">
      <formula>AND(R42=4,IF(COUNTIF(R$42:R$46,"=4")=1,TRUE))</formula>
    </cfRule>
    <cfRule type="expression" dxfId="4253" priority="343">
      <formula>AND(R42=3,IF(COUNTIF(R$42:R$46,"=3")=1,TRUE))</formula>
    </cfRule>
    <cfRule type="expression" dxfId="4252" priority="344">
      <formula>AND(R42=2,IF(COUNTIF(R$42:R$46,"=2")=1,TRUE))</formula>
    </cfRule>
    <cfRule type="expression" dxfId="4251" priority="345">
      <formula>AND(R42=1,IF(COUNTIF(R$42:R$46,"=1")=1,TRUE))</formula>
    </cfRule>
    <cfRule type="expression" dxfId="4250" priority="346">
      <formula>OR(R42=0,R42=5)</formula>
    </cfRule>
  </conditionalFormatting>
  <conditionalFormatting sqref="H42:H46">
    <cfRule type="expression" dxfId="4249" priority="313">
      <formula>AND(Q42=4,IF(COUNTIF(Q$42:Q$46,"=4")&gt;=2,TRUE))</formula>
    </cfRule>
    <cfRule type="expression" dxfId="4248" priority="314">
      <formula>AND(Q42=3,IF(COUNTIF(Q$42:Q$46,"=3")&gt;=2,TRUE))</formula>
    </cfRule>
    <cfRule type="expression" dxfId="4247" priority="315">
      <formula>AND(Q42=2,IF(COUNTIF(Q$42:Q$46,"=2")&gt;=2,TRUE))</formula>
    </cfRule>
    <cfRule type="expression" dxfId="4246" priority="316">
      <formula>AND(Q42=1,IF(COUNTIF(Q$42:Q$46,"=1")&gt;=2,TRUE))</formula>
    </cfRule>
  </conditionalFormatting>
  <conditionalFormatting sqref="E196 E198">
    <cfRule type="containsBlanks" dxfId="4245" priority="48">
      <formula>LEN(TRIM(E196))=0</formula>
    </cfRule>
  </conditionalFormatting>
  <conditionalFormatting sqref="G179 G181">
    <cfRule type="containsBlanks" dxfId="4244" priority="80">
      <formula>LEN(TRIM(G179))=0</formula>
    </cfRule>
  </conditionalFormatting>
  <conditionalFormatting sqref="A102:A132">
    <cfRule type="cellIs" priority="24" stopIfTrue="1" operator="equal">
      <formula>"-"</formula>
    </cfRule>
    <cfRule type="duplicateValues" dxfId="4243" priority="171"/>
  </conditionalFormatting>
  <conditionalFormatting sqref="C102 C104">
    <cfRule type="aboveAverage" dxfId="4242" priority="170"/>
  </conditionalFormatting>
  <conditionalFormatting sqref="C102 C104">
    <cfRule type="containsBlanks" dxfId="4241" priority="169">
      <formula>LEN(TRIM(C102))=0</formula>
    </cfRule>
  </conditionalFormatting>
  <conditionalFormatting sqref="C114 C116">
    <cfRule type="aboveAverage" dxfId="4240" priority="168"/>
  </conditionalFormatting>
  <conditionalFormatting sqref="C114 C116">
    <cfRule type="containsBlanks" dxfId="4239" priority="167">
      <formula>LEN(TRIM(C114))=0</formula>
    </cfRule>
  </conditionalFormatting>
  <conditionalFormatting sqref="C118 C120">
    <cfRule type="aboveAverage" dxfId="4238" priority="166"/>
  </conditionalFormatting>
  <conditionalFormatting sqref="C118 C120">
    <cfRule type="containsBlanks" dxfId="4237" priority="165">
      <formula>LEN(TRIM(C118))=0</formula>
    </cfRule>
  </conditionalFormatting>
  <conditionalFormatting sqref="C126 C128">
    <cfRule type="aboveAverage" dxfId="4236" priority="164"/>
  </conditionalFormatting>
  <conditionalFormatting sqref="C126 C128">
    <cfRule type="containsBlanks" dxfId="4235" priority="163">
      <formula>LEN(TRIM(C126))=0</formula>
    </cfRule>
  </conditionalFormatting>
  <conditionalFormatting sqref="C106 C108">
    <cfRule type="aboveAverage" dxfId="4234" priority="162"/>
  </conditionalFormatting>
  <conditionalFormatting sqref="C106 C108">
    <cfRule type="containsBlanks" dxfId="4233" priority="161">
      <formula>LEN(TRIM(C106))=0</formula>
    </cfRule>
  </conditionalFormatting>
  <conditionalFormatting sqref="C110 C112">
    <cfRule type="aboveAverage" dxfId="4232" priority="160"/>
  </conditionalFormatting>
  <conditionalFormatting sqref="C110 C112">
    <cfRule type="containsBlanks" dxfId="4231" priority="159">
      <formula>LEN(TRIM(C110))=0</formula>
    </cfRule>
  </conditionalFormatting>
  <conditionalFormatting sqref="C122 C124">
    <cfRule type="aboveAverage" dxfId="4230" priority="158"/>
  </conditionalFormatting>
  <conditionalFormatting sqref="C122 C124">
    <cfRule type="containsBlanks" dxfId="4229" priority="157">
      <formula>LEN(TRIM(C122))=0</formula>
    </cfRule>
  </conditionalFormatting>
  <conditionalFormatting sqref="C130 C132">
    <cfRule type="aboveAverage" dxfId="4228" priority="156"/>
  </conditionalFormatting>
  <conditionalFormatting sqref="C130 C132">
    <cfRule type="containsBlanks" dxfId="4227" priority="155">
      <formula>LEN(TRIM(C130))=0</formula>
    </cfRule>
  </conditionalFormatting>
  <conditionalFormatting sqref="E103 E107">
    <cfRule type="containsBlanks" dxfId="4226" priority="153">
      <formula>LEN(TRIM(E103))=0</formula>
    </cfRule>
    <cfRule type="aboveAverage" dxfId="4225" priority="154"/>
  </conditionalFormatting>
  <conditionalFormatting sqref="E111 E115">
    <cfRule type="containsBlanks" dxfId="4224" priority="151">
      <formula>LEN(TRIM(E111))=0</formula>
    </cfRule>
    <cfRule type="aboveAverage" dxfId="4223" priority="152"/>
  </conditionalFormatting>
  <conditionalFormatting sqref="E119 E123">
    <cfRule type="containsBlanks" dxfId="4222" priority="149">
      <formula>LEN(TRIM(E119))=0</formula>
    </cfRule>
    <cfRule type="aboveAverage" dxfId="4221" priority="150"/>
  </conditionalFormatting>
  <conditionalFormatting sqref="E127 E131">
    <cfRule type="containsBlanks" dxfId="4220" priority="147">
      <formula>LEN(TRIM(E127))=0</formula>
    </cfRule>
    <cfRule type="aboveAverage" dxfId="4219" priority="148"/>
  </conditionalFormatting>
  <conditionalFormatting sqref="I141 I145">
    <cfRule type="containsBlanks" dxfId="4218" priority="145">
      <formula>LEN(TRIM(I141))=0</formula>
    </cfRule>
    <cfRule type="aboveAverage" dxfId="4217" priority="146"/>
  </conditionalFormatting>
  <conditionalFormatting sqref="G140 G142">
    <cfRule type="aboveAverage" dxfId="4216" priority="144"/>
  </conditionalFormatting>
  <conditionalFormatting sqref="G140 G142">
    <cfRule type="containsBlanks" dxfId="4215" priority="143">
      <formula>LEN(TRIM(G140))=0</formula>
    </cfRule>
  </conditionalFormatting>
  <conditionalFormatting sqref="G144 G146">
    <cfRule type="aboveAverage" dxfId="4214" priority="142"/>
  </conditionalFormatting>
  <conditionalFormatting sqref="G144 G146">
    <cfRule type="containsBlanks" dxfId="4213" priority="141">
      <formula>LEN(TRIM(G144))=0</formula>
    </cfRule>
  </conditionalFormatting>
  <conditionalFormatting sqref="I131 I133">
    <cfRule type="aboveAverage" dxfId="4212" priority="140"/>
  </conditionalFormatting>
  <conditionalFormatting sqref="I131 I133">
    <cfRule type="containsBlanks" dxfId="4211" priority="139">
      <formula>LEN(TRIM(I131))=0</formula>
    </cfRule>
  </conditionalFormatting>
  <conditionalFormatting sqref="I148 I150">
    <cfRule type="aboveAverage" dxfId="4210" priority="138"/>
  </conditionalFormatting>
  <conditionalFormatting sqref="I148 I150">
    <cfRule type="containsBlanks" dxfId="4209" priority="137">
      <formula>LEN(TRIM(I148))=0</formula>
    </cfRule>
  </conditionalFormatting>
  <conditionalFormatting sqref="G105 G113">
    <cfRule type="containsBlanks" dxfId="4208" priority="135">
      <formula>LEN(TRIM(G105))=0</formula>
    </cfRule>
    <cfRule type="aboveAverage" dxfId="4207" priority="136"/>
  </conditionalFormatting>
  <conditionalFormatting sqref="G121 G129">
    <cfRule type="containsBlanks" dxfId="4206" priority="133">
      <formula>LEN(TRIM(G121))=0</formula>
    </cfRule>
    <cfRule type="aboveAverage" dxfId="4205" priority="134"/>
  </conditionalFormatting>
  <conditionalFormatting sqref="I109 I125">
    <cfRule type="containsBlanks" dxfId="4204" priority="131">
      <formula>LEN(TRIM(I109))=0</formula>
    </cfRule>
    <cfRule type="aboveAverage" dxfId="4203" priority="132"/>
  </conditionalFormatting>
  <conditionalFormatting sqref="E157 E159">
    <cfRule type="aboveAverage" dxfId="4202" priority="130"/>
  </conditionalFormatting>
  <conditionalFormatting sqref="E157 E159">
    <cfRule type="containsBlanks" dxfId="4201" priority="129">
      <formula>LEN(TRIM(E157))=0</formula>
    </cfRule>
  </conditionalFormatting>
  <conditionalFormatting sqref="G183 G185">
    <cfRule type="containsBlanks" dxfId="4200" priority="78">
      <formula>LEN(TRIM(G183))=0</formula>
    </cfRule>
  </conditionalFormatting>
  <conditionalFormatting sqref="I187 I189">
    <cfRule type="containsBlanks" dxfId="4199" priority="76">
      <formula>LEN(TRIM(I187))=0</formula>
    </cfRule>
  </conditionalFormatting>
  <conditionalFormatting sqref="G158 G162">
    <cfRule type="containsBlanks" dxfId="4198" priority="110">
      <formula>LEN(TRIM(G158))=0</formula>
    </cfRule>
    <cfRule type="aboveAverage" dxfId="4197" priority="111"/>
  </conditionalFormatting>
  <conditionalFormatting sqref="G166 G170">
    <cfRule type="containsBlanks" dxfId="4196" priority="108">
      <formula>LEN(TRIM(G166))=0</formula>
    </cfRule>
    <cfRule type="aboveAverage" dxfId="4195" priority="109"/>
  </conditionalFormatting>
  <conditionalFormatting sqref="E161 E163">
    <cfRule type="aboveAverage" dxfId="4194" priority="99"/>
  </conditionalFormatting>
  <conditionalFormatting sqref="E161 E163">
    <cfRule type="containsBlanks" dxfId="4193" priority="98">
      <formula>LEN(TRIM(E161))=0</formula>
    </cfRule>
  </conditionalFormatting>
  <conditionalFormatting sqref="E165 E167">
    <cfRule type="aboveAverage" dxfId="4192" priority="97"/>
  </conditionalFormatting>
  <conditionalFormatting sqref="E165 E167">
    <cfRule type="containsBlanks" dxfId="4191" priority="96">
      <formula>LEN(TRIM(E165))=0</formula>
    </cfRule>
  </conditionalFormatting>
  <conditionalFormatting sqref="E169 E171">
    <cfRule type="aboveAverage" dxfId="4190" priority="95"/>
  </conditionalFormatting>
  <conditionalFormatting sqref="E169 E171">
    <cfRule type="containsBlanks" dxfId="4189" priority="94">
      <formula>LEN(TRIM(E169))=0</formula>
    </cfRule>
  </conditionalFormatting>
  <conditionalFormatting sqref="I172 I174">
    <cfRule type="aboveAverage" dxfId="4188" priority="93"/>
  </conditionalFormatting>
  <conditionalFormatting sqref="I172 I174">
    <cfRule type="containsBlanks" dxfId="4187" priority="92">
      <formula>LEN(TRIM(I172))=0</formula>
    </cfRule>
  </conditionalFormatting>
  <conditionalFormatting sqref="E200 E202">
    <cfRule type="containsBlanks" dxfId="4186" priority="42">
      <formula>LEN(TRIM(E200))=0</formula>
    </cfRule>
  </conditionalFormatting>
  <conditionalFormatting sqref="I160 I168">
    <cfRule type="containsBlanks" dxfId="4185" priority="88">
      <formula>LEN(TRIM(I160))=0</formula>
    </cfRule>
    <cfRule type="aboveAverage" dxfId="4184" priority="89"/>
  </conditionalFormatting>
  <conditionalFormatting sqref="I180 I184">
    <cfRule type="containsBlanks" dxfId="4183" priority="82">
      <formula>LEN(TRIM(I180))=0</formula>
    </cfRule>
    <cfRule type="aboveAverage" dxfId="4182" priority="83"/>
  </conditionalFormatting>
  <conditionalFormatting sqref="G179 G181">
    <cfRule type="aboveAverage" dxfId="4181" priority="81"/>
  </conditionalFormatting>
  <conditionalFormatting sqref="G183 G185">
    <cfRule type="aboveAverage" dxfId="4180" priority="79"/>
  </conditionalFormatting>
  <conditionalFormatting sqref="I187 I189">
    <cfRule type="aboveAverage" dxfId="4179" priority="77"/>
  </conditionalFormatting>
  <conditionalFormatting sqref="E196 E198">
    <cfRule type="aboveAverage" dxfId="4178" priority="49"/>
  </conditionalFormatting>
  <conditionalFormatting sqref="G197 G201">
    <cfRule type="containsBlanks" dxfId="4177" priority="46">
      <formula>LEN(TRIM(G197))=0</formula>
    </cfRule>
    <cfRule type="aboveAverage" dxfId="4176" priority="47"/>
  </conditionalFormatting>
  <conditionalFormatting sqref="G205 G209">
    <cfRule type="containsBlanks" dxfId="4175" priority="44">
      <formula>LEN(TRIM(G205))=0</formula>
    </cfRule>
    <cfRule type="aboveAverage" dxfId="4174" priority="45"/>
  </conditionalFormatting>
  <conditionalFormatting sqref="E200 E202">
    <cfRule type="aboveAverage" dxfId="4173" priority="43"/>
  </conditionalFormatting>
  <conditionalFormatting sqref="E204 E206">
    <cfRule type="aboveAverage" dxfId="4172" priority="41"/>
  </conditionalFormatting>
  <conditionalFormatting sqref="E204 E206">
    <cfRule type="containsBlanks" dxfId="4171" priority="40">
      <formula>LEN(TRIM(E204))=0</formula>
    </cfRule>
  </conditionalFormatting>
  <conditionalFormatting sqref="E208 E210">
    <cfRule type="aboveAverage" dxfId="4170" priority="39"/>
  </conditionalFormatting>
  <conditionalFormatting sqref="E208 E210">
    <cfRule type="containsBlanks" dxfId="4169" priority="38">
      <formula>LEN(TRIM(E208))=0</formula>
    </cfRule>
  </conditionalFormatting>
  <conditionalFormatting sqref="I211 I213">
    <cfRule type="aboveAverage" dxfId="4168" priority="37"/>
  </conditionalFormatting>
  <conditionalFormatting sqref="I211 I213">
    <cfRule type="containsBlanks" dxfId="4167" priority="36">
      <formula>LEN(TRIM(I211))=0</formula>
    </cfRule>
  </conditionalFormatting>
  <conditionalFormatting sqref="I199 I207">
    <cfRule type="containsBlanks" dxfId="4166" priority="34">
      <formula>LEN(TRIM(I199))=0</formula>
    </cfRule>
    <cfRule type="aboveAverage" dxfId="4165" priority="35"/>
  </conditionalFormatting>
  <conditionalFormatting sqref="I219 I223">
    <cfRule type="containsBlanks" dxfId="4164" priority="32">
      <formula>LEN(TRIM(I219))=0</formula>
    </cfRule>
    <cfRule type="aboveAverage" dxfId="4163" priority="33"/>
  </conditionalFormatting>
  <conditionalFormatting sqref="G218 G220">
    <cfRule type="aboveAverage" dxfId="4162" priority="31"/>
  </conditionalFormatting>
  <conditionalFormatting sqref="G218 G220">
    <cfRule type="containsBlanks" dxfId="4161" priority="30">
      <formula>LEN(TRIM(G218))=0</formula>
    </cfRule>
  </conditionalFormatting>
  <conditionalFormatting sqref="G222 G224">
    <cfRule type="aboveAverage" dxfId="4160" priority="29"/>
  </conditionalFormatting>
  <conditionalFormatting sqref="G222 G224">
    <cfRule type="containsBlanks" dxfId="4159" priority="28">
      <formula>LEN(TRIM(G222))=0</formula>
    </cfRule>
  </conditionalFormatting>
  <conditionalFormatting sqref="I226 I228">
    <cfRule type="aboveAverage" dxfId="4158" priority="27"/>
  </conditionalFormatting>
  <conditionalFormatting sqref="I226 I228">
    <cfRule type="containsBlanks" dxfId="4157" priority="26">
      <formula>LEN(TRIM(I226))=0</formula>
    </cfRule>
  </conditionalFormatting>
  <conditionalFormatting sqref="B300:B317">
    <cfRule type="expression" dxfId="4156" priority="622">
      <formula>A300=3</formula>
    </cfRule>
    <cfRule type="expression" dxfId="4155" priority="623">
      <formula>A300=2</formula>
    </cfRule>
    <cfRule type="expression" dxfId="4154" priority="624">
      <formula>A300=1</formula>
    </cfRule>
    <cfRule type="containsBlanks" dxfId="4153" priority="625">
      <formula>LEN(TRIM(B300))=0</formula>
    </cfRule>
    <cfRule type="duplicateValues" dxfId="4152" priority="626"/>
  </conditionalFormatting>
  <conditionalFormatting sqref="AJ7:AJ44">
    <cfRule type="expression" dxfId="4151" priority="17">
      <formula>AND(AI7="",FIND(",",AJ7))</formula>
    </cfRule>
    <cfRule type="expression" dxfId="4150" priority="19">
      <formula>AND(AI7="",COUNTIF(AJ7,"*,*")=0)</formula>
    </cfRule>
  </conditionalFormatting>
  <conditionalFormatting sqref="AH7:AH44">
    <cfRule type="expression" dxfId="4149" priority="20">
      <formula>AND(AG7="",FIND(",",AH7))</formula>
    </cfRule>
    <cfRule type="expression" dxfId="4148" priority="21">
      <formula>AND(AG7="",COUNTIF(AH7,"*,*")=0)</formula>
    </cfRule>
  </conditionalFormatting>
  <conditionalFormatting sqref="AL7:AL44">
    <cfRule type="expression" dxfId="4147" priority="22">
      <formula>AND(AK7="",FIND(",",AL7))</formula>
    </cfRule>
    <cfRule type="expression" dxfId="4146" priority="23">
      <formula>AND(AK7="",COUNTIF(AL7,"*,*")=0)</formula>
    </cfRule>
  </conditionalFormatting>
  <conditionalFormatting sqref="AF7:AF44">
    <cfRule type="expression" dxfId="4145" priority="18">
      <formula>AND(AE7="",COUNTIF(AF7,"*,*")=0)</formula>
    </cfRule>
  </conditionalFormatting>
  <conditionalFormatting sqref="AN7:AN44">
    <cfRule type="expression" dxfId="4144" priority="14">
      <formula>AND(AM7="",COUNTIF(AN7,"*,*")=0)</formula>
    </cfRule>
    <cfRule type="expression" dxfId="4143" priority="16">
      <formula>AND(AM7="",FIND(",",AN7))</formula>
    </cfRule>
  </conditionalFormatting>
  <conditionalFormatting sqref="AP7:AP44">
    <cfRule type="expression" dxfId="4142" priority="13">
      <formula>AND(AO7="",COUNTIF(AP7,"*,*")=0)</formula>
    </cfRule>
    <cfRule type="expression" dxfId="4141" priority="15">
      <formula>AND(AO7="",FIND(",",AP7))</formula>
    </cfRule>
  </conditionalFormatting>
  <conditionalFormatting sqref="I28:I32">
    <cfRule type="expression" dxfId="4140" priority="7">
      <formula>FIND(2,I28,1)</formula>
    </cfRule>
    <cfRule type="expression" dxfId="4139" priority="8">
      <formula>FIND(1,I28,1)</formula>
    </cfRule>
  </conditionalFormatting>
  <conditionalFormatting sqref="I21:I25">
    <cfRule type="expression" dxfId="4138" priority="9">
      <formula>FIND(2,I21,1)</formula>
    </cfRule>
    <cfRule type="expression" dxfId="4137" priority="10">
      <formula>FIND(1,I21,1)</formula>
    </cfRule>
  </conditionalFormatting>
  <conditionalFormatting sqref="I7:I11">
    <cfRule type="expression" dxfId="4136" priority="11">
      <formula>FIND(2,I7,1)</formula>
    </cfRule>
    <cfRule type="expression" dxfId="4135" priority="12">
      <formula>FIND(1,I7,1)</formula>
    </cfRule>
  </conditionalFormatting>
  <conditionalFormatting sqref="I35:I39">
    <cfRule type="expression" dxfId="4134" priority="5">
      <formula>FIND(2,I35,1)</formula>
    </cfRule>
    <cfRule type="expression" dxfId="4133" priority="6">
      <formula>FIND(1,I35,1)</formula>
    </cfRule>
  </conditionalFormatting>
  <conditionalFormatting sqref="I42:I46">
    <cfRule type="expression" dxfId="4132" priority="3">
      <formula>FIND(2,I42,1)</formula>
    </cfRule>
    <cfRule type="expression" dxfId="4131" priority="4">
      <formula>FIND(1,I42,1)</formula>
    </cfRule>
  </conditionalFormatting>
  <conditionalFormatting sqref="I14:I18">
    <cfRule type="expression" dxfId="4130" priority="1">
      <formula>FIND(2,I14,1)</formula>
    </cfRule>
    <cfRule type="expression" dxfId="4129" priority="2">
      <formula>FIND(1,I14,1)</formula>
    </cfRule>
  </conditionalFormatting>
  <pageMargins left="0.78740157480314965" right="0.39370078740157483" top="0.78740157480314965" bottom="0.39370078740157483" header="0.78740157480314965" footer="0"/>
  <pageSetup paperSize="9" fitToHeight="0" orientation="landscape" verticalDpi="1200" r:id="rId1"/>
  <headerFooter>
    <oddHeader>&amp;R&amp;P. leht &amp;N&amp; -st</oddHeader>
  </headerFooter>
  <rowBreaks count="4" manualBreakCount="4">
    <brk id="98" max="16383" man="1"/>
    <brk id="136" max="16383" man="1"/>
    <brk id="192" max="16383" man="1"/>
    <brk id="231"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AP312"/>
  <sheetViews>
    <sheetView showGridLines="0" showRowColHeaders="0" workbookViewId="0">
      <pane ySplit="1" topLeftCell="A2" activePane="bottomLeft" state="frozen"/>
      <selection pane="bottomLeft" activeCell="A5" sqref="A5"/>
    </sheetView>
  </sheetViews>
  <sheetFormatPr defaultRowHeight="12.75" x14ac:dyDescent="0.2"/>
  <cols>
    <col min="1" max="1" width="3.28515625" style="1" customWidth="1"/>
    <col min="2" max="2" width="34.42578125" style="1" customWidth="1"/>
    <col min="3" max="3" width="4.7109375" style="1" customWidth="1"/>
    <col min="4" max="4" width="1.140625" style="1" customWidth="1"/>
    <col min="5" max="5" width="2.7109375" style="1" customWidth="1"/>
    <col min="6" max="6" width="9.140625" style="1"/>
    <col min="7" max="7" width="2.7109375" style="1" customWidth="1"/>
    <col min="8" max="8" width="1.140625" style="1" customWidth="1"/>
    <col min="9" max="9" width="2.7109375" style="1" customWidth="1"/>
    <col min="10" max="10" width="9.140625" style="1"/>
    <col min="11" max="11" width="2.7109375" style="1" customWidth="1"/>
    <col min="12" max="12" width="1.140625" style="1" customWidth="1"/>
    <col min="13" max="13" width="2.7109375" style="1" customWidth="1"/>
    <col min="14" max="14" width="9.140625" style="1"/>
    <col min="15" max="15" width="2.7109375" style="1" customWidth="1"/>
    <col min="16" max="16" width="1.140625" style="1" customWidth="1"/>
    <col min="17" max="17" width="2.7109375" style="1" customWidth="1"/>
    <col min="18" max="18" width="9.140625" style="1"/>
    <col min="19" max="19" width="2.7109375" style="1" customWidth="1"/>
    <col min="20" max="20" width="1.140625" style="1" customWidth="1"/>
    <col min="21" max="21" width="2.7109375" style="1" customWidth="1"/>
    <col min="22" max="22" width="9.140625" style="1"/>
    <col min="23" max="23" width="5.7109375" style="1" bestFit="1" customWidth="1"/>
    <col min="24" max="24" width="5.5703125" style="1" hidden="1" customWidth="1"/>
    <col min="25" max="25" width="2.7109375" style="1" customWidth="1"/>
    <col min="26" max="26" width="1.140625" style="1" customWidth="1"/>
    <col min="27" max="27" width="2.7109375" style="1" customWidth="1"/>
    <col min="28" max="28" width="4.7109375" style="1" customWidth="1"/>
    <col min="29" max="29" width="9.140625" style="1"/>
    <col min="30" max="31" width="9.140625" style="1" hidden="1" customWidth="1"/>
    <col min="32" max="32" width="16.5703125" style="1" hidden="1" customWidth="1"/>
    <col min="33" max="33" width="9.140625" style="1" hidden="1" customWidth="1"/>
    <col min="34" max="34" width="32.42578125" style="1" hidden="1" customWidth="1"/>
    <col min="35" max="35" width="9.140625" style="1" hidden="1" customWidth="1"/>
    <col min="36" max="36" width="20.85546875" style="1" hidden="1" customWidth="1"/>
    <col min="37" max="37" width="9.140625" style="1" hidden="1" customWidth="1"/>
    <col min="38" max="38" width="13.85546875" style="1" hidden="1" customWidth="1"/>
    <col min="39" max="39" width="9.140625" style="1" hidden="1" customWidth="1"/>
    <col min="40" max="40" width="17.28515625" style="1" hidden="1" customWidth="1"/>
    <col min="41" max="41" width="9.140625" style="1" hidden="1" customWidth="1"/>
    <col min="42" max="42" width="13.85546875" style="1" hidden="1" customWidth="1"/>
    <col min="43" max="16384" width="9.140625" style="1"/>
  </cols>
  <sheetData>
    <row r="1" spans="1:42" x14ac:dyDescent="0.2">
      <c r="A1" s="400" t="str">
        <f>UPPER((Kalend!E9)&amp;" - "&amp;(Kalend!C9))&amp;" - "&amp;LOWER(Kalend!D9)&amp;" - "&amp;(Kalend!A9)&amp;" kell "&amp;(Kalend!B9)&amp;" - "&amp;(Kalend!F9)</f>
        <v>V3 - VOKA III SISE-KV 3. ETAPP - duo - P, 10.11.2019 kell 11:00 - Voka petangihall</v>
      </c>
      <c r="O1" s="271"/>
      <c r="P1" s="271"/>
      <c r="Q1" s="312"/>
      <c r="R1" s="312"/>
      <c r="S1" s="312"/>
      <c r="T1" s="70"/>
      <c r="U1" s="70"/>
      <c r="V1" s="70"/>
      <c r="W1" s="271"/>
      <c r="X1" s="532"/>
      <c r="Y1" s="271"/>
      <c r="Z1" s="271"/>
      <c r="AD1" s="152" t="s">
        <v>94</v>
      </c>
      <c r="AE1" s="402"/>
      <c r="AF1" s="402"/>
      <c r="AG1" s="402"/>
      <c r="AH1" s="402"/>
      <c r="AI1" s="402"/>
      <c r="AJ1" s="402"/>
      <c r="AK1" s="402"/>
      <c r="AL1" s="402"/>
      <c r="AM1" s="402"/>
      <c r="AN1" s="402"/>
      <c r="AO1" s="532"/>
      <c r="AP1" s="532"/>
    </row>
    <row r="2" spans="1:42" hidden="1" x14ac:dyDescent="0.2">
      <c r="F2" s="271"/>
      <c r="L2" s="409"/>
      <c r="M2" s="409"/>
      <c r="N2" s="409"/>
      <c r="O2" s="271"/>
      <c r="P2" s="271"/>
      <c r="Q2" s="271"/>
      <c r="R2" s="271"/>
      <c r="S2" s="271"/>
      <c r="T2" s="409"/>
      <c r="U2" s="409"/>
      <c r="V2" s="410" t="s">
        <v>253</v>
      </c>
      <c r="W2" s="411">
        <v>1</v>
      </c>
      <c r="Y2" s="412" t="s">
        <v>254</v>
      </c>
      <c r="Z2" s="271"/>
      <c r="AD2" s="271"/>
      <c r="AE2" s="271"/>
      <c r="AF2" s="271"/>
      <c r="AG2" s="271"/>
      <c r="AH2" s="271"/>
      <c r="AI2" s="271"/>
      <c r="AJ2" s="412"/>
      <c r="AK2" s="271"/>
      <c r="AL2" s="271"/>
      <c r="AM2" s="271"/>
      <c r="AN2" s="271"/>
    </row>
    <row r="3" spans="1:42" hidden="1" x14ac:dyDescent="0.2">
      <c r="F3" s="271"/>
      <c r="L3" s="409"/>
      <c r="M3" s="409"/>
      <c r="N3" s="409"/>
      <c r="O3" s="271"/>
      <c r="P3" s="271"/>
      <c r="Q3" s="271"/>
      <c r="R3" s="271"/>
      <c r="S3" s="271"/>
      <c r="T3" s="409"/>
      <c r="U3" s="409"/>
      <c r="V3" s="413" t="s">
        <v>255</v>
      </c>
      <c r="W3" s="411">
        <v>0.5</v>
      </c>
      <c r="Y3" s="412" t="s">
        <v>254</v>
      </c>
      <c r="Z3" s="271"/>
      <c r="AE3" s="271"/>
      <c r="AG3" s="271"/>
      <c r="AH3" s="271"/>
      <c r="AI3" s="271"/>
      <c r="AJ3" s="271"/>
      <c r="AK3" s="271"/>
      <c r="AL3" s="271"/>
      <c r="AM3" s="271"/>
      <c r="AN3" s="271"/>
    </row>
    <row r="4" spans="1:42" hidden="1" x14ac:dyDescent="0.2">
      <c r="F4" s="271"/>
      <c r="L4" s="271"/>
      <c r="M4" s="271"/>
      <c r="N4" s="271"/>
      <c r="O4" s="271"/>
      <c r="P4" s="271"/>
      <c r="Q4" s="271"/>
      <c r="R4" s="271"/>
      <c r="S4" s="271"/>
      <c r="T4" s="271"/>
      <c r="U4" s="271"/>
      <c r="V4" s="414" t="s">
        <v>256</v>
      </c>
      <c r="W4" s="411">
        <v>0</v>
      </c>
      <c r="Y4" s="412" t="s">
        <v>254</v>
      </c>
      <c r="Z4" s="271"/>
      <c r="AA4" s="271"/>
      <c r="AE4" s="409"/>
      <c r="AF4" s="409"/>
      <c r="AG4" s="409"/>
      <c r="AH4" s="376"/>
      <c r="AI4" s="409"/>
      <c r="AJ4" s="409"/>
      <c r="AK4" s="409"/>
      <c r="AL4" s="409"/>
      <c r="AM4" s="409"/>
      <c r="AN4" s="409"/>
      <c r="AO4" s="409"/>
      <c r="AP4" s="409"/>
    </row>
    <row r="5" spans="1:42" x14ac:dyDescent="0.2">
      <c r="F5" s="271"/>
      <c r="L5" s="271"/>
      <c r="M5" s="271"/>
      <c r="N5" s="271"/>
      <c r="O5" s="271"/>
      <c r="P5" s="271"/>
      <c r="Q5" s="271"/>
      <c r="R5" s="271"/>
      <c r="S5" s="271"/>
      <c r="T5" s="271"/>
      <c r="U5" s="271"/>
      <c r="V5" s="271"/>
      <c r="W5" s="271"/>
      <c r="X5" s="271"/>
      <c r="Y5" s="271"/>
      <c r="Z5" s="271"/>
      <c r="AA5" s="967" t="s">
        <v>476</v>
      </c>
      <c r="AC5" s="271"/>
      <c r="AD5" s="964" t="s">
        <v>214</v>
      </c>
    </row>
    <row r="6" spans="1:42" x14ac:dyDescent="0.2">
      <c r="A6" s="607" t="s">
        <v>10</v>
      </c>
      <c r="B6" s="607" t="s">
        <v>79</v>
      </c>
      <c r="C6" s="608" t="s">
        <v>171</v>
      </c>
      <c r="D6" s="609"/>
      <c r="E6" s="609"/>
      <c r="F6" s="610"/>
      <c r="G6" s="608" t="s">
        <v>174</v>
      </c>
      <c r="H6" s="609"/>
      <c r="I6" s="609"/>
      <c r="J6" s="610"/>
      <c r="K6" s="608" t="s">
        <v>177</v>
      </c>
      <c r="L6" s="609"/>
      <c r="M6" s="609"/>
      <c r="N6" s="610"/>
      <c r="O6" s="608" t="s">
        <v>180</v>
      </c>
      <c r="P6" s="609"/>
      <c r="Q6" s="609"/>
      <c r="R6" s="610"/>
      <c r="S6" s="608" t="s">
        <v>182</v>
      </c>
      <c r="T6" s="609"/>
      <c r="U6" s="609"/>
      <c r="V6" s="610"/>
      <c r="W6" s="607" t="s">
        <v>102</v>
      </c>
      <c r="X6" s="611" t="s">
        <v>361</v>
      </c>
      <c r="Y6" s="611"/>
      <c r="Z6" s="612" t="s">
        <v>362</v>
      </c>
      <c r="AA6" s="613"/>
      <c r="AB6" s="271"/>
      <c r="AC6" s="271"/>
      <c r="AD6" s="272" t="s">
        <v>370</v>
      </c>
      <c r="AE6" s="273"/>
      <c r="AF6" s="273" t="s">
        <v>249</v>
      </c>
      <c r="AG6" s="273"/>
      <c r="AH6" s="403" t="s">
        <v>250</v>
      </c>
      <c r="AI6" s="273"/>
      <c r="AJ6" s="273" t="s">
        <v>251</v>
      </c>
      <c r="AK6" s="274"/>
      <c r="AL6" s="273" t="s">
        <v>252</v>
      </c>
      <c r="AM6" s="274"/>
      <c r="AN6" s="274" t="s">
        <v>472</v>
      </c>
      <c r="AO6" s="945"/>
      <c r="AP6" s="274" t="s">
        <v>473</v>
      </c>
    </row>
    <row r="7" spans="1:42" x14ac:dyDescent="0.2">
      <c r="A7" s="614">
        <v>1</v>
      </c>
      <c r="B7" s="542" t="s">
        <v>278</v>
      </c>
      <c r="C7" s="615">
        <v>13</v>
      </c>
      <c r="D7" s="616" t="s">
        <v>363</v>
      </c>
      <c r="E7" s="617">
        <v>7</v>
      </c>
      <c r="F7" s="618" t="str">
        <f>B18</f>
        <v>Enn Tokman, Tarmo Bombe</v>
      </c>
      <c r="G7" s="615">
        <v>13</v>
      </c>
      <c r="H7" s="616" t="s">
        <v>363</v>
      </c>
      <c r="I7" s="617">
        <v>11</v>
      </c>
      <c r="J7" s="618" t="str">
        <f>B8</f>
        <v>Matti Vinni, Vladimir Ogneštšikov</v>
      </c>
      <c r="K7" s="615">
        <v>13</v>
      </c>
      <c r="L7" s="616" t="s">
        <v>363</v>
      </c>
      <c r="M7" s="617">
        <v>9</v>
      </c>
      <c r="N7" s="618" t="str">
        <f>B10</f>
        <v>Jaan Sepp, Oskar Sepp</v>
      </c>
      <c r="O7" s="615">
        <v>13</v>
      </c>
      <c r="P7" s="616" t="s">
        <v>363</v>
      </c>
      <c r="Q7" s="617">
        <v>3</v>
      </c>
      <c r="R7" s="618" t="str">
        <f>B12</f>
        <v>Andrei Grintšak, Boriss Klubov</v>
      </c>
      <c r="S7" s="615">
        <v>13</v>
      </c>
      <c r="T7" s="616" t="s">
        <v>363</v>
      </c>
      <c r="U7" s="617">
        <v>5</v>
      </c>
      <c r="V7" s="618" t="str">
        <f>B13</f>
        <v>Johannes Neiland, Karla Purgats</v>
      </c>
      <c r="W7" s="619">
        <f t="shared" ref="W7:W19" si="0">IF(C7&gt;E7,W$2,IF(C7&lt;E7,W$4,IF(ISNUMBER(C7),W$3,0)))+IF(G7&gt;I7,W$2,IF(G7&lt;I7,W$4,IF(ISNUMBER(G7),W$3,0)))+IF(K7&gt;M7,W$2,IF(K7&lt;M7,W$4,IF(ISNUMBER(K7),W$3,0)))+IF(O7&gt;Q7,W$2,IF(O7&lt;Q7,W$4,IF(ISNUMBER(O7),W$3,0)))+IF(S7&gt;U7,W$2,IF(S7&lt;U7,W$4,IF(ISNUMBER(S7),W$3,0)))</f>
        <v>5</v>
      </c>
      <c r="X7" s="620"/>
      <c r="Y7" s="615">
        <f>C7+G7+K7+O7+S7</f>
        <v>65</v>
      </c>
      <c r="Z7" s="616" t="s">
        <v>363</v>
      </c>
      <c r="AA7" s="621">
        <f>E7+I7+M7+Q7+U7</f>
        <v>35</v>
      </c>
      <c r="AB7" s="622">
        <f>Y7-AA7</f>
        <v>30</v>
      </c>
      <c r="AD7" s="405">
        <f>SUM(AE7:AP7)</f>
        <v>365</v>
      </c>
      <c r="AE7" s="406">
        <f>IFERROR(INDEX(V!$R:$R,MATCH(AF7,V!$L:$L,0)),"")</f>
        <v>187</v>
      </c>
      <c r="AF7" s="407" t="str">
        <f>IFERROR(LEFT($B7,(FIND(",",$B7,1)-1)),"")</f>
        <v>Kenneth Muusikus</v>
      </c>
      <c r="AG7" s="406">
        <f>IFERROR(INDEX(V!$R:$R,MATCH(AH7,V!$L:$L,0)),"")</f>
        <v>178</v>
      </c>
      <c r="AH7" s="407" t="str">
        <f>IFERROR(MID($B7,FIND(", ",$B7)+2,256),"")</f>
        <v>Mait Metsla</v>
      </c>
      <c r="AI7" s="406" t="str">
        <f>IFERROR(INDEX(V!$R:$R,MATCH(AJ7,V!$L:$L,0)),"")</f>
        <v/>
      </c>
      <c r="AJ7" s="407" t="str">
        <f>IFERROR(MID($B7,FIND("^",SUBSTITUTE($B7,", ","^",1))+2,FIND("^",SUBSTITUTE($B7,", ","^",2))-FIND("^",SUBSTITUTE($B7,", ","^",1))-2),"")</f>
        <v/>
      </c>
      <c r="AK7" s="406" t="str">
        <f>IFERROR(INDEX(V!$R:$R,MATCH(AL7,V!$L:$L,0)),"")</f>
        <v/>
      </c>
      <c r="AL7" s="407" t="str">
        <f>IFERROR(MID($B7,FIND(", ",$B7,FIND(", ",$B7,FIND(", ",$B7))+1)+2,30000),"")</f>
        <v/>
      </c>
      <c r="AM7" s="406" t="str">
        <f>IFERROR(INDEX(V!$R:$R,MATCH(AN7,V!$L:$L,0)),"")</f>
        <v/>
      </c>
      <c r="AN7" s="407" t="str">
        <f>IFERROR(MID($B7,FIND(", ",$B7,FIND(", ",$B7)+1)+2,FIND(", ",$B7,FIND(", ",$B7,FIND(", ",$B7)+1)+1)-FIND(", ",$B7,FIND(", ",$B7)+1)-2),"")</f>
        <v/>
      </c>
      <c r="AO7" s="406" t="str">
        <f>IFERROR(INDEX(V!$R:$R,MATCH(AP7,V!$L:$L,0)),"")</f>
        <v/>
      </c>
      <c r="AP7" s="407" t="str">
        <f>IFERROR(MID($B7,FIND(", ",$B7,FIND(", ",$B7,FIND(", ",$B7)+1)+1)+2,30000),"")</f>
        <v/>
      </c>
    </row>
    <row r="8" spans="1:42" x14ac:dyDescent="0.2">
      <c r="A8" s="614">
        <v>2</v>
      </c>
      <c r="B8" s="542" t="s">
        <v>282</v>
      </c>
      <c r="C8" s="615">
        <v>13</v>
      </c>
      <c r="D8" s="616" t="s">
        <v>363</v>
      </c>
      <c r="E8" s="617">
        <v>6</v>
      </c>
      <c r="F8" s="618" t="str">
        <f>B17</f>
        <v>Alari Keedus, Ülo Piik</v>
      </c>
      <c r="G8" s="615">
        <v>11</v>
      </c>
      <c r="H8" s="616" t="s">
        <v>363</v>
      </c>
      <c r="I8" s="617">
        <v>13</v>
      </c>
      <c r="J8" s="618" t="str">
        <f>B7</f>
        <v>Kenneth Muusikus, Mait Metsla</v>
      </c>
      <c r="K8" s="615">
        <v>13</v>
      </c>
      <c r="L8" s="616" t="s">
        <v>363</v>
      </c>
      <c r="M8" s="617">
        <v>6</v>
      </c>
      <c r="N8" s="618" t="str">
        <f>B11</f>
        <v>Aigi Orro, Kalle Orro</v>
      </c>
      <c r="O8" s="615">
        <v>13</v>
      </c>
      <c r="P8" s="616" t="s">
        <v>363</v>
      </c>
      <c r="Q8" s="617">
        <v>7</v>
      </c>
      <c r="R8" s="618" t="str">
        <f>B9</f>
        <v>Kaspar Mänd, Urmas Randlaine</v>
      </c>
      <c r="S8" s="615">
        <v>13</v>
      </c>
      <c r="T8" s="616" t="s">
        <v>363</v>
      </c>
      <c r="U8" s="617">
        <v>11</v>
      </c>
      <c r="V8" s="618" t="str">
        <f>B10</f>
        <v>Jaan Sepp, Oskar Sepp</v>
      </c>
      <c r="W8" s="619">
        <f t="shared" si="0"/>
        <v>4</v>
      </c>
      <c r="X8" s="620"/>
      <c r="Y8" s="615">
        <f t="shared" ref="Y8:Y18" si="1">C8+G8+K8+O8+S8</f>
        <v>63</v>
      </c>
      <c r="Z8" s="616" t="s">
        <v>363</v>
      </c>
      <c r="AA8" s="621">
        <f t="shared" ref="AA8:AA18" si="2">E8+I8+M8+Q8+U8</f>
        <v>43</v>
      </c>
      <c r="AB8" s="622">
        <f t="shared" ref="AB8:AB18" si="3">Y8-AA8</f>
        <v>20</v>
      </c>
      <c r="AC8" s="404"/>
      <c r="AD8" s="405">
        <f t="shared" ref="AD8:AD11" si="4">SUM(AE8:AL8)</f>
        <v>320</v>
      </c>
      <c r="AE8" s="406">
        <f>IFERROR(INDEX(V!$R:$R,MATCH(AF8,V!$L:$L,0)),"")</f>
        <v>168</v>
      </c>
      <c r="AF8" s="407" t="str">
        <f t="shared" ref="AF8:AF19" si="5">IFERROR(LEFT($B8,(FIND(",",$B8,1)-1)),"")</f>
        <v>Matti Vinni</v>
      </c>
      <c r="AG8" s="406">
        <f>IFERROR(INDEX(V!$R:$R,MATCH(AH8,V!$L:$L,0)),"")</f>
        <v>152</v>
      </c>
      <c r="AH8" s="407" t="str">
        <f t="shared" ref="AH8:AH19" si="6">IFERROR(MID($B8,FIND(", ",$B8)+2,256),"")</f>
        <v>Vladimir Ogneštšikov</v>
      </c>
      <c r="AI8" s="406" t="str">
        <f>IFERROR(INDEX(V!$R:$R,MATCH(AJ8,V!$L:$L,0)),"")</f>
        <v/>
      </c>
      <c r="AJ8" s="407" t="str">
        <f t="shared" ref="AJ8:AJ19" si="7">IFERROR(MID($B8,FIND("^",SUBSTITUTE($B8,", ","^",1))+2,FIND("^",SUBSTITUTE($B8,", ","^",2))-FIND("^",SUBSTITUTE($B8,", ","^",1))-2),"")</f>
        <v/>
      </c>
      <c r="AK8" s="406" t="str">
        <f>IFERROR(INDEX(V!$R:$R,MATCH(AL8,V!$L:$L,0)),"")</f>
        <v/>
      </c>
      <c r="AL8" s="407" t="str">
        <f t="shared" ref="AL8:AL19" si="8">IFERROR(MID($B8,FIND(", ",$B8,FIND(", ",$B8,FIND(", ",$B8))+1)+2,30000),"")</f>
        <v/>
      </c>
      <c r="AM8" s="406" t="str">
        <f>IFERROR(INDEX(V!$R:$R,MATCH(AN8,V!$L:$L,0)),"")</f>
        <v/>
      </c>
      <c r="AN8" s="407" t="str">
        <f t="shared" ref="AN8:AN19" si="9">IFERROR(MID($B8,FIND(", ",$B8,FIND(", ",$B8)+1)+2,FIND(", ",$B8,FIND(", ",$B8,FIND(", ",$B8)+1)+1)-FIND(", ",$B8,FIND(", ",$B8)+1)-2),"")</f>
        <v/>
      </c>
      <c r="AO8" s="406" t="str">
        <f>IFERROR(INDEX(V!$R:$R,MATCH(AP8,V!$L:$L,0)),"")</f>
        <v/>
      </c>
      <c r="AP8" s="407" t="str">
        <f t="shared" ref="AP8:AP19" si="10">IFERROR(MID($B8,FIND(", ",$B8,FIND(", ",$B8,FIND(", ",$B8)+1)+1)+2,30000),"")</f>
        <v/>
      </c>
    </row>
    <row r="9" spans="1:42" x14ac:dyDescent="0.2">
      <c r="A9" s="614">
        <v>3</v>
      </c>
      <c r="B9" s="479" t="s">
        <v>270</v>
      </c>
      <c r="C9" s="615">
        <v>13</v>
      </c>
      <c r="D9" s="616" t="s">
        <v>363</v>
      </c>
      <c r="E9" s="617">
        <v>2</v>
      </c>
      <c r="F9" s="618" t="str">
        <f>B14</f>
        <v>Aurelia Meldre, Kristiin-Marleen Neiland, Meelis Luud</v>
      </c>
      <c r="G9" s="615">
        <v>13</v>
      </c>
      <c r="H9" s="616" t="s">
        <v>363</v>
      </c>
      <c r="I9" s="617">
        <v>11</v>
      </c>
      <c r="J9" s="618" t="str">
        <f>B11</f>
        <v>Aigi Orro, Kalle Orro</v>
      </c>
      <c r="K9" s="615">
        <v>8</v>
      </c>
      <c r="L9" s="616" t="s">
        <v>363</v>
      </c>
      <c r="M9" s="617">
        <v>13</v>
      </c>
      <c r="N9" s="618" t="str">
        <f>B12</f>
        <v>Andrei Grintšak, Boriss Klubov</v>
      </c>
      <c r="O9" s="615">
        <v>7</v>
      </c>
      <c r="P9" s="616" t="s">
        <v>363</v>
      </c>
      <c r="Q9" s="617">
        <v>13</v>
      </c>
      <c r="R9" s="618" t="str">
        <f>B8</f>
        <v>Matti Vinni, Vladimir Ogneštšikov</v>
      </c>
      <c r="S9" s="615">
        <v>13</v>
      </c>
      <c r="T9" s="616" t="s">
        <v>363</v>
      </c>
      <c r="U9" s="617">
        <v>12</v>
      </c>
      <c r="V9" s="618" t="str">
        <f>B15</f>
        <v>Ljudmila Varendi, Viktor Švarõgin</v>
      </c>
      <c r="W9" s="1116">
        <f t="shared" si="0"/>
        <v>3</v>
      </c>
      <c r="X9" s="620"/>
      <c r="Y9" s="615">
        <f t="shared" si="1"/>
        <v>54</v>
      </c>
      <c r="Z9" s="616" t="s">
        <v>363</v>
      </c>
      <c r="AA9" s="621">
        <f t="shared" si="2"/>
        <v>51</v>
      </c>
      <c r="AB9" s="622">
        <f t="shared" si="3"/>
        <v>3</v>
      </c>
      <c r="AC9" s="404"/>
      <c r="AD9" s="405">
        <f t="shared" si="4"/>
        <v>302</v>
      </c>
      <c r="AE9" s="406">
        <f>IFERROR(INDEX(V!$R:$R,MATCH(AF9,V!$L:$L,0)),"")</f>
        <v>164</v>
      </c>
      <c r="AF9" s="407" t="str">
        <f t="shared" si="5"/>
        <v>Kaspar Mänd</v>
      </c>
      <c r="AG9" s="406">
        <f>IFERROR(INDEX(V!$R:$R,MATCH(AH9,V!$L:$L,0)),"")</f>
        <v>138</v>
      </c>
      <c r="AH9" s="407" t="str">
        <f t="shared" si="6"/>
        <v>Urmas Randlaine</v>
      </c>
      <c r="AI9" s="406" t="str">
        <f>IFERROR(INDEX(V!$R:$R,MATCH(AJ9,V!$L:$L,0)),"")</f>
        <v/>
      </c>
      <c r="AJ9" s="407" t="str">
        <f t="shared" si="7"/>
        <v/>
      </c>
      <c r="AK9" s="406" t="str">
        <f>IFERROR(INDEX(V!$R:$R,MATCH(AL9,V!$L:$L,0)),"")</f>
        <v/>
      </c>
      <c r="AL9" s="407" t="str">
        <f t="shared" si="8"/>
        <v/>
      </c>
      <c r="AM9" s="406" t="str">
        <f>IFERROR(INDEX(V!$R:$R,MATCH(AN9,V!$L:$L,0)),"")</f>
        <v/>
      </c>
      <c r="AN9" s="407" t="str">
        <f t="shared" si="9"/>
        <v/>
      </c>
      <c r="AO9" s="406" t="str">
        <f>IFERROR(INDEX(V!$R:$R,MATCH(AP9,V!$L:$L,0)),"")</f>
        <v/>
      </c>
      <c r="AP9" s="407" t="str">
        <f t="shared" si="10"/>
        <v/>
      </c>
    </row>
    <row r="10" spans="1:42" x14ac:dyDescent="0.2">
      <c r="A10" s="614">
        <v>4</v>
      </c>
      <c r="B10" s="479" t="s">
        <v>276</v>
      </c>
      <c r="C10" s="615">
        <v>13</v>
      </c>
      <c r="D10" s="616" t="s">
        <v>363</v>
      </c>
      <c r="E10" s="617">
        <v>8</v>
      </c>
      <c r="F10" s="618" t="str">
        <f>B19</f>
        <v>Illar Tõnurist, Liidia Põllu</v>
      </c>
      <c r="G10" s="615">
        <v>13</v>
      </c>
      <c r="H10" s="616" t="s">
        <v>363</v>
      </c>
      <c r="I10" s="617">
        <v>9</v>
      </c>
      <c r="J10" s="618" t="str">
        <f>B13</f>
        <v>Johannes Neiland, Karla Purgats</v>
      </c>
      <c r="K10" s="615">
        <v>9</v>
      </c>
      <c r="L10" s="616" t="s">
        <v>363</v>
      </c>
      <c r="M10" s="617">
        <v>13</v>
      </c>
      <c r="N10" s="618" t="str">
        <f>B7</f>
        <v>Kenneth Muusikus, Mait Metsla</v>
      </c>
      <c r="O10" s="615">
        <v>13</v>
      </c>
      <c r="P10" s="616" t="s">
        <v>363</v>
      </c>
      <c r="Q10" s="617">
        <v>7</v>
      </c>
      <c r="R10" s="618" t="str">
        <f>B17</f>
        <v>Alari Keedus, Ülo Piik</v>
      </c>
      <c r="S10" s="615">
        <v>11</v>
      </c>
      <c r="T10" s="616" t="s">
        <v>363</v>
      </c>
      <c r="U10" s="617">
        <v>13</v>
      </c>
      <c r="V10" s="618" t="str">
        <f>B8</f>
        <v>Matti Vinni, Vladimir Ogneštšikov</v>
      </c>
      <c r="W10" s="1116">
        <f t="shared" si="0"/>
        <v>3</v>
      </c>
      <c r="X10" s="620"/>
      <c r="Y10" s="615">
        <f t="shared" si="1"/>
        <v>59</v>
      </c>
      <c r="Z10" s="616" t="s">
        <v>363</v>
      </c>
      <c r="AA10" s="621">
        <f t="shared" si="2"/>
        <v>50</v>
      </c>
      <c r="AB10" s="622">
        <f t="shared" si="3"/>
        <v>9</v>
      </c>
      <c r="AC10" s="404"/>
      <c r="AD10" s="405">
        <f t="shared" si="4"/>
        <v>356</v>
      </c>
      <c r="AE10" s="406">
        <f>IFERROR(INDEX(V!$R:$R,MATCH(AF10,V!$L:$L,0)),"")</f>
        <v>178</v>
      </c>
      <c r="AF10" s="407" t="str">
        <f t="shared" si="5"/>
        <v>Jaan Sepp</v>
      </c>
      <c r="AG10" s="406">
        <f>IFERROR(INDEX(V!$R:$R,MATCH(AH10,V!$L:$L,0)),"")</f>
        <v>178</v>
      </c>
      <c r="AH10" s="407" t="str">
        <f t="shared" si="6"/>
        <v>Oskar Sepp</v>
      </c>
      <c r="AI10" s="406" t="str">
        <f>IFERROR(INDEX(V!$R:$R,MATCH(AJ10,V!$L:$L,0)),"")</f>
        <v/>
      </c>
      <c r="AJ10" s="407" t="str">
        <f t="shared" si="7"/>
        <v/>
      </c>
      <c r="AK10" s="406" t="str">
        <f>IFERROR(INDEX(V!$R:$R,MATCH(AL10,V!$L:$L,0)),"")</f>
        <v/>
      </c>
      <c r="AL10" s="407" t="str">
        <f t="shared" si="8"/>
        <v/>
      </c>
      <c r="AM10" s="406" t="str">
        <f>IFERROR(INDEX(V!$R:$R,MATCH(AN10,V!$L:$L,0)),"")</f>
        <v/>
      </c>
      <c r="AN10" s="407" t="str">
        <f t="shared" si="9"/>
        <v/>
      </c>
      <c r="AO10" s="406" t="str">
        <f>IFERROR(INDEX(V!$R:$R,MATCH(AP10,V!$L:$L,0)),"")</f>
        <v/>
      </c>
      <c r="AP10" s="407" t="str">
        <f t="shared" si="10"/>
        <v/>
      </c>
    </row>
    <row r="11" spans="1:42" x14ac:dyDescent="0.2">
      <c r="A11" s="614">
        <v>5</v>
      </c>
      <c r="B11" s="542" t="s">
        <v>313</v>
      </c>
      <c r="C11" s="615">
        <v>13</v>
      </c>
      <c r="D11" s="616" t="s">
        <v>363</v>
      </c>
      <c r="E11" s="617">
        <v>2</v>
      </c>
      <c r="F11" s="618" t="str">
        <f>B16</f>
        <v>Elmo Lageda, Tõnu Piik</v>
      </c>
      <c r="G11" s="615">
        <v>11</v>
      </c>
      <c r="H11" s="616" t="s">
        <v>363</v>
      </c>
      <c r="I11" s="617">
        <v>13</v>
      </c>
      <c r="J11" s="618" t="str">
        <f>B9</f>
        <v>Kaspar Mänd, Urmas Randlaine</v>
      </c>
      <c r="K11" s="615">
        <v>6</v>
      </c>
      <c r="L11" s="616" t="s">
        <v>363</v>
      </c>
      <c r="M11" s="617">
        <v>13</v>
      </c>
      <c r="N11" s="618" t="str">
        <f>B8</f>
        <v>Matti Vinni, Vladimir Ogneštšikov</v>
      </c>
      <c r="O11" s="615">
        <v>13</v>
      </c>
      <c r="P11" s="616" t="s">
        <v>363</v>
      </c>
      <c r="Q11" s="617">
        <v>11</v>
      </c>
      <c r="R11" s="618" t="str">
        <f>B18</f>
        <v>Enn Tokman, Tarmo Bombe</v>
      </c>
      <c r="S11" s="615">
        <v>13</v>
      </c>
      <c r="T11" s="616" t="s">
        <v>363</v>
      </c>
      <c r="U11" s="617">
        <v>3</v>
      </c>
      <c r="V11" s="618" t="str">
        <f>B12</f>
        <v>Andrei Grintšak, Boriss Klubov</v>
      </c>
      <c r="W11" s="1116">
        <f t="shared" si="0"/>
        <v>3</v>
      </c>
      <c r="X11" s="620"/>
      <c r="Y11" s="615">
        <f t="shared" si="1"/>
        <v>56</v>
      </c>
      <c r="Z11" s="616" t="s">
        <v>363</v>
      </c>
      <c r="AA11" s="621">
        <f t="shared" si="2"/>
        <v>42</v>
      </c>
      <c r="AB11" s="622">
        <f t="shared" si="3"/>
        <v>14</v>
      </c>
      <c r="AC11" s="404"/>
      <c r="AD11" s="405">
        <f t="shared" si="4"/>
        <v>278</v>
      </c>
      <c r="AE11" s="406">
        <f>IFERROR(INDEX(V!$R:$R,MATCH(AF11,V!$L:$L,0)),"")</f>
        <v>145</v>
      </c>
      <c r="AF11" s="407" t="str">
        <f t="shared" si="5"/>
        <v>Aigi Orro</v>
      </c>
      <c r="AG11" s="406">
        <f>IFERROR(INDEX(V!$R:$R,MATCH(AH11,V!$L:$L,0)),"")</f>
        <v>133</v>
      </c>
      <c r="AH11" s="407" t="str">
        <f t="shared" si="6"/>
        <v>Kalle Orro</v>
      </c>
      <c r="AI11" s="406" t="str">
        <f>IFERROR(INDEX(V!$R:$R,MATCH(AJ11,V!$L:$L,0)),"")</f>
        <v/>
      </c>
      <c r="AJ11" s="407" t="str">
        <f t="shared" si="7"/>
        <v/>
      </c>
      <c r="AK11" s="406" t="str">
        <f>IFERROR(INDEX(V!$R:$R,MATCH(AL11,V!$L:$L,0)),"")</f>
        <v/>
      </c>
      <c r="AL11" s="407" t="str">
        <f t="shared" si="8"/>
        <v/>
      </c>
      <c r="AM11" s="406" t="str">
        <f>IFERROR(INDEX(V!$R:$R,MATCH(AN11,V!$L:$L,0)),"")</f>
        <v/>
      </c>
      <c r="AN11" s="407" t="str">
        <f t="shared" si="9"/>
        <v/>
      </c>
      <c r="AO11" s="406" t="str">
        <f>IFERROR(INDEX(V!$R:$R,MATCH(AP11,V!$L:$L,0)),"")</f>
        <v/>
      </c>
      <c r="AP11" s="407" t="str">
        <f t="shared" si="10"/>
        <v/>
      </c>
    </row>
    <row r="12" spans="1:42" x14ac:dyDescent="0.2">
      <c r="A12" s="614">
        <v>6</v>
      </c>
      <c r="B12" s="479" t="s">
        <v>272</v>
      </c>
      <c r="C12" s="615">
        <v>13</v>
      </c>
      <c r="D12" s="616" t="s">
        <v>363</v>
      </c>
      <c r="E12" s="617">
        <v>12</v>
      </c>
      <c r="F12" s="618" t="str">
        <f>B15</f>
        <v>Ljudmila Varendi, Viktor Švarõgin</v>
      </c>
      <c r="G12" s="615">
        <v>13</v>
      </c>
      <c r="H12" s="616" t="s">
        <v>363</v>
      </c>
      <c r="I12" s="617">
        <v>4</v>
      </c>
      <c r="J12" s="618" t="str">
        <f>B19</f>
        <v>Illar Tõnurist, Liidia Põllu</v>
      </c>
      <c r="K12" s="615">
        <v>13</v>
      </c>
      <c r="L12" s="616" t="s">
        <v>363</v>
      </c>
      <c r="M12" s="617">
        <v>8</v>
      </c>
      <c r="N12" s="618" t="str">
        <f>B9</f>
        <v>Kaspar Mänd, Urmas Randlaine</v>
      </c>
      <c r="O12" s="615">
        <v>3</v>
      </c>
      <c r="P12" s="616" t="s">
        <v>363</v>
      </c>
      <c r="Q12" s="617">
        <v>13</v>
      </c>
      <c r="R12" s="618" t="str">
        <f>B7</f>
        <v>Kenneth Muusikus, Mait Metsla</v>
      </c>
      <c r="S12" s="615">
        <v>5</v>
      </c>
      <c r="T12" s="616" t="s">
        <v>363</v>
      </c>
      <c r="U12" s="617">
        <v>13</v>
      </c>
      <c r="V12" s="618" t="str">
        <f>B11</f>
        <v>Aigi Orro, Kalle Orro</v>
      </c>
      <c r="W12" s="1116">
        <f t="shared" si="0"/>
        <v>3</v>
      </c>
      <c r="X12" s="620"/>
      <c r="Y12" s="615">
        <f t="shared" si="1"/>
        <v>47</v>
      </c>
      <c r="Z12" s="616" t="s">
        <v>363</v>
      </c>
      <c r="AA12" s="621">
        <f t="shared" si="2"/>
        <v>50</v>
      </c>
      <c r="AB12" s="622">
        <f t="shared" si="3"/>
        <v>-3</v>
      </c>
      <c r="AC12" s="404"/>
      <c r="AD12" s="405">
        <f t="shared" ref="AD12:AD19" si="11">SUM(AE12:AL12)</f>
        <v>272</v>
      </c>
      <c r="AE12" s="406">
        <f>IFERROR(INDEX(V!$R:$R,MATCH(AF12,V!$L:$L,0)),"")</f>
        <v>148</v>
      </c>
      <c r="AF12" s="407" t="str">
        <f t="shared" si="5"/>
        <v>Andrei Grintšak</v>
      </c>
      <c r="AG12" s="406">
        <f>IFERROR(INDEX(V!$R:$R,MATCH(AH12,V!$L:$L,0)),"")</f>
        <v>124</v>
      </c>
      <c r="AH12" s="407" t="str">
        <f t="shared" si="6"/>
        <v>Boriss Klubov</v>
      </c>
      <c r="AI12" s="406" t="str">
        <f>IFERROR(INDEX(V!$R:$R,MATCH(AJ12,V!$L:$L,0)),"")</f>
        <v/>
      </c>
      <c r="AJ12" s="407" t="str">
        <f t="shared" si="7"/>
        <v/>
      </c>
      <c r="AK12" s="406" t="str">
        <f>IFERROR(INDEX(V!$R:$R,MATCH(AL12,V!$L:$L,0)),"")</f>
        <v/>
      </c>
      <c r="AL12" s="407" t="str">
        <f t="shared" si="8"/>
        <v/>
      </c>
      <c r="AM12" s="406" t="str">
        <f>IFERROR(INDEX(V!$R:$R,MATCH(AN12,V!$L:$L,0)),"")</f>
        <v/>
      </c>
      <c r="AN12" s="407" t="str">
        <f t="shared" si="9"/>
        <v/>
      </c>
      <c r="AO12" s="406" t="str">
        <f>IFERROR(INDEX(V!$R:$R,MATCH(AP12,V!$L:$L,0)),"")</f>
        <v/>
      </c>
      <c r="AP12" s="407" t="str">
        <f t="shared" si="10"/>
        <v/>
      </c>
    </row>
    <row r="13" spans="1:42" x14ac:dyDescent="0.2">
      <c r="A13" s="614">
        <v>7</v>
      </c>
      <c r="B13" s="623" t="s">
        <v>364</v>
      </c>
      <c r="C13" s="615">
        <v>13</v>
      </c>
      <c r="D13" s="616" t="s">
        <v>363</v>
      </c>
      <c r="E13" s="617">
        <v>7</v>
      </c>
      <c r="F13" s="618" t="s">
        <v>372</v>
      </c>
      <c r="G13" s="615">
        <v>9</v>
      </c>
      <c r="H13" s="616" t="s">
        <v>363</v>
      </c>
      <c r="I13" s="617">
        <v>13</v>
      </c>
      <c r="J13" s="618" t="str">
        <f>B10</f>
        <v>Jaan Sepp, Oskar Sepp</v>
      </c>
      <c r="K13" s="615">
        <v>13</v>
      </c>
      <c r="L13" s="616" t="s">
        <v>363</v>
      </c>
      <c r="M13" s="617">
        <v>8</v>
      </c>
      <c r="N13" s="618" t="str">
        <f>B16</f>
        <v>Elmo Lageda, Tõnu Piik</v>
      </c>
      <c r="O13" s="615">
        <v>13</v>
      </c>
      <c r="P13" s="616" t="s">
        <v>363</v>
      </c>
      <c r="Q13" s="617">
        <v>7</v>
      </c>
      <c r="R13" s="618" t="str">
        <f>B15</f>
        <v>Ljudmila Varendi, Viktor Švarõgin</v>
      </c>
      <c r="S13" s="615">
        <v>5</v>
      </c>
      <c r="T13" s="616" t="s">
        <v>363</v>
      </c>
      <c r="U13" s="617">
        <v>13</v>
      </c>
      <c r="V13" s="618" t="str">
        <f>B7</f>
        <v>Kenneth Muusikus, Mait Metsla</v>
      </c>
      <c r="W13" s="1116">
        <f t="shared" si="0"/>
        <v>3</v>
      </c>
      <c r="X13" s="620"/>
      <c r="Y13" s="615">
        <f t="shared" si="1"/>
        <v>53</v>
      </c>
      <c r="Z13" s="616" t="s">
        <v>363</v>
      </c>
      <c r="AA13" s="621">
        <f t="shared" si="2"/>
        <v>48</v>
      </c>
      <c r="AB13" s="622">
        <f t="shared" si="3"/>
        <v>5</v>
      </c>
      <c r="AC13" s="404"/>
      <c r="AD13" s="405">
        <f t="shared" si="11"/>
        <v>272.5</v>
      </c>
      <c r="AE13" s="406">
        <f>IFERROR(INDEX(V!$R:$R,MATCH(AF13,V!$L:$L,0)),"")</f>
        <v>122</v>
      </c>
      <c r="AF13" s="407" t="str">
        <f t="shared" si="5"/>
        <v>Johannes Neiland</v>
      </c>
      <c r="AG13" s="406">
        <f>IFERROR(INDEX(V!$R:$R,MATCH(AH13,V!$L:$L,0)),"")</f>
        <v>150.5</v>
      </c>
      <c r="AH13" s="407" t="str">
        <f t="shared" si="6"/>
        <v>Karla Purgats</v>
      </c>
      <c r="AI13" s="406" t="str">
        <f>IFERROR(INDEX(V!$R:$R,MATCH(AJ13,V!$L:$L,0)),"")</f>
        <v/>
      </c>
      <c r="AJ13" s="407" t="str">
        <f t="shared" si="7"/>
        <v/>
      </c>
      <c r="AK13" s="406" t="str">
        <f>IFERROR(INDEX(V!$R:$R,MATCH(AL13,V!$L:$L,0)),"")</f>
        <v/>
      </c>
      <c r="AL13" s="407" t="str">
        <f t="shared" si="8"/>
        <v/>
      </c>
      <c r="AM13" s="406" t="str">
        <f>IFERROR(INDEX(V!$R:$R,MATCH(AN13,V!$L:$L,0)),"")</f>
        <v/>
      </c>
      <c r="AN13" s="407" t="str">
        <f t="shared" si="9"/>
        <v/>
      </c>
      <c r="AO13" s="406" t="str">
        <f>IFERROR(INDEX(V!$R:$R,MATCH(AP13,V!$L:$L,0)),"")</f>
        <v/>
      </c>
      <c r="AP13" s="407" t="str">
        <f t="shared" si="10"/>
        <v/>
      </c>
    </row>
    <row r="14" spans="1:42" ht="25.5" x14ac:dyDescent="0.2">
      <c r="A14" s="614">
        <v>8</v>
      </c>
      <c r="B14" s="623" t="s">
        <v>367</v>
      </c>
      <c r="C14" s="615">
        <v>2</v>
      </c>
      <c r="D14" s="616" t="s">
        <v>363</v>
      </c>
      <c r="E14" s="617">
        <v>13</v>
      </c>
      <c r="F14" s="618" t="str">
        <f>B9</f>
        <v>Kaspar Mänd, Urmas Randlaine</v>
      </c>
      <c r="G14" s="615">
        <v>3</v>
      </c>
      <c r="H14" s="616" t="s">
        <v>363</v>
      </c>
      <c r="I14" s="617">
        <v>13</v>
      </c>
      <c r="J14" s="618" t="str">
        <f>B17</f>
        <v>Alari Keedus, Ülo Piik</v>
      </c>
      <c r="K14" s="615">
        <v>13</v>
      </c>
      <c r="L14" s="616" t="s">
        <v>363</v>
      </c>
      <c r="M14" s="617">
        <v>7</v>
      </c>
      <c r="N14" s="618" t="s">
        <v>372</v>
      </c>
      <c r="O14" s="615">
        <v>13</v>
      </c>
      <c r="P14" s="616" t="s">
        <v>363</v>
      </c>
      <c r="Q14" s="617">
        <v>5</v>
      </c>
      <c r="R14" s="618" t="str">
        <f>B16</f>
        <v>Elmo Lageda, Tõnu Piik</v>
      </c>
      <c r="S14" s="615">
        <v>13</v>
      </c>
      <c r="T14" s="616" t="s">
        <v>363</v>
      </c>
      <c r="U14" s="617">
        <v>8</v>
      </c>
      <c r="V14" s="618" t="str">
        <f>B18</f>
        <v>Enn Tokman, Tarmo Bombe</v>
      </c>
      <c r="W14" s="1116">
        <f t="shared" si="0"/>
        <v>3</v>
      </c>
      <c r="X14" s="620"/>
      <c r="Y14" s="615">
        <f t="shared" si="1"/>
        <v>44</v>
      </c>
      <c r="Z14" s="616" t="s">
        <v>363</v>
      </c>
      <c r="AA14" s="621">
        <f t="shared" si="2"/>
        <v>46</v>
      </c>
      <c r="AB14" s="622">
        <f t="shared" si="3"/>
        <v>-2</v>
      </c>
      <c r="AC14" s="404"/>
      <c r="AD14" s="405">
        <f t="shared" si="11"/>
        <v>152</v>
      </c>
      <c r="AE14" s="406">
        <f>IFERROR(INDEX(V!$R:$R,MATCH(AF14,V!$L:$L,0)),"")</f>
        <v>53</v>
      </c>
      <c r="AF14" s="407" t="str">
        <f t="shared" si="5"/>
        <v>Aurelia Meldre</v>
      </c>
      <c r="AG14" s="406" t="str">
        <f>IFERROR(INDEX(V!$R:$R,MATCH(AH14,V!$L:$L,0)),"")</f>
        <v/>
      </c>
      <c r="AH14" s="407" t="str">
        <f t="shared" si="6"/>
        <v>Kristiin-Marleen Neiland, Meelis Luud</v>
      </c>
      <c r="AI14" s="406">
        <f>IFERROR(INDEX(V!$R:$R,MATCH(AJ14,V!$L:$L,0)),"")</f>
        <v>13</v>
      </c>
      <c r="AJ14" s="407" t="str">
        <f t="shared" si="7"/>
        <v>Kristiin-Marleen Neiland</v>
      </c>
      <c r="AK14" s="406">
        <f>IFERROR(INDEX(V!$R:$R,MATCH(AL14,V!$L:$L,0)),"")</f>
        <v>86</v>
      </c>
      <c r="AL14" s="407" t="str">
        <f t="shared" si="8"/>
        <v>Meelis Luud</v>
      </c>
      <c r="AM14" s="406" t="str">
        <f>IFERROR(INDEX(V!$R:$R,MATCH(AN14,V!$L:$L,0)),"")</f>
        <v/>
      </c>
      <c r="AN14" s="407" t="str">
        <f t="shared" si="9"/>
        <v/>
      </c>
      <c r="AO14" s="406" t="str">
        <f>IFERROR(INDEX(V!$R:$R,MATCH(AP14,V!$L:$L,0)),"")</f>
        <v/>
      </c>
      <c r="AP14" s="407" t="str">
        <f t="shared" si="10"/>
        <v/>
      </c>
    </row>
    <row r="15" spans="1:42" x14ac:dyDescent="0.2">
      <c r="A15" s="614">
        <v>9</v>
      </c>
      <c r="B15" s="479" t="s">
        <v>309</v>
      </c>
      <c r="C15" s="615">
        <v>12</v>
      </c>
      <c r="D15" s="616" t="s">
        <v>363</v>
      </c>
      <c r="E15" s="617">
        <v>13</v>
      </c>
      <c r="F15" s="618" t="str">
        <f>B12</f>
        <v>Andrei Grintšak, Boriss Klubov</v>
      </c>
      <c r="G15" s="615">
        <v>13</v>
      </c>
      <c r="H15" s="616" t="s">
        <v>363</v>
      </c>
      <c r="I15" s="617">
        <v>9</v>
      </c>
      <c r="J15" s="618" t="str">
        <f>B18</f>
        <v>Enn Tokman, Tarmo Bombe</v>
      </c>
      <c r="K15" s="615">
        <v>13</v>
      </c>
      <c r="L15" s="616" t="s">
        <v>363</v>
      </c>
      <c r="M15" s="617">
        <v>12</v>
      </c>
      <c r="N15" s="618" t="str">
        <f>B17</f>
        <v>Alari Keedus, Ülo Piik</v>
      </c>
      <c r="O15" s="615">
        <v>7</v>
      </c>
      <c r="P15" s="616" t="s">
        <v>363</v>
      </c>
      <c r="Q15" s="617">
        <v>13</v>
      </c>
      <c r="R15" s="618" t="str">
        <f>B13</f>
        <v>Johannes Neiland, Karla Purgats</v>
      </c>
      <c r="S15" s="615">
        <v>12</v>
      </c>
      <c r="T15" s="616" t="s">
        <v>363</v>
      </c>
      <c r="U15" s="617">
        <v>13</v>
      </c>
      <c r="V15" s="618" t="str">
        <f>B9</f>
        <v>Kaspar Mänd, Urmas Randlaine</v>
      </c>
      <c r="W15" s="619">
        <f t="shared" si="0"/>
        <v>2</v>
      </c>
      <c r="X15" s="620"/>
      <c r="Y15" s="615">
        <f t="shared" si="1"/>
        <v>57</v>
      </c>
      <c r="Z15" s="616" t="s">
        <v>363</v>
      </c>
      <c r="AA15" s="621">
        <f t="shared" si="2"/>
        <v>60</v>
      </c>
      <c r="AB15" s="622">
        <f t="shared" si="3"/>
        <v>-3</v>
      </c>
      <c r="AC15" s="404"/>
      <c r="AD15" s="405">
        <f t="shared" si="11"/>
        <v>224</v>
      </c>
      <c r="AE15" s="406">
        <f>IFERROR(INDEX(V!$R:$R,MATCH(AF15,V!$L:$L,0)),"")</f>
        <v>112</v>
      </c>
      <c r="AF15" s="407" t="str">
        <f t="shared" si="5"/>
        <v>Ljudmila Varendi</v>
      </c>
      <c r="AG15" s="406">
        <f>IFERROR(INDEX(V!$R:$R,MATCH(AH15,V!$L:$L,0)),"")</f>
        <v>112</v>
      </c>
      <c r="AH15" s="407" t="str">
        <f t="shared" si="6"/>
        <v>Viktor Švarõgin</v>
      </c>
      <c r="AI15" s="406" t="str">
        <f>IFERROR(INDEX(V!$R:$R,MATCH(AJ15,V!$L:$L,0)),"")</f>
        <v/>
      </c>
      <c r="AJ15" s="407" t="str">
        <f t="shared" si="7"/>
        <v/>
      </c>
      <c r="AK15" s="406" t="str">
        <f>IFERROR(INDEX(V!$R:$R,MATCH(AL15,V!$L:$L,0)),"")</f>
        <v/>
      </c>
      <c r="AL15" s="407" t="str">
        <f t="shared" si="8"/>
        <v/>
      </c>
      <c r="AM15" s="406" t="str">
        <f>IFERROR(INDEX(V!$R:$R,MATCH(AN15,V!$L:$L,0)),"")</f>
        <v/>
      </c>
      <c r="AN15" s="407" t="str">
        <f t="shared" si="9"/>
        <v/>
      </c>
      <c r="AO15" s="406" t="str">
        <f>IFERROR(INDEX(V!$R:$R,MATCH(AP15,V!$L:$L,0)),"")</f>
        <v/>
      </c>
      <c r="AP15" s="407" t="str">
        <f t="shared" si="10"/>
        <v/>
      </c>
    </row>
    <row r="16" spans="1:42" x14ac:dyDescent="0.2">
      <c r="A16" s="614">
        <v>10</v>
      </c>
      <c r="B16" s="542" t="s">
        <v>273</v>
      </c>
      <c r="C16" s="615">
        <v>2</v>
      </c>
      <c r="D16" s="616" t="s">
        <v>363</v>
      </c>
      <c r="E16" s="617">
        <v>13</v>
      </c>
      <c r="F16" s="618" t="str">
        <f>B11</f>
        <v>Aigi Orro, Kalle Orro</v>
      </c>
      <c r="G16" s="615">
        <v>13</v>
      </c>
      <c r="H16" s="616" t="s">
        <v>363</v>
      </c>
      <c r="I16" s="617">
        <v>7</v>
      </c>
      <c r="J16" s="618" t="s">
        <v>372</v>
      </c>
      <c r="K16" s="615">
        <v>8</v>
      </c>
      <c r="L16" s="616" t="s">
        <v>363</v>
      </c>
      <c r="M16" s="617">
        <v>13</v>
      </c>
      <c r="N16" s="618" t="str">
        <f>B13</f>
        <v>Johannes Neiland, Karla Purgats</v>
      </c>
      <c r="O16" s="615">
        <v>5</v>
      </c>
      <c r="P16" s="616" t="s">
        <v>363</v>
      </c>
      <c r="Q16" s="617">
        <v>13</v>
      </c>
      <c r="R16" s="618" t="str">
        <f>B14</f>
        <v>Aurelia Meldre, Kristiin-Marleen Neiland, Meelis Luud</v>
      </c>
      <c r="S16" s="615">
        <v>13</v>
      </c>
      <c r="T16" s="616" t="s">
        <v>363</v>
      </c>
      <c r="U16" s="617">
        <v>7</v>
      </c>
      <c r="V16" s="618" t="str">
        <f>B19</f>
        <v>Illar Tõnurist, Liidia Põllu</v>
      </c>
      <c r="W16" s="619">
        <f t="shared" si="0"/>
        <v>2</v>
      </c>
      <c r="X16" s="620"/>
      <c r="Y16" s="615">
        <f t="shared" si="1"/>
        <v>41</v>
      </c>
      <c r="Z16" s="616" t="s">
        <v>363</v>
      </c>
      <c r="AA16" s="621">
        <f t="shared" si="2"/>
        <v>53</v>
      </c>
      <c r="AB16" s="622">
        <f t="shared" si="3"/>
        <v>-12</v>
      </c>
      <c r="AC16" s="404"/>
      <c r="AD16" s="405">
        <f t="shared" si="11"/>
        <v>233.5</v>
      </c>
      <c r="AE16" s="406">
        <f>IFERROR(INDEX(V!$R:$R,MATCH(AF16,V!$L:$L,0)),"")</f>
        <v>100</v>
      </c>
      <c r="AF16" s="407" t="str">
        <f t="shared" si="5"/>
        <v>Elmo Lageda</v>
      </c>
      <c r="AG16" s="406">
        <f>IFERROR(INDEX(V!$R:$R,MATCH(AH16,V!$L:$L,0)),"")</f>
        <v>133.5</v>
      </c>
      <c r="AH16" s="407" t="str">
        <f t="shared" si="6"/>
        <v>Tõnu Piik</v>
      </c>
      <c r="AI16" s="406" t="str">
        <f>IFERROR(INDEX(V!$R:$R,MATCH(AJ16,V!$L:$L,0)),"")</f>
        <v/>
      </c>
      <c r="AJ16" s="407" t="str">
        <f t="shared" si="7"/>
        <v/>
      </c>
      <c r="AK16" s="406" t="str">
        <f>IFERROR(INDEX(V!$R:$R,MATCH(AL16,V!$L:$L,0)),"")</f>
        <v/>
      </c>
      <c r="AL16" s="407" t="str">
        <f t="shared" si="8"/>
        <v/>
      </c>
      <c r="AM16" s="406" t="str">
        <f>IFERROR(INDEX(V!$R:$R,MATCH(AN16,V!$L:$L,0)),"")</f>
        <v/>
      </c>
      <c r="AN16" s="407" t="str">
        <f t="shared" si="9"/>
        <v/>
      </c>
      <c r="AO16" s="406" t="str">
        <f>IFERROR(INDEX(V!$R:$R,MATCH(AP16,V!$L:$L,0)),"")</f>
        <v/>
      </c>
      <c r="AP16" s="407" t="str">
        <f t="shared" si="10"/>
        <v/>
      </c>
    </row>
    <row r="17" spans="1:42" x14ac:dyDescent="0.2">
      <c r="A17" s="614">
        <v>11</v>
      </c>
      <c r="B17" s="623" t="s">
        <v>365</v>
      </c>
      <c r="C17" s="615">
        <v>6</v>
      </c>
      <c r="D17" s="616" t="s">
        <v>363</v>
      </c>
      <c r="E17" s="617">
        <v>13</v>
      </c>
      <c r="F17" s="618" t="str">
        <f>B8</f>
        <v>Matti Vinni, Vladimir Ogneštšikov</v>
      </c>
      <c r="G17" s="615">
        <v>13</v>
      </c>
      <c r="H17" s="616" t="s">
        <v>363</v>
      </c>
      <c r="I17" s="617">
        <v>3</v>
      </c>
      <c r="J17" s="618" t="str">
        <f>B14</f>
        <v>Aurelia Meldre, Kristiin-Marleen Neiland, Meelis Luud</v>
      </c>
      <c r="K17" s="615">
        <v>12</v>
      </c>
      <c r="L17" s="616" t="s">
        <v>363</v>
      </c>
      <c r="M17" s="617">
        <v>13</v>
      </c>
      <c r="N17" s="618" t="str">
        <f>B15</f>
        <v>Ljudmila Varendi, Viktor Švarõgin</v>
      </c>
      <c r="O17" s="615">
        <v>7</v>
      </c>
      <c r="P17" s="616" t="s">
        <v>363</v>
      </c>
      <c r="Q17" s="617">
        <v>13</v>
      </c>
      <c r="R17" s="618" t="str">
        <f>B10</f>
        <v>Jaan Sepp, Oskar Sepp</v>
      </c>
      <c r="S17" s="615">
        <v>13</v>
      </c>
      <c r="T17" s="616" t="s">
        <v>363</v>
      </c>
      <c r="U17" s="617">
        <v>7</v>
      </c>
      <c r="V17" s="618" t="s">
        <v>372</v>
      </c>
      <c r="W17" s="619">
        <f t="shared" si="0"/>
        <v>2</v>
      </c>
      <c r="X17" s="620"/>
      <c r="Y17" s="615">
        <f t="shared" si="1"/>
        <v>51</v>
      </c>
      <c r="Z17" s="616" t="s">
        <v>363</v>
      </c>
      <c r="AA17" s="621">
        <f t="shared" si="2"/>
        <v>49</v>
      </c>
      <c r="AB17" s="622">
        <f t="shared" si="3"/>
        <v>2</v>
      </c>
      <c r="AC17" s="404"/>
      <c r="AD17" s="405">
        <f t="shared" si="11"/>
        <v>121.5</v>
      </c>
      <c r="AE17" s="406">
        <f>IFERROR(INDEX(V!$R:$R,MATCH(AF17,V!$L:$L,0)),"")</f>
        <v>10</v>
      </c>
      <c r="AF17" s="407" t="str">
        <f t="shared" si="5"/>
        <v>Alari Keedus</v>
      </c>
      <c r="AG17" s="406">
        <f>IFERROR(INDEX(V!$R:$R,MATCH(AH17,V!$L:$L,0)),"")</f>
        <v>111.5</v>
      </c>
      <c r="AH17" s="407" t="str">
        <f t="shared" si="6"/>
        <v>Ülo Piik</v>
      </c>
      <c r="AI17" s="406" t="str">
        <f>IFERROR(INDEX(V!$R:$R,MATCH(AJ17,V!$L:$L,0)),"")</f>
        <v/>
      </c>
      <c r="AJ17" s="407" t="str">
        <f t="shared" si="7"/>
        <v/>
      </c>
      <c r="AK17" s="406" t="str">
        <f>IFERROR(INDEX(V!$R:$R,MATCH(AL17,V!$L:$L,0)),"")</f>
        <v/>
      </c>
      <c r="AL17" s="407" t="str">
        <f t="shared" si="8"/>
        <v/>
      </c>
      <c r="AM17" s="406" t="str">
        <f>IFERROR(INDEX(V!$R:$R,MATCH(AN17,V!$L:$L,0)),"")</f>
        <v/>
      </c>
      <c r="AN17" s="407" t="str">
        <f t="shared" si="9"/>
        <v/>
      </c>
      <c r="AO17" s="406" t="str">
        <f>IFERROR(INDEX(V!$R:$R,MATCH(AP17,V!$L:$L,0)),"")</f>
        <v/>
      </c>
      <c r="AP17" s="407" t="str">
        <f t="shared" si="10"/>
        <v/>
      </c>
    </row>
    <row r="18" spans="1:42" x14ac:dyDescent="0.2">
      <c r="A18" s="614">
        <v>12</v>
      </c>
      <c r="B18" s="542" t="s">
        <v>280</v>
      </c>
      <c r="C18" s="615">
        <v>7</v>
      </c>
      <c r="D18" s="616" t="s">
        <v>363</v>
      </c>
      <c r="E18" s="617">
        <v>13</v>
      </c>
      <c r="F18" s="618" t="str">
        <f>B7</f>
        <v>Kenneth Muusikus, Mait Metsla</v>
      </c>
      <c r="G18" s="615">
        <v>9</v>
      </c>
      <c r="H18" s="616" t="s">
        <v>363</v>
      </c>
      <c r="I18" s="617">
        <v>13</v>
      </c>
      <c r="J18" s="618" t="str">
        <f>B15</f>
        <v>Ljudmila Varendi, Viktor Švarõgin</v>
      </c>
      <c r="K18" s="615">
        <v>13</v>
      </c>
      <c r="L18" s="616" t="s">
        <v>363</v>
      </c>
      <c r="M18" s="617">
        <v>7</v>
      </c>
      <c r="N18" s="618" t="str">
        <f>B19</f>
        <v>Illar Tõnurist, Liidia Põllu</v>
      </c>
      <c r="O18" s="615">
        <v>11</v>
      </c>
      <c r="P18" s="616" t="s">
        <v>363</v>
      </c>
      <c r="Q18" s="617">
        <v>13</v>
      </c>
      <c r="R18" s="618" t="str">
        <f>B11</f>
        <v>Aigi Orro, Kalle Orro</v>
      </c>
      <c r="S18" s="615">
        <v>8</v>
      </c>
      <c r="T18" s="616" t="s">
        <v>363</v>
      </c>
      <c r="U18" s="617">
        <v>13</v>
      </c>
      <c r="V18" s="618" t="str">
        <f>B14</f>
        <v>Aurelia Meldre, Kristiin-Marleen Neiland, Meelis Luud</v>
      </c>
      <c r="W18" s="1115">
        <f t="shared" si="0"/>
        <v>1</v>
      </c>
      <c r="X18" s="620"/>
      <c r="Y18" s="615">
        <f t="shared" si="1"/>
        <v>48</v>
      </c>
      <c r="Z18" s="616" t="s">
        <v>363</v>
      </c>
      <c r="AA18" s="621">
        <f t="shared" si="2"/>
        <v>59</v>
      </c>
      <c r="AB18" s="622">
        <f t="shared" si="3"/>
        <v>-11</v>
      </c>
      <c r="AC18" s="404"/>
      <c r="AD18" s="405">
        <f t="shared" si="11"/>
        <v>223</v>
      </c>
      <c r="AE18" s="406">
        <f>IFERROR(INDEX(V!$R:$R,MATCH(AF18,V!$L:$L,0)),"")</f>
        <v>118</v>
      </c>
      <c r="AF18" s="407" t="str">
        <f t="shared" si="5"/>
        <v>Enn Tokman</v>
      </c>
      <c r="AG18" s="406">
        <f>IFERROR(INDEX(V!$R:$R,MATCH(AH18,V!$L:$L,0)),"")</f>
        <v>105</v>
      </c>
      <c r="AH18" s="407" t="str">
        <f t="shared" si="6"/>
        <v>Tarmo Bombe</v>
      </c>
      <c r="AI18" s="406" t="str">
        <f>IFERROR(INDEX(V!$R:$R,MATCH(AJ18,V!$L:$L,0)),"")</f>
        <v/>
      </c>
      <c r="AJ18" s="407" t="str">
        <f t="shared" si="7"/>
        <v/>
      </c>
      <c r="AK18" s="406" t="str">
        <f>IFERROR(INDEX(V!$R:$R,MATCH(AL18,V!$L:$L,0)),"")</f>
        <v/>
      </c>
      <c r="AL18" s="407" t="str">
        <f t="shared" si="8"/>
        <v/>
      </c>
      <c r="AM18" s="406" t="str">
        <f>IFERROR(INDEX(V!$R:$R,MATCH(AN18,V!$L:$L,0)),"")</f>
        <v/>
      </c>
      <c r="AN18" s="407" t="str">
        <f t="shared" si="9"/>
        <v/>
      </c>
      <c r="AO18" s="406" t="str">
        <f>IFERROR(INDEX(V!$R:$R,MATCH(AP18,V!$L:$L,0)),"")</f>
        <v/>
      </c>
      <c r="AP18" s="407" t="str">
        <f t="shared" si="10"/>
        <v/>
      </c>
    </row>
    <row r="19" spans="1:42" x14ac:dyDescent="0.2">
      <c r="A19" s="614">
        <v>13</v>
      </c>
      <c r="B19" s="623" t="s">
        <v>366</v>
      </c>
      <c r="C19" s="615">
        <v>8</v>
      </c>
      <c r="D19" s="616" t="s">
        <v>363</v>
      </c>
      <c r="E19" s="617">
        <v>13</v>
      </c>
      <c r="F19" s="618" t="str">
        <f>B10</f>
        <v>Jaan Sepp, Oskar Sepp</v>
      </c>
      <c r="G19" s="615">
        <v>4</v>
      </c>
      <c r="H19" s="616" t="s">
        <v>363</v>
      </c>
      <c r="I19" s="617">
        <v>13</v>
      </c>
      <c r="J19" s="618" t="str">
        <f>B12</f>
        <v>Andrei Grintšak, Boriss Klubov</v>
      </c>
      <c r="K19" s="615">
        <v>7</v>
      </c>
      <c r="L19" s="616" t="s">
        <v>363</v>
      </c>
      <c r="M19" s="617">
        <v>13</v>
      </c>
      <c r="N19" s="618" t="str">
        <f>B18</f>
        <v>Enn Tokman, Tarmo Bombe</v>
      </c>
      <c r="O19" s="615">
        <v>13</v>
      </c>
      <c r="P19" s="616" t="s">
        <v>363</v>
      </c>
      <c r="Q19" s="617">
        <v>7</v>
      </c>
      <c r="R19" s="618" t="s">
        <v>372</v>
      </c>
      <c r="S19" s="615">
        <v>7</v>
      </c>
      <c r="T19" s="616" t="s">
        <v>363</v>
      </c>
      <c r="U19" s="617">
        <v>13</v>
      </c>
      <c r="V19" s="618" t="str">
        <f>B16</f>
        <v>Elmo Lageda, Tõnu Piik</v>
      </c>
      <c r="W19" s="1115">
        <f t="shared" si="0"/>
        <v>1</v>
      </c>
      <c r="X19" s="620"/>
      <c r="Y19" s="615">
        <f t="shared" ref="Y19" si="12">C19+G19+K19+O19+S19</f>
        <v>39</v>
      </c>
      <c r="Z19" s="616" t="s">
        <v>363</v>
      </c>
      <c r="AA19" s="621">
        <f t="shared" ref="AA19" si="13">E19+I19+M19+Q19+U19</f>
        <v>59</v>
      </c>
      <c r="AB19" s="622">
        <f t="shared" ref="AB19" si="14">Y19-AA19</f>
        <v>-20</v>
      </c>
      <c r="AC19" s="404"/>
      <c r="AD19" s="405">
        <f t="shared" si="11"/>
        <v>144</v>
      </c>
      <c r="AE19" s="406">
        <f>IFERROR(INDEX(V!$R:$R,MATCH(AF19,V!$L:$L,0)),"")</f>
        <v>65</v>
      </c>
      <c r="AF19" s="407" t="str">
        <f t="shared" si="5"/>
        <v>Illar Tõnurist</v>
      </c>
      <c r="AG19" s="406">
        <f>IFERROR(INDEX(V!$R:$R,MATCH(AH19,V!$L:$L,0)),"")</f>
        <v>79</v>
      </c>
      <c r="AH19" s="407" t="str">
        <f t="shared" si="6"/>
        <v>Liidia Põllu</v>
      </c>
      <c r="AI19" s="406" t="str">
        <f>IFERROR(INDEX(V!$R:$R,MATCH(AJ19,V!$L:$L,0)),"")</f>
        <v/>
      </c>
      <c r="AJ19" s="407" t="str">
        <f t="shared" si="7"/>
        <v/>
      </c>
      <c r="AK19" s="406" t="str">
        <f>IFERROR(INDEX(V!$R:$R,MATCH(AL19,V!$L:$L,0)),"")</f>
        <v/>
      </c>
      <c r="AL19" s="407" t="str">
        <f t="shared" si="8"/>
        <v/>
      </c>
      <c r="AM19" s="406" t="str">
        <f>IFERROR(INDEX(V!$R:$R,MATCH(AN19,V!$L:$L,0)),"")</f>
        <v/>
      </c>
      <c r="AN19" s="407" t="str">
        <f t="shared" si="9"/>
        <v/>
      </c>
      <c r="AO19" s="406" t="str">
        <f>IFERROR(INDEX(V!$R:$R,MATCH(AP19,V!$L:$L,0)),"")</f>
        <v/>
      </c>
      <c r="AP19" s="407" t="str">
        <f t="shared" si="10"/>
        <v/>
      </c>
    </row>
    <row r="20" spans="1:42" hidden="1" x14ac:dyDescent="0.2"/>
    <row r="21" spans="1:42" hidden="1" x14ac:dyDescent="0.2"/>
    <row r="22" spans="1:42" hidden="1" x14ac:dyDescent="0.2"/>
    <row r="23" spans="1:42" hidden="1" x14ac:dyDescent="0.2"/>
    <row r="24" spans="1:42" hidden="1" x14ac:dyDescent="0.2"/>
    <row r="25" spans="1:42" hidden="1" x14ac:dyDescent="0.2"/>
    <row r="26" spans="1:42" hidden="1" x14ac:dyDescent="0.2"/>
    <row r="27" spans="1:42" hidden="1" x14ac:dyDescent="0.2"/>
    <row r="28" spans="1:42" hidden="1" x14ac:dyDescent="0.2"/>
    <row r="29" spans="1:42" hidden="1" x14ac:dyDescent="0.2"/>
    <row r="30" spans="1:42" hidden="1" x14ac:dyDescent="0.2"/>
    <row r="31" spans="1:42" hidden="1" x14ac:dyDescent="0.2"/>
    <row r="32" spans="1:42"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3" hidden="1" x14ac:dyDescent="0.2"/>
    <row r="290" spans="1:3" hidden="1" x14ac:dyDescent="0.2"/>
    <row r="291" spans="1:3" hidden="1" x14ac:dyDescent="0.2"/>
    <row r="292" spans="1:3" hidden="1" x14ac:dyDescent="0.2"/>
    <row r="293" spans="1:3" hidden="1" x14ac:dyDescent="0.2"/>
    <row r="294" spans="1:3" hidden="1" x14ac:dyDescent="0.2"/>
    <row r="295" spans="1:3" hidden="1" x14ac:dyDescent="0.2"/>
    <row r="296" spans="1:3" hidden="1" x14ac:dyDescent="0.2"/>
    <row r="297" spans="1:3" hidden="1" x14ac:dyDescent="0.2"/>
    <row r="299" spans="1:3" x14ac:dyDescent="0.2">
      <c r="A299" s="271"/>
      <c r="B299" s="271"/>
      <c r="C299" s="401" t="s">
        <v>248</v>
      </c>
    </row>
    <row r="300" spans="1:3" x14ac:dyDescent="0.2">
      <c r="A300" s="530">
        <v>1</v>
      </c>
      <c r="B300" s="625" t="str">
        <f>IFERROR(INDEX(B$1:B$100,MATCH(A300,A$1:A$100,0)),"")</f>
        <v>Kenneth Muusikus, Mait Metsla</v>
      </c>
      <c r="C300" s="499">
        <f>IF(21-A300&gt;0,21-A300,1)</f>
        <v>20</v>
      </c>
    </row>
    <row r="301" spans="1:3" x14ac:dyDescent="0.2">
      <c r="A301" s="530">
        <v>2</v>
      </c>
      <c r="B301" s="625" t="str">
        <f t="shared" ref="B301:B312" si="15">IFERROR(INDEX(B$1:B$100,MATCH(A301,A$1:A$100,0)),"")</f>
        <v>Matti Vinni, Vladimir Ogneštšikov</v>
      </c>
      <c r="C301" s="499">
        <f t="shared" ref="C301:C312" si="16">IF(21-A301&gt;0,21-A301,1)</f>
        <v>19</v>
      </c>
    </row>
    <row r="302" spans="1:3" x14ac:dyDescent="0.2">
      <c r="A302" s="530">
        <v>3</v>
      </c>
      <c r="B302" s="625" t="str">
        <f t="shared" si="15"/>
        <v>Kaspar Mänd, Urmas Randlaine</v>
      </c>
      <c r="C302" s="499">
        <f t="shared" si="16"/>
        <v>18</v>
      </c>
    </row>
    <row r="303" spans="1:3" x14ac:dyDescent="0.2">
      <c r="A303" s="530">
        <v>4</v>
      </c>
      <c r="B303" s="625" t="str">
        <f t="shared" si="15"/>
        <v>Jaan Sepp, Oskar Sepp</v>
      </c>
      <c r="C303" s="499">
        <f t="shared" si="16"/>
        <v>17</v>
      </c>
    </row>
    <row r="304" spans="1:3" x14ac:dyDescent="0.2">
      <c r="A304" s="530">
        <v>5</v>
      </c>
      <c r="B304" s="625" t="str">
        <f t="shared" si="15"/>
        <v>Aigi Orro, Kalle Orro</v>
      </c>
      <c r="C304" s="499">
        <f t="shared" si="16"/>
        <v>16</v>
      </c>
    </row>
    <row r="305" spans="1:3" x14ac:dyDescent="0.2">
      <c r="A305" s="530">
        <v>6</v>
      </c>
      <c r="B305" s="625" t="str">
        <f t="shared" si="15"/>
        <v>Andrei Grintšak, Boriss Klubov</v>
      </c>
      <c r="C305" s="499">
        <f t="shared" si="16"/>
        <v>15</v>
      </c>
    </row>
    <row r="306" spans="1:3" x14ac:dyDescent="0.2">
      <c r="A306" s="530">
        <v>7</v>
      </c>
      <c r="B306" s="625" t="str">
        <f t="shared" si="15"/>
        <v>Johannes Neiland, Karla Purgats</v>
      </c>
      <c r="C306" s="499">
        <f t="shared" si="16"/>
        <v>14</v>
      </c>
    </row>
    <row r="307" spans="1:3" ht="25.5" x14ac:dyDescent="0.2">
      <c r="A307" s="530">
        <v>8</v>
      </c>
      <c r="B307" s="625" t="str">
        <f t="shared" si="15"/>
        <v>Aurelia Meldre, Kristiin-Marleen Neiland, Meelis Luud</v>
      </c>
      <c r="C307" s="499">
        <f t="shared" si="16"/>
        <v>13</v>
      </c>
    </row>
    <row r="308" spans="1:3" x14ac:dyDescent="0.2">
      <c r="A308" s="530">
        <v>9</v>
      </c>
      <c r="B308" s="625" t="str">
        <f t="shared" si="15"/>
        <v>Ljudmila Varendi, Viktor Švarõgin</v>
      </c>
      <c r="C308" s="499">
        <f t="shared" si="16"/>
        <v>12</v>
      </c>
    </row>
    <row r="309" spans="1:3" x14ac:dyDescent="0.2">
      <c r="A309" s="530">
        <v>10</v>
      </c>
      <c r="B309" s="625" t="str">
        <f t="shared" si="15"/>
        <v>Elmo Lageda, Tõnu Piik</v>
      </c>
      <c r="C309" s="499">
        <f t="shared" si="16"/>
        <v>11</v>
      </c>
    </row>
    <row r="310" spans="1:3" x14ac:dyDescent="0.2">
      <c r="A310" s="530">
        <v>11</v>
      </c>
      <c r="B310" s="625" t="str">
        <f t="shared" si="15"/>
        <v>Alari Keedus, Ülo Piik</v>
      </c>
      <c r="C310" s="499">
        <f t="shared" si="16"/>
        <v>10</v>
      </c>
    </row>
    <row r="311" spans="1:3" x14ac:dyDescent="0.2">
      <c r="A311" s="530">
        <v>12</v>
      </c>
      <c r="B311" s="625" t="str">
        <f t="shared" si="15"/>
        <v>Enn Tokman, Tarmo Bombe</v>
      </c>
      <c r="C311" s="499">
        <f t="shared" si="16"/>
        <v>9</v>
      </c>
    </row>
    <row r="312" spans="1:3" x14ac:dyDescent="0.2">
      <c r="A312" s="530">
        <v>13</v>
      </c>
      <c r="B312" s="625" t="str">
        <f t="shared" si="15"/>
        <v>Illar Tõnurist, Liidia Põllu</v>
      </c>
      <c r="C312" s="499">
        <f t="shared" si="16"/>
        <v>8</v>
      </c>
    </row>
  </sheetData>
  <conditionalFormatting sqref="B300:B312">
    <cfRule type="expression" dxfId="4128" priority="59">
      <formula>A300=3</formula>
    </cfRule>
    <cfRule type="expression" dxfId="4127" priority="60">
      <formula>A300=2</formula>
    </cfRule>
    <cfRule type="expression" dxfId="4126" priority="61">
      <formula>A300=1</formula>
    </cfRule>
    <cfRule type="containsBlanks" dxfId="4125" priority="62">
      <formula>LEN(TRIM(B300))=0</formula>
    </cfRule>
    <cfRule type="duplicateValues" dxfId="4124" priority="63"/>
  </conditionalFormatting>
  <conditionalFormatting sqref="C7:C19 G7:G19 K7:K19 O7:O19 S7:S19">
    <cfRule type="expression" dxfId="4123" priority="23">
      <formula>AND(C7=0,E7=13)</formula>
    </cfRule>
  </conditionalFormatting>
  <conditionalFormatting sqref="C7:C19">
    <cfRule type="expression" dxfId="4122" priority="37">
      <formula>IF($C7&gt;$E7,TRUE)</formula>
    </cfRule>
  </conditionalFormatting>
  <conditionalFormatting sqref="E7:E19">
    <cfRule type="expression" dxfId="4121" priority="38">
      <formula>IF($C7&lt;$E7,TRUE)</formula>
    </cfRule>
  </conditionalFormatting>
  <conditionalFormatting sqref="K7:K19">
    <cfRule type="expression" dxfId="4120" priority="45">
      <formula>IF($K7&gt;$M7,TRUE)</formula>
    </cfRule>
  </conditionalFormatting>
  <conditionalFormatting sqref="M7:M19">
    <cfRule type="expression" dxfId="4119" priority="46">
      <formula>IF($K7&lt;$M7,TRUE)</formula>
    </cfRule>
  </conditionalFormatting>
  <conditionalFormatting sqref="O7:O19">
    <cfRule type="expression" dxfId="4118" priority="49">
      <formula>IF($O7&gt;$Q7,TRUE)</formula>
    </cfRule>
  </conditionalFormatting>
  <conditionalFormatting sqref="Q7:Q19">
    <cfRule type="expression" dxfId="4117" priority="50">
      <formula>IF($O7&lt;$Q7,TRUE)</formula>
    </cfRule>
  </conditionalFormatting>
  <conditionalFormatting sqref="S7:S19">
    <cfRule type="expression" dxfId="4116" priority="53">
      <formula>IF($S7&gt;$U7,TRUE)</formula>
    </cfRule>
  </conditionalFormatting>
  <conditionalFormatting sqref="U7:U19">
    <cfRule type="expression" dxfId="4115" priority="54">
      <formula>IF($S7&lt;$U7,TRUE)</formula>
    </cfRule>
  </conditionalFormatting>
  <conditionalFormatting sqref="G7:G19">
    <cfRule type="expression" dxfId="4114" priority="41">
      <formula>IF($G7&gt;$I7,TRUE)</formula>
    </cfRule>
  </conditionalFormatting>
  <conditionalFormatting sqref="I7:I19">
    <cfRule type="expression" dxfId="4113" priority="42">
      <formula>IF($G7&lt;$I7,TRUE)</formula>
    </cfRule>
  </conditionalFormatting>
  <conditionalFormatting sqref="F7:F19">
    <cfRule type="containsText" dxfId="4112" priority="28" operator="containsText" text="vaba voor">
      <formula>NOT(ISERROR(SEARCH("vaba voor",F7)))</formula>
    </cfRule>
  </conditionalFormatting>
  <conditionalFormatting sqref="N7:N19">
    <cfRule type="containsText" dxfId="4111" priority="26" operator="containsText" text="vaba voor">
      <formula>NOT(ISERROR(SEARCH("vaba voor",N7)))</formula>
    </cfRule>
  </conditionalFormatting>
  <conditionalFormatting sqref="R7:R19">
    <cfRule type="containsText" dxfId="4110" priority="29" operator="containsText" text="vaba voor">
      <formula>NOT(ISERROR(SEARCH("vaba voor",R7)))</formula>
    </cfRule>
  </conditionalFormatting>
  <conditionalFormatting sqref="V7:V19">
    <cfRule type="containsText" dxfId="4109" priority="25" operator="containsText" text="vaba voor">
      <formula>NOT(ISERROR(SEARCH("vaba voor",V7)))</formula>
    </cfRule>
  </conditionalFormatting>
  <conditionalFormatting sqref="J7:J19">
    <cfRule type="containsText" dxfId="4108" priority="27" operator="containsText" text="vaba voor">
      <formula>NOT(ISERROR(SEARCH("vaba voor",J7)))</formula>
    </cfRule>
  </conditionalFormatting>
  <conditionalFormatting sqref="C7:F19">
    <cfRule type="expression" dxfId="4107" priority="33">
      <formula>IF(AND(ISNUMBER($C7),$C7=$E7),TRUE)</formula>
    </cfRule>
    <cfRule type="expression" dxfId="4106" priority="35">
      <formula>IF($C7&gt;$E7,TRUE)</formula>
    </cfRule>
    <cfRule type="expression" dxfId="4105" priority="36">
      <formula>IF($C7&lt;$E7,TRUE)</formula>
    </cfRule>
  </conditionalFormatting>
  <conditionalFormatting sqref="G7:J19">
    <cfRule type="expression" dxfId="4104" priority="34">
      <formula>IF(AND(ISNUMBER($G7),$G7=$I7),TRUE)</formula>
    </cfRule>
    <cfRule type="expression" dxfId="4103" priority="39">
      <formula>IF($G7&gt;$I7,TRUE)</formula>
    </cfRule>
    <cfRule type="expression" dxfId="4102" priority="40">
      <formula>IF($G7&lt;$I7,TRUE)</formula>
    </cfRule>
  </conditionalFormatting>
  <conditionalFormatting sqref="K7:N19">
    <cfRule type="expression" dxfId="4101" priority="32">
      <formula>IF(AND(ISNUMBER($K7),$K7=$M7),TRUE)</formula>
    </cfRule>
    <cfRule type="expression" dxfId="4100" priority="43">
      <formula>IF($K7&gt;$M7,TRUE)</formula>
    </cfRule>
    <cfRule type="expression" dxfId="4099" priority="44">
      <formula>IF($K7&lt;$M7,TRUE)</formula>
    </cfRule>
  </conditionalFormatting>
  <conditionalFormatting sqref="O7:R19">
    <cfRule type="expression" dxfId="4098" priority="31">
      <formula>IF(AND(ISNUMBER($O7),$O7=$Q7),TRUE)</formula>
    </cfRule>
    <cfRule type="expression" dxfId="4097" priority="47">
      <formula>IF($O7&gt;$Q7,TRUE)</formula>
    </cfRule>
    <cfRule type="expression" dxfId="4096" priority="48">
      <formula>IF($O7&lt;$Q7,TRUE)</formula>
    </cfRule>
  </conditionalFormatting>
  <conditionalFormatting sqref="S7:V19">
    <cfRule type="expression" dxfId="4095" priority="30">
      <formula>IF(AND(ISNUMBER($S7),$S7=$U7),TRUE)</formula>
    </cfRule>
    <cfRule type="expression" dxfId="4094" priority="51">
      <formula>IF($S7&gt;$U7,TRUE)</formula>
    </cfRule>
    <cfRule type="expression" dxfId="4093" priority="52">
      <formula>IF($S7&lt;$U7,TRUE)</formula>
    </cfRule>
  </conditionalFormatting>
  <conditionalFormatting sqref="E7:E19 I7:I19 M7:M19 Q7:Q19 U7:U19">
    <cfRule type="expression" dxfId="4092" priority="24">
      <formula>AND(E7=0,C7=13)</formula>
    </cfRule>
  </conditionalFormatting>
  <conditionalFormatting sqref="A7:A19">
    <cfRule type="duplicateValues" dxfId="4091" priority="55"/>
  </conditionalFormatting>
  <conditionalFormatting sqref="AJ7:AJ19">
    <cfRule type="expression" dxfId="4090" priority="5">
      <formula>AND(AI7="",FIND(",",AJ7))</formula>
    </cfRule>
    <cfRule type="expression" dxfId="4089" priority="7">
      <formula>AND(AI7="",COUNTIF(AJ7,"*,*")=0)</formula>
    </cfRule>
  </conditionalFormatting>
  <conditionalFormatting sqref="AH7:AH19">
    <cfRule type="expression" dxfId="4088" priority="8">
      <formula>AND(AG7="",FIND(",",AH7))</formula>
    </cfRule>
    <cfRule type="expression" dxfId="4087" priority="9">
      <formula>AND(AG7="",COUNTIF(AH7,"*,*")=0)</formula>
    </cfRule>
  </conditionalFormatting>
  <conditionalFormatting sqref="AL7:AL19">
    <cfRule type="expression" dxfId="4086" priority="10">
      <formula>AND(AK7="",FIND(",",AL7))</formula>
    </cfRule>
    <cfRule type="expression" dxfId="4085" priority="11">
      <formula>AND(AK7="",COUNTIF(AL7,"*,*")=0)</formula>
    </cfRule>
  </conditionalFormatting>
  <conditionalFormatting sqref="AF7:AF19">
    <cfRule type="expression" dxfId="4084" priority="6">
      <formula>AND(AE7="",COUNTIF(AF7,"*,*")=0)</formula>
    </cfRule>
  </conditionalFormatting>
  <conditionalFormatting sqref="AN7:AN19">
    <cfRule type="expression" dxfId="4083" priority="2">
      <formula>AND(AM7="",COUNTIF(AN7,"*,*")=0)</formula>
    </cfRule>
    <cfRule type="expression" dxfId="4082" priority="4">
      <formula>AND(AM7="",FIND(",",AN7))</formula>
    </cfRule>
  </conditionalFormatting>
  <conditionalFormatting sqref="AP7:AP19">
    <cfRule type="expression" dxfId="4081" priority="1">
      <formula>AND(AO7="",COUNTIF(AP7,"*,*")=0)</formula>
    </cfRule>
    <cfRule type="expression" dxfId="4080" priority="3">
      <formula>AND(AO7="",FIND(",",AP7))</formula>
    </cfRule>
  </conditionalFormatting>
  <pageMargins left="0.78740157480314965" right="0.39370078740157483" top="0.78740157480314965" bottom="0.39370078740157483" header="0.78740157480314965" footer="0"/>
  <pageSetup paperSize="9" fitToHeight="0" orientation="landscape" verticalDpi="1200" r:id="rId1"/>
  <headerFooter>
    <oddHeader>&amp;R&amp;P. leht &amp;N&amp; -st</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pageSetUpPr fitToPage="1"/>
  </sheetPr>
  <dimension ref="A1:AP315"/>
  <sheetViews>
    <sheetView showGridLines="0" showRowColHeaders="0" workbookViewId="0">
      <pane ySplit="1" topLeftCell="A2" activePane="bottomLeft" state="frozen"/>
      <selection pane="bottomLeft" activeCell="A5" sqref="A5"/>
    </sheetView>
  </sheetViews>
  <sheetFormatPr defaultRowHeight="12.75" x14ac:dyDescent="0.2"/>
  <cols>
    <col min="1" max="1" width="3.28515625" style="1" customWidth="1"/>
    <col min="2" max="2" width="40" style="1" bestFit="1" customWidth="1"/>
    <col min="3" max="7" width="7.7109375" style="1" customWidth="1"/>
    <col min="8" max="9" width="6.7109375" style="1" customWidth="1"/>
    <col min="10" max="15" width="5.5703125" style="1" customWidth="1"/>
    <col min="16" max="20" width="0" style="1" hidden="1" customWidth="1"/>
    <col min="21" max="21" width="9.140625" style="1"/>
    <col min="22" max="28" width="0" style="1" hidden="1" customWidth="1"/>
    <col min="29" max="29" width="9.140625" style="1"/>
    <col min="30" max="31" width="9.140625" style="1" hidden="1" customWidth="1"/>
    <col min="32" max="32" width="16.5703125" style="1" hidden="1" customWidth="1"/>
    <col min="33" max="33" width="9.140625" style="1" hidden="1" customWidth="1"/>
    <col min="34" max="34" width="23.140625" style="1" hidden="1" customWidth="1"/>
    <col min="35" max="35" width="9.140625" style="1" hidden="1" customWidth="1"/>
    <col min="36" max="36" width="17.28515625" style="1" hidden="1" customWidth="1"/>
    <col min="37" max="37" width="9.140625" style="1" hidden="1" customWidth="1"/>
    <col min="38" max="38" width="13.85546875" style="1" hidden="1" customWidth="1"/>
    <col min="39" max="39" width="9.140625" style="1" hidden="1" customWidth="1"/>
    <col min="40" max="40" width="17.28515625" style="1" hidden="1" customWidth="1"/>
    <col min="41" max="41" width="9.140625" style="1" hidden="1" customWidth="1"/>
    <col min="42" max="42" width="13.85546875" style="1" hidden="1" customWidth="1"/>
    <col min="43" max="16384" width="9.140625" style="1"/>
  </cols>
  <sheetData>
    <row r="1" spans="1:42" x14ac:dyDescent="0.2">
      <c r="A1" s="400" t="str">
        <f>UPPER((Kalend!E10)&amp;" - "&amp;(Kalend!C10))&amp;" - "&amp;LOWER(Kalend!D10)&amp;" - "&amp;(Kalend!A10)&amp;" kell "&amp;(Kalend!B10)&amp;" - "&amp;(Kalend!F10)</f>
        <v>V4 - VOKA III SISE-KV 4. ETAPP - duo - L, 23.11.2019 kell 11:00 - Voka petangihall</v>
      </c>
      <c r="D1" s="477"/>
      <c r="E1" s="477"/>
      <c r="F1" s="477"/>
      <c r="G1" s="477"/>
      <c r="H1" s="477"/>
      <c r="I1" s="477"/>
      <c r="J1" s="477"/>
      <c r="K1" s="477"/>
      <c r="L1" s="477"/>
      <c r="M1" s="477"/>
      <c r="N1" s="477"/>
      <c r="P1" s="447" t="s">
        <v>94</v>
      </c>
      <c r="Q1" s="448"/>
      <c r="R1" s="448"/>
      <c r="S1" s="448"/>
      <c r="T1" s="448"/>
      <c r="U1" s="70"/>
      <c r="V1" s="70"/>
      <c r="W1" s="271"/>
      <c r="X1" s="291"/>
      <c r="Y1" s="271"/>
      <c r="Z1" s="271"/>
      <c r="AA1" s="271"/>
      <c r="AD1" s="152" t="s">
        <v>94</v>
      </c>
      <c r="AE1" s="402"/>
      <c r="AF1" s="402"/>
      <c r="AG1" s="402"/>
      <c r="AH1" s="402"/>
      <c r="AI1" s="402"/>
      <c r="AJ1" s="402"/>
      <c r="AK1" s="402"/>
      <c r="AL1" s="402"/>
      <c r="AM1" s="402"/>
      <c r="AN1" s="402"/>
      <c r="AO1" s="532"/>
      <c r="AP1" s="532"/>
    </row>
    <row r="2" spans="1:42" hidden="1" x14ac:dyDescent="0.2">
      <c r="A2" s="477"/>
      <c r="D2" s="477"/>
      <c r="E2" s="477"/>
      <c r="F2" s="477"/>
      <c r="G2" s="477"/>
      <c r="H2" s="477"/>
      <c r="I2" s="477"/>
      <c r="J2" s="477"/>
      <c r="K2" s="477"/>
      <c r="L2" s="477"/>
      <c r="M2" s="477"/>
      <c r="N2" s="477"/>
      <c r="O2" s="477"/>
      <c r="P2" s="271"/>
      <c r="Q2" s="271"/>
      <c r="R2" s="271"/>
      <c r="S2" s="271"/>
      <c r="T2" s="409"/>
      <c r="U2" s="409"/>
      <c r="V2" s="409"/>
      <c r="W2" s="271"/>
      <c r="X2" s="271"/>
      <c r="Y2" s="271"/>
      <c r="Z2" s="271"/>
      <c r="AD2" s="271"/>
      <c r="AE2" s="271"/>
      <c r="AF2" s="271"/>
      <c r="AG2" s="271"/>
      <c r="AH2" s="271"/>
      <c r="AI2" s="271"/>
      <c r="AJ2" s="412"/>
      <c r="AK2" s="271"/>
      <c r="AL2" s="271"/>
      <c r="AM2" s="271"/>
      <c r="AN2" s="271"/>
    </row>
    <row r="3" spans="1:42" hidden="1" x14ac:dyDescent="0.2">
      <c r="A3" s="477"/>
      <c r="D3" s="477"/>
      <c r="E3" s="477"/>
      <c r="F3" s="477"/>
      <c r="G3" s="477"/>
      <c r="H3" s="477"/>
      <c r="I3" s="477"/>
      <c r="J3" s="477"/>
      <c r="K3" s="477"/>
      <c r="L3" s="477"/>
      <c r="M3" s="477"/>
      <c r="N3" s="477"/>
      <c r="O3" s="477"/>
      <c r="P3" s="271"/>
      <c r="Q3" s="271"/>
      <c r="R3" s="271"/>
      <c r="S3" s="271"/>
      <c r="T3" s="409"/>
      <c r="U3" s="409"/>
      <c r="V3" s="409"/>
      <c r="W3" s="271"/>
      <c r="X3" s="271"/>
      <c r="Y3" s="271"/>
      <c r="Z3" s="271"/>
      <c r="AA3" s="271"/>
      <c r="AE3" s="271"/>
      <c r="AG3" s="271"/>
      <c r="AH3" s="271"/>
      <c r="AI3" s="271"/>
      <c r="AJ3" s="271"/>
      <c r="AK3" s="271"/>
      <c r="AL3" s="271"/>
      <c r="AM3" s="271"/>
      <c r="AN3" s="271"/>
    </row>
    <row r="4" spans="1:42" hidden="1" x14ac:dyDescent="0.2">
      <c r="A4" s="477"/>
      <c r="D4" s="477"/>
      <c r="E4" s="477"/>
      <c r="F4" s="477"/>
      <c r="G4" s="477"/>
      <c r="H4" s="477"/>
      <c r="I4" s="477"/>
      <c r="J4" s="477"/>
      <c r="K4" s="477"/>
      <c r="L4" s="477"/>
      <c r="M4" s="477"/>
      <c r="N4" s="477"/>
      <c r="O4" s="477"/>
      <c r="P4" s="271"/>
      <c r="Q4" s="271"/>
      <c r="R4" s="271"/>
      <c r="S4" s="271"/>
      <c r="T4" s="271"/>
      <c r="U4" s="271"/>
      <c r="V4" s="271"/>
      <c r="W4" s="271"/>
      <c r="X4" s="271"/>
      <c r="Y4" s="271"/>
      <c r="Z4" s="271"/>
      <c r="AA4" s="271"/>
      <c r="AE4" s="409"/>
      <c r="AF4" s="409"/>
      <c r="AG4" s="409"/>
      <c r="AH4" s="376"/>
      <c r="AI4" s="409"/>
      <c r="AJ4" s="409"/>
      <c r="AK4" s="409"/>
      <c r="AL4" s="409"/>
      <c r="AM4" s="409"/>
      <c r="AN4" s="409"/>
      <c r="AO4" s="409"/>
      <c r="AP4" s="409"/>
    </row>
    <row r="5" spans="1:42" x14ac:dyDescent="0.2">
      <c r="A5" s="477"/>
      <c r="F5" s="271"/>
      <c r="G5" s="53"/>
      <c r="H5" s="53"/>
      <c r="I5" s="53"/>
      <c r="J5" s="53"/>
      <c r="K5" s="53"/>
      <c r="L5" s="312"/>
      <c r="M5" s="271"/>
      <c r="N5" s="967" t="s">
        <v>476</v>
      </c>
      <c r="O5" s="271"/>
      <c r="P5" s="271"/>
      <c r="Q5" s="271"/>
      <c r="R5" s="271"/>
      <c r="S5" s="271"/>
      <c r="T5" s="271"/>
      <c r="U5" s="271"/>
      <c r="V5" s="271"/>
      <c r="W5" s="271"/>
      <c r="X5" s="271"/>
      <c r="Y5" s="271"/>
      <c r="Z5" s="271"/>
      <c r="AA5" s="271"/>
      <c r="AC5" s="271"/>
      <c r="AD5" s="964" t="s">
        <v>214</v>
      </c>
    </row>
    <row r="6" spans="1:42" x14ac:dyDescent="0.2">
      <c r="A6" s="316" t="s">
        <v>0</v>
      </c>
      <c r="B6" s="466"/>
      <c r="C6" s="467">
        <v>1</v>
      </c>
      <c r="D6" s="467">
        <v>2</v>
      </c>
      <c r="E6" s="467">
        <v>3</v>
      </c>
      <c r="F6" s="467"/>
      <c r="G6" s="467"/>
      <c r="H6" s="467" t="s">
        <v>168</v>
      </c>
      <c r="I6" s="275" t="s">
        <v>169</v>
      </c>
      <c r="J6" s="469" t="s">
        <v>257</v>
      </c>
      <c r="K6" s="470" t="s">
        <v>258</v>
      </c>
      <c r="L6" s="471" t="s">
        <v>259</v>
      </c>
      <c r="M6" s="471" t="s">
        <v>260</v>
      </c>
      <c r="N6" s="472" t="s">
        <v>170</v>
      </c>
      <c r="O6" s="472" t="s">
        <v>170</v>
      </c>
      <c r="P6" s="473" t="s">
        <v>261</v>
      </c>
      <c r="Q6" s="474" t="s">
        <v>21</v>
      </c>
      <c r="R6" s="474" t="b">
        <f>OR(AND(COUNTA(B7:B11)=3,COUNTA(C7:G11)=6),AND(COUNTA(B7:B11)=4,COUNTA(C7:G11)=12),AND(COUNTA(B7:B11)=5,COUNTA(C7:G11)=20))</f>
        <v>1</v>
      </c>
      <c r="S6" s="475" t="s">
        <v>262</v>
      </c>
      <c r="T6" s="476" t="s">
        <v>263</v>
      </c>
      <c r="U6" s="477"/>
      <c r="V6" s="477"/>
      <c r="W6" s="477"/>
      <c r="X6" s="477"/>
      <c r="Y6" s="477"/>
      <c r="Z6" s="477"/>
      <c r="AA6" s="477"/>
      <c r="AB6" s="477"/>
      <c r="AC6" s="478"/>
      <c r="AD6" s="272" t="s">
        <v>370</v>
      </c>
      <c r="AE6" s="273"/>
      <c r="AF6" s="273" t="s">
        <v>249</v>
      </c>
      <c r="AG6" s="273"/>
      <c r="AH6" s="403" t="s">
        <v>250</v>
      </c>
      <c r="AI6" s="273"/>
      <c r="AJ6" s="273" t="s">
        <v>251</v>
      </c>
      <c r="AK6" s="274"/>
      <c r="AL6" s="273" t="s">
        <v>252</v>
      </c>
      <c r="AM6" s="274"/>
      <c r="AN6" s="274" t="s">
        <v>472</v>
      </c>
      <c r="AO6" s="945"/>
      <c r="AP6" s="274" t="s">
        <v>473</v>
      </c>
    </row>
    <row r="7" spans="1:42" x14ac:dyDescent="0.2">
      <c r="A7" s="316">
        <v>1</v>
      </c>
      <c r="B7" s="479" t="s">
        <v>272</v>
      </c>
      <c r="C7" s="319"/>
      <c r="D7" s="318">
        <v>13</v>
      </c>
      <c r="E7" s="318">
        <v>13</v>
      </c>
      <c r="F7" s="318"/>
      <c r="G7" s="318"/>
      <c r="H7" s="317" t="str">
        <f>(IF(D7-C8&gt;0,1)+IF(E7-C9&gt;0,1)+IF(F7-C10&gt;0,1)+IF(G7-C11&gt;0,1))&amp;"-"&amp;(IF(D7-C8&lt;0,1)+IF(E7-C9&lt;0,1)+IF(F7-C10&lt;0,1)+IF(G7-C11&lt;0,1))</f>
        <v>2-0</v>
      </c>
      <c r="I7" s="318" t="str">
        <f>IF(AND(B7&lt;&gt;"",R$6=TRUE),A$6&amp;RANK(S7,S$7:S$11,0)," ")</f>
        <v>A1</v>
      </c>
      <c r="J7" s="480">
        <f>IF(AND(Q7=1,Q8=1,D7&gt;C8),1)+IF(AND(Q7=1,Q9=1,E7&gt;C9),1)+IF(AND(Q7=1,Q10=1,F7&gt;C10),1)+IF(AND(Q7=1,Q11=1,G7&gt;C11),1)+IF(AND(Q7=2,Q8=2,D7&gt;C8),1)+IF(AND(Q7=2,Q9=2,E7&gt;C9),1)+IF(AND(Q7=2,Q10=2,F7&gt;C10),1)+IF(AND(Q7=2,Q11=2,G7&gt;C11),1)+IF(AND(Q7=3,Q8=3,D7&gt;C8),1)+IF(AND(Q7=3,Q9=3,E7&gt;C9),1)+IF(AND(Q7=3,Q10=3,F7&gt;C10),1)+IF(AND(Q7=3,Q11=3,G7&gt;C11),1)</f>
        <v>0</v>
      </c>
      <c r="K7" s="481">
        <f>SUM(AND(T7=T8,D7&gt;C8),AND(T7=T9,E7&gt;C9),AND(T7=T10,F7&gt;C10),AND(T7=T11,G7&gt;C11))</f>
        <v>0</v>
      </c>
      <c r="L7" s="482">
        <f>IF(AND(Q7=1,Q8=1),D7-C8)+IF(AND(Q7=1,Q9=1),E7-C9)+IF(AND(Q7=1,Q10=1),F7-C10)+IF(AND(Q7=1,Q11=1),G7-C11)+IF(AND(Q7=2,Q8=2),D7-C8)+IF(AND(Q7=2,Q9=2),E7-C9)+IF(AND(Q7=2,Q10=2),F7-C10)+IF(AND(Q7=2,Q11=2),G7-C11)+IF(AND(Q7=3,Q8=3),D7-C8)+IF(AND(Q7=3,Q9=3),E7-C9)+IF(AND(Q7=3,Q10=3),F7-C10)+IF(AND(Q7=3,Q11=3),G7-C11)+IF(AND(Q7=4,Q8=4),D7-C8)+IF(AND(Q7=4,Q9=4),E7-C9)+IF(AND(Q7=4,Q10=4),F7-C10)+IF(AND(Q7=4,Q11=4),G7-C11)</f>
        <v>0</v>
      </c>
      <c r="M7" s="483">
        <f>SUM(AND(R7=R8,D7&gt;C8),AND(R7=R9,E7&gt;C9),AND(R7=R10,F7&gt;C10),AND(R7=R11,G7&gt;C11))</f>
        <v>0</v>
      </c>
      <c r="N7" s="537" t="str">
        <f>SUM(C7:G7)&amp;"-"&amp;SUM(C7:C11)</f>
        <v>26-14</v>
      </c>
      <c r="O7" s="538">
        <f>D7+E7+F7+G7-C8-C9-C10-C11</f>
        <v>12</v>
      </c>
      <c r="P7" s="485">
        <f>SUM(C7:G7,C7:C11)/SUM(C7:C11)</f>
        <v>2.8571428571428572</v>
      </c>
      <c r="Q7" s="320">
        <f>VALUE(LEFT(H7,1))</f>
        <v>2</v>
      </c>
      <c r="R7" s="321">
        <f>Q7*100000+J7*10000+K7*1000+100*L7</f>
        <v>200000</v>
      </c>
      <c r="S7" s="486">
        <f>R7+M7*0.1+IF(ISNONTEXT(B7),0,0.01)+0.0001*O7</f>
        <v>200000.01120000001</v>
      </c>
      <c r="T7" s="487" t="str">
        <f>Q7&amp;J7</f>
        <v>20</v>
      </c>
      <c r="U7" s="477"/>
      <c r="V7" s="477"/>
      <c r="W7" s="477"/>
      <c r="X7" s="477"/>
      <c r="Y7" s="477"/>
      <c r="Z7" s="477"/>
      <c r="AA7" s="477"/>
      <c r="AB7" s="477"/>
      <c r="AC7" s="477"/>
      <c r="AD7" s="405">
        <f>SUM(AE7:AP7)</f>
        <v>272</v>
      </c>
      <c r="AE7" s="406">
        <f>IFERROR(INDEX(V!$R:$R,MATCH(AF7,V!$L:$L,0)),"")</f>
        <v>148</v>
      </c>
      <c r="AF7" s="407" t="str">
        <f>IFERROR(LEFT($B7,(FIND(",",$B7,1)-1)),"")</f>
        <v>Andrei Grintšak</v>
      </c>
      <c r="AG7" s="406">
        <f>IFERROR(INDEX(V!$R:$R,MATCH(AH7,V!$L:$L,0)),"")</f>
        <v>124</v>
      </c>
      <c r="AH7" s="407" t="str">
        <f>IFERROR(MID($B7,FIND(", ",$B7)+2,256),"")</f>
        <v>Boriss Klubov</v>
      </c>
      <c r="AI7" s="406" t="str">
        <f>IFERROR(INDEX(V!$R:$R,MATCH(AJ7,V!$L:$L,0)),"")</f>
        <v/>
      </c>
      <c r="AJ7" s="407" t="str">
        <f>IFERROR(MID($B7,FIND("^",SUBSTITUTE($B7,", ","^",1))+2,FIND("^",SUBSTITUTE($B7,", ","^",2))-FIND("^",SUBSTITUTE($B7,", ","^",1))-2),"")</f>
        <v/>
      </c>
      <c r="AK7" s="406" t="str">
        <f>IFERROR(INDEX(V!$R:$R,MATCH(AL7,V!$L:$L,0)),"")</f>
        <v/>
      </c>
      <c r="AL7" s="407" t="str">
        <f>IFERROR(MID($B7,FIND(", ",$B7,FIND(", ",$B7,FIND(", ",$B7))+1)+2,30000),"")</f>
        <v/>
      </c>
      <c r="AM7" s="406" t="str">
        <f>IFERROR(INDEX(V!$R:$R,MATCH(AN7,V!$L:$L,0)),"")</f>
        <v/>
      </c>
      <c r="AN7" s="407" t="str">
        <f>IFERROR(MID($B7,FIND(", ",$B7,FIND(", ",$B7)+1)+2,FIND(", ",$B7,FIND(", ",$B7,FIND(", ",$B7)+1)+1)-FIND(", ",$B7,FIND(", ",$B7)+1)-2),"")</f>
        <v/>
      </c>
      <c r="AO7" s="406" t="str">
        <f>IFERROR(INDEX(V!$R:$R,MATCH(AP7,V!$L:$L,0)),"")</f>
        <v/>
      </c>
      <c r="AP7" s="407" t="str">
        <f>IFERROR(MID($B7,FIND(", ",$B7,FIND(", ",$B7,FIND(", ",$B7)+1)+1)+2,30000),"")</f>
        <v/>
      </c>
    </row>
    <row r="8" spans="1:42" x14ac:dyDescent="0.2">
      <c r="A8" s="316">
        <v>2</v>
      </c>
      <c r="B8" s="488" t="s">
        <v>482</v>
      </c>
      <c r="C8" s="318">
        <v>9</v>
      </c>
      <c r="D8" s="319"/>
      <c r="E8" s="318">
        <v>6</v>
      </c>
      <c r="F8" s="318"/>
      <c r="G8" s="318"/>
      <c r="H8" s="317" t="str">
        <f>(IF(C8-D7&gt;0,1)+IF(E8-D9&gt;0,1)+IF(F8-D10&gt;0,1)+IF(G8-D11&gt;0,1))&amp;"-"&amp;(IF(C8-D7&lt;0,1)+IF(E8-D9&lt;0,1)+IF(F8-D10&lt;0,1)+IF(G8-D11&lt;0,1))</f>
        <v>0-2</v>
      </c>
      <c r="I8" s="318" t="str">
        <f>IF(AND(B8&lt;&gt;"",R$6=TRUE),A$6&amp;RANK(S8,S$7:S$11,0)," ")</f>
        <v>A3</v>
      </c>
      <c r="J8" s="489">
        <f>IF(AND(Q8=1,Q7=1,C8&gt;D7),1)+IF(AND(Q8=1,Q9=1,E8&gt;D9),1)+IF(AND(Q8=1,Q10=1,F8&gt;D10),1)+IF(AND(Q8=1,Q11=1,G8&gt;D11),1)+IF(AND(Q8=2,Q7=2,C8&gt;D7),1)+IF(AND(Q8=2,Q9=2,E8&gt;D9),1)+IF(AND(Q8=2,Q10=2,F8&gt;D10),1)+IF(AND(Q8=2,Q11=2,G8&gt;D11),1)+IF(AND(Q8=3,Q7=3,C8&gt;D7),1)+IF(AND(Q8=3,Q9=3,E8&gt;D9),1)+IF(AND(Q8=3,Q10=3,F8&gt;D10),1)+IF(AND(Q8=3,Q11=3,G8&gt;D11),1)</f>
        <v>0</v>
      </c>
      <c r="K8" s="483">
        <f>SUM(AND(T8=T7,C8&gt;D7),AND(T8=T9,E8&gt;D9),AND(T8=T10,F8&gt;D10),AND(T8=T11,G8&gt;D11))</f>
        <v>0</v>
      </c>
      <c r="L8" s="490">
        <f>IF(AND(Q8=1,Q7=1),C8-D7)+IF(AND(Q8=1,Q9=1),E8-D9)+IF(AND(Q8=1,Q10=1),F8-D10)+IF(AND(Q8=1,Q11=1),G8-D11)+IF(AND(Q8=2,Q7=2),C8-D7)+IF(AND(Q8=2,Q9=2),E8-D9)+IF(AND(Q8=2,Q10=2),F8-D10)+IF(AND(Q8=2,Q11=2),G8-D11)+IF(AND(Q8=3,Q7=3),C8-D7)+IF(AND(Q8=3,Q9=3),E8-D9)+IF(AND(Q8=3,Q10=3),F8-D10)+IF(AND(Q8=3,Q11=3),G8-D11)+IF(AND(Q8=4,Q7=4),C8-D7)+IF(AND(Q8=4,Q9=4),E8-D9)+IF(AND(Q8=4,Q10=4),F8-D10)+IF(AND(Q8=4,Q11=4),G8-D11)</f>
        <v>0</v>
      </c>
      <c r="M8" s="483">
        <f>SUM(AND(R8=R7,C8&gt;D7),AND(R8=R9,E8&gt;D9),AND(R8=R10,F8&gt;D10),AND(R8=R11,G8&gt;D11))</f>
        <v>0</v>
      </c>
      <c r="N8" s="537" t="str">
        <f>SUM(C8:G8)&amp;"-"&amp;SUM(D7:D11)</f>
        <v>15-26</v>
      </c>
      <c r="O8" s="538">
        <f>C8+E8+F8+G8-D7-D9-D10-D11</f>
        <v>-11</v>
      </c>
      <c r="P8" s="485">
        <f>SUM(C8:G8,D7:D11)/SUM(D7:D11)</f>
        <v>1.5769230769230769</v>
      </c>
      <c r="Q8" s="491">
        <f>VALUE(LEFT(H8,1))</f>
        <v>0</v>
      </c>
      <c r="R8" s="321">
        <f>Q8*100000+J8*10000+K8*1000+100*L8</f>
        <v>0</v>
      </c>
      <c r="S8" s="486">
        <f>R8+M8*0.1+IF(ISNONTEXT(B8),0,0.01)+0.0001*O8</f>
        <v>8.8999999999999999E-3</v>
      </c>
      <c r="T8" s="487" t="str">
        <f>Q8&amp;J8</f>
        <v>00</v>
      </c>
      <c r="U8" s="477"/>
      <c r="V8" s="477"/>
      <c r="W8" s="477"/>
      <c r="X8" s="477"/>
      <c r="Y8" s="477"/>
      <c r="Z8" s="477"/>
      <c r="AA8" s="477"/>
      <c r="AB8" s="477"/>
      <c r="AC8" s="485"/>
      <c r="AD8" s="405">
        <f t="shared" ref="AD8:AD31" si="0">SUM(AE8:AP8)</f>
        <v>197</v>
      </c>
      <c r="AE8" s="406">
        <f>IFERROR(INDEX(V!$R:$R,MATCH(AF8,V!$L:$L,0)),"")</f>
        <v>118</v>
      </c>
      <c r="AF8" s="407" t="str">
        <f t="shared" ref="AF8:AF31" si="1">IFERROR(LEFT($B8,(FIND(",",$B8,1)-1)),"")</f>
        <v>Enn Tokman</v>
      </c>
      <c r="AG8" s="406">
        <f>IFERROR(INDEX(V!$R:$R,MATCH(AH8,V!$L:$L,0)),"")</f>
        <v>79</v>
      </c>
      <c r="AH8" s="407" t="str">
        <f t="shared" ref="AH8:AH31" si="2">IFERROR(MID($B8,FIND(", ",$B8)+2,256),"")</f>
        <v>Liidia Põllu</v>
      </c>
      <c r="AI8" s="406" t="str">
        <f>IFERROR(INDEX(V!$R:$R,MATCH(AJ8,V!$L:$L,0)),"")</f>
        <v/>
      </c>
      <c r="AJ8" s="407" t="str">
        <f t="shared" ref="AJ8:AJ31" si="3">IFERROR(MID($B8,FIND("^",SUBSTITUTE($B8,", ","^",1))+2,FIND("^",SUBSTITUTE($B8,", ","^",2))-FIND("^",SUBSTITUTE($B8,", ","^",1))-2),"")</f>
        <v/>
      </c>
      <c r="AK8" s="406" t="str">
        <f>IFERROR(INDEX(V!$R:$R,MATCH(AL8,V!$L:$L,0)),"")</f>
        <v/>
      </c>
      <c r="AL8" s="407" t="str">
        <f t="shared" ref="AL8:AL31" si="4">IFERROR(MID($B8,FIND(", ",$B8,FIND(", ",$B8,FIND(", ",$B8))+1)+2,30000),"")</f>
        <v/>
      </c>
      <c r="AM8" s="406" t="str">
        <f>IFERROR(INDEX(V!$R:$R,MATCH(AN8,V!$L:$L,0)),"")</f>
        <v/>
      </c>
      <c r="AN8" s="407" t="str">
        <f t="shared" ref="AN8:AN31" si="5">IFERROR(MID($B8,FIND(", ",$B8,FIND(", ",$B8)+1)+2,FIND(", ",$B8,FIND(", ",$B8,FIND(", ",$B8)+1)+1)-FIND(", ",$B8,FIND(", ",$B8)+1)-2),"")</f>
        <v/>
      </c>
      <c r="AO8" s="406" t="str">
        <f>IFERROR(INDEX(V!$R:$R,MATCH(AP8,V!$L:$L,0)),"")</f>
        <v/>
      </c>
      <c r="AP8" s="407" t="str">
        <f t="shared" ref="AP8:AP31" si="6">IFERROR(MID($B8,FIND(", ",$B8,FIND(", ",$B8,FIND(", ",$B8)+1)+1)+2,30000),"")</f>
        <v/>
      </c>
    </row>
    <row r="9" spans="1:42" x14ac:dyDescent="0.2">
      <c r="A9" s="316">
        <v>3</v>
      </c>
      <c r="B9" s="488" t="s">
        <v>274</v>
      </c>
      <c r="C9" s="318">
        <v>5</v>
      </c>
      <c r="D9" s="492">
        <v>13</v>
      </c>
      <c r="E9" s="319"/>
      <c r="F9" s="318"/>
      <c r="G9" s="318"/>
      <c r="H9" s="317" t="str">
        <f>(IF(C9-E7&gt;0,1)+IF(D9-E8&gt;0,1)+IF(F9-E10&gt;0,1)+IF(G9-E11&gt;0,1))&amp;"-"&amp;(IF(C9-E7&lt;0,1)+IF(D9-E8&lt;0,1)+IF(F9-E10&lt;0,1)+IF(G9-E11&lt;0,1))</f>
        <v>1-1</v>
      </c>
      <c r="I9" s="318" t="str">
        <f>IF(AND(B9&lt;&gt;"",R$6=TRUE),A$6&amp;RANK(S9,S$7:S$11,0)," ")</f>
        <v>A2</v>
      </c>
      <c r="J9" s="489">
        <f>IF(AND(Q9=1,Q7=1,C9&gt;E7),1)+IF(AND(Q9=1,Q8=1,D9&gt;E8),1)+IF(AND(Q9=1,Q10=1,F9&gt;E10),1)+IF(AND(Q9=1,Q11=1,G9&gt;E11),1)+IF(AND(Q9=2,Q7=2,C9&gt;E7),1)+IF(AND(Q9=2,Q8=2,D9&gt;E8),1)+IF(AND(Q9=2,Q10=2,F9&gt;E10),1)+IF(AND(Q9=2,Q11=2,G9&gt;E11),1)+IF(AND(Q9=3,Q7=3,C9&gt;E7),1)+IF(AND(Q9=3,Q8=3,D9&gt;E8),1)+IF(AND(Q9=3,Q10=3,F9&gt;E10),1)+IF(AND(Q9=3,Q11=3,G9&gt;E11),1)</f>
        <v>0</v>
      </c>
      <c r="K9" s="483">
        <f>SUM(AND(T9=T7,C9&gt;E7),AND(T9=T8,D9&gt;E8),AND(T9=T10,F9&gt;E10),AND(T9=T11,G9&gt;E11))</f>
        <v>0</v>
      </c>
      <c r="L9" s="490">
        <f>IF(AND(Q9=1,Q7=1),C9-E7)+IF(AND(Q9=1,Q8=1),D9-E8)+IF(AND(Q9=1,Q10=1),F9-E10)+IF(AND(Q9=1,Q11=1),G9-E11)+IF(AND(Q9=2,Q7=2),C9-E7)+IF(AND(Q9=2,Q8=2),D9-E8)+IF(AND(Q9=2,Q10=2),F9-E10)+IF(AND(Q9=2,Q11=2),G9-E11)+IF(AND(Q9=3,Q7=3),C9-E7)+IF(AND(Q9=3,Q8=3),D9-E8)+IF(AND(Q9=3,Q10=3),F9-E10)+IF(AND(Q9=3,Q11=3),G9-E11)+IF(AND(Q9=4,Q7=4),C9-E7)+IF(AND(Q9=4,Q8=4),D9-E8)+IF(AND(Q9=4,Q10=4),F9-E10)+IF(AND(Q9=4,Q11=4),G9-E11)</f>
        <v>0</v>
      </c>
      <c r="M9" s="483">
        <f>SUM(AND(R9=R7,C9&gt;E7),AND(R9=R8,D9&gt;E8),AND(R9=R10,F9&gt;E10),AND(R9=R11,G9&gt;E11))</f>
        <v>0</v>
      </c>
      <c r="N9" s="537" t="str">
        <f>SUM(C9:G9)&amp;"-"&amp;SUM(E7:E11)</f>
        <v>18-19</v>
      </c>
      <c r="O9" s="538">
        <f>C9+D9+F9+G9-E7-E8-E10-E11</f>
        <v>-1</v>
      </c>
      <c r="P9" s="485">
        <f>SUM(C9:G9,E7:E11)/SUM(E7:E11)</f>
        <v>1.9473684210526316</v>
      </c>
      <c r="Q9" s="491">
        <f>VALUE(LEFT(H9,1))</f>
        <v>1</v>
      </c>
      <c r="R9" s="321">
        <f>Q9*100000+J9*10000+K9*1000+100*L9</f>
        <v>100000</v>
      </c>
      <c r="S9" s="486">
        <f>R9+M9*0.1+IF(ISNONTEXT(B9),0,0.01)+0.0001*O9</f>
        <v>100000.00989999999</v>
      </c>
      <c r="T9" s="487" t="str">
        <f>Q9&amp;J9</f>
        <v>10</v>
      </c>
      <c r="U9" s="477"/>
      <c r="V9" s="477"/>
      <c r="W9" s="477"/>
      <c r="X9" s="477"/>
      <c r="Y9" s="477"/>
      <c r="Z9" s="477"/>
      <c r="AA9" s="477"/>
      <c r="AB9" s="477"/>
      <c r="AC9" s="485"/>
      <c r="AD9" s="405">
        <f t="shared" si="0"/>
        <v>276</v>
      </c>
      <c r="AE9" s="406">
        <f>IFERROR(INDEX(V!$R:$R,MATCH(AF9,V!$L:$L,0)),"")</f>
        <v>150.5</v>
      </c>
      <c r="AF9" s="407" t="str">
        <f t="shared" si="1"/>
        <v>Karla Purgats</v>
      </c>
      <c r="AG9" s="406">
        <f>IFERROR(INDEX(V!$R:$R,MATCH(AH9,V!$L:$L,0)),"")</f>
        <v>125.5</v>
      </c>
      <c r="AH9" s="407" t="str">
        <f t="shared" si="2"/>
        <v>Lemmit Toomra</v>
      </c>
      <c r="AI9" s="406" t="str">
        <f>IFERROR(INDEX(V!$R:$R,MATCH(AJ9,V!$L:$L,0)),"")</f>
        <v/>
      </c>
      <c r="AJ9" s="407" t="str">
        <f t="shared" si="3"/>
        <v/>
      </c>
      <c r="AK9" s="406" t="str">
        <f>IFERROR(INDEX(V!$R:$R,MATCH(AL9,V!$L:$L,0)),"")</f>
        <v/>
      </c>
      <c r="AL9" s="407" t="str">
        <f t="shared" si="4"/>
        <v/>
      </c>
      <c r="AM9" s="406" t="str">
        <f>IFERROR(INDEX(V!$R:$R,MATCH(AN9,V!$L:$L,0)),"")</f>
        <v/>
      </c>
      <c r="AN9" s="407" t="str">
        <f t="shared" si="5"/>
        <v/>
      </c>
      <c r="AO9" s="406" t="str">
        <f>IFERROR(INDEX(V!$R:$R,MATCH(AP9,V!$L:$L,0)),"")</f>
        <v/>
      </c>
      <c r="AP9" s="407" t="str">
        <f t="shared" si="6"/>
        <v/>
      </c>
    </row>
    <row r="10" spans="1:42" hidden="1" x14ac:dyDescent="0.2">
      <c r="A10" s="316">
        <v>4</v>
      </c>
      <c r="B10" s="493"/>
      <c r="C10" s="318"/>
      <c r="D10" s="492"/>
      <c r="E10" s="318"/>
      <c r="F10" s="319"/>
      <c r="G10" s="318"/>
      <c r="H10" s="317" t="str">
        <f>(IF(C10-F7&gt;0,1)+IF(D10-F8&gt;0,1)+IF(E10-F9&gt;0,1)+IF(G10-F11&gt;0,1))&amp;"-"&amp;(IF(C10-F7&lt;0,1)+IF(D10-F8&lt;0,1)+IF(E10-F9&lt;0,1)+IF(G10-F11&lt;0,1))</f>
        <v>0-0</v>
      </c>
      <c r="I10" s="318" t="str">
        <f>IF(AND(B10&lt;&gt;"",R$6=TRUE),A$6&amp;RANK(S10,S$7:S$11,0)," ")</f>
        <v xml:space="preserve"> </v>
      </c>
      <c r="J10" s="489">
        <f>IF(AND(Q10=1,Q7=1,C10&gt;F7),1)+IF(AND(Q10=1,Q8=1,D10&gt;F8),1)+IF(AND(Q10=1,Q9=1,E10&gt;F9),1)+IF(AND(Q10=1,Q11=1,G10&gt;F11),1)+IF(AND(Q10=2,Q7=2,C10&gt;F7),1)+IF(AND(Q10=2,Q8=2,D10&gt;F8),1)+IF(AND(Q10=2,Q9=2,E10&gt;F9),1)+IF(AND(Q10=2,Q11=2,G10&gt;F11),1)+IF(AND(Q10=3,Q7=3,C10&gt;F7),1)+IF(AND(Q10=3,Q8=3,D10&gt;F8),1)+IF(AND(Q10=3,Q9=3,E10&gt;F9),1)+IF(AND(Q10=3,Q11=3,G10&gt;F11),1)</f>
        <v>0</v>
      </c>
      <c r="K10" s="483">
        <f>SUM(AND(T10=T7,C10&gt;F7),AND(T10=T8,D10&gt;F8),AND(T10=T9,E10&gt;F9),AND(T10=T11,G10&gt;F11))</f>
        <v>0</v>
      </c>
      <c r="L10" s="490">
        <f>IF(AND(Q10=1,Q7=1),C10-F7)+IF(AND(Q10=1,Q8=1),D10-F8)+IF(AND(Q10=1,Q9=1),E10-F9)+IF(AND(Q10=1,Q11=1),G10-F11)+IF(AND(Q10=2,Q7=2),C10-F7)+IF(AND(Q10=2,Q8=2),D10-F8)+IF(AND(Q10=2,Q9=2),E10-F9)+IF(AND(Q10=2,Q11=2),G10-F11)+IF(AND(Q10=3,Q7=3),C10-F7)+IF(AND(Q10=3,Q8=3),D10-F8)+IF(AND(Q10=3,Q9=3),E10-F9)+IF(AND(Q10=3,Q11=3),G10-F11)+IF(AND(Q10=4,Q7=4),C10-F7)+IF(AND(Q10=4,Q8=4),D10-F8)+IF(AND(Q10=4,Q9=4),E10-F9)+IF(AND(Q10=4,Q11=4),G10-F11)</f>
        <v>0</v>
      </c>
      <c r="M10" s="483">
        <f>SUM(AND(R10=R7,C10&gt;F7),AND(R10=R8,D10&gt;F8),AND(R10=R9,E10&gt;F9),AND(R10=R11,G10&gt;F11))</f>
        <v>0</v>
      </c>
      <c r="N10" s="537" t="str">
        <f>SUM(C10:G10)&amp;"-"&amp;SUM(F7:F11)</f>
        <v>0-0</v>
      </c>
      <c r="O10" s="538">
        <f>C10+D10+E10+G10-F7-F8-F9-F11</f>
        <v>0</v>
      </c>
      <c r="P10" s="485" t="e">
        <f>SUM(C10:G10,F7:F11)/SUM(F7:F11)</f>
        <v>#DIV/0!</v>
      </c>
      <c r="Q10" s="491">
        <f>VALUE(LEFT(H10,1))</f>
        <v>0</v>
      </c>
      <c r="R10" s="321">
        <f>Q10*100000+J10*10000+K10*1000+100*L10</f>
        <v>0</v>
      </c>
      <c r="S10" s="486">
        <f>R10+M10*0.1+IF(ISNONTEXT(B10),0,0.01)+0.0001*O10</f>
        <v>0</v>
      </c>
      <c r="T10" s="487" t="str">
        <f>Q10&amp;J10</f>
        <v>00</v>
      </c>
      <c r="U10" s="477"/>
      <c r="V10" s="477"/>
      <c r="W10" s="477"/>
      <c r="X10" s="477"/>
      <c r="Y10" s="477"/>
      <c r="Z10" s="477"/>
      <c r="AA10" s="477"/>
      <c r="AB10" s="477"/>
      <c r="AC10" s="485"/>
      <c r="AD10" s="405">
        <f t="shared" si="0"/>
        <v>0</v>
      </c>
      <c r="AE10" s="406" t="str">
        <f>IFERROR(INDEX(V!$R:$R,MATCH(AF10,V!$L:$L,0)),"")</f>
        <v/>
      </c>
      <c r="AF10" s="407" t="str">
        <f t="shared" si="1"/>
        <v/>
      </c>
      <c r="AG10" s="406" t="str">
        <f>IFERROR(INDEX(V!$R:$R,MATCH(AH10,V!$L:$L,0)),"")</f>
        <v/>
      </c>
      <c r="AH10" s="407" t="str">
        <f t="shared" si="2"/>
        <v/>
      </c>
      <c r="AI10" s="406" t="str">
        <f>IFERROR(INDEX(V!$R:$R,MATCH(AJ10,V!$L:$L,0)),"")</f>
        <v/>
      </c>
      <c r="AJ10" s="407" t="str">
        <f t="shared" si="3"/>
        <v/>
      </c>
      <c r="AK10" s="406" t="str">
        <f>IFERROR(INDEX(V!$R:$R,MATCH(AL10,V!$L:$L,0)),"")</f>
        <v/>
      </c>
      <c r="AL10" s="407" t="str">
        <f t="shared" si="4"/>
        <v/>
      </c>
      <c r="AM10" s="406" t="str">
        <f>IFERROR(INDEX(V!$R:$R,MATCH(AN10,V!$L:$L,0)),"")</f>
        <v/>
      </c>
      <c r="AN10" s="407" t="str">
        <f t="shared" si="5"/>
        <v/>
      </c>
      <c r="AO10" s="406" t="str">
        <f>IFERROR(INDEX(V!$R:$R,MATCH(AP10,V!$L:$L,0)),"")</f>
        <v/>
      </c>
      <c r="AP10" s="407" t="str">
        <f t="shared" si="6"/>
        <v/>
      </c>
    </row>
    <row r="11" spans="1:42" hidden="1" x14ac:dyDescent="0.2">
      <c r="A11" s="316">
        <v>5</v>
      </c>
      <c r="B11" s="493"/>
      <c r="C11" s="318"/>
      <c r="D11" s="318"/>
      <c r="E11" s="318"/>
      <c r="F11" s="318"/>
      <c r="G11" s="319"/>
      <c r="H11" s="317" t="str">
        <f>(IF(C11-G7&gt;0,1)+IF(D11-G8&gt;0,1)+IF(E11-G9&gt;0,1)+IF(F11-G10&gt;0,1))&amp;"-"&amp;(IF(C11-G7&lt;0,1)+IF(D11-G8&lt;0,1)+IF(E11-G9&lt;0,1)+IF(F11-G10&lt;0,1))</f>
        <v>0-0</v>
      </c>
      <c r="I11" s="318" t="str">
        <f>IF(AND(B11&lt;&gt;"",R$6=TRUE),A$6&amp;RANK(S11,S$7:S$11,0)," ")</f>
        <v xml:space="preserve"> </v>
      </c>
      <c r="J11" s="489">
        <f>IF(AND(Q11=1,Q7=1,C11&gt;G7),1)+IF(AND(Q11=1,Q8=1,D11&gt;G8),1)+IF(AND(Q11=1,Q9=1,E11&gt;G9),1)+IF(AND(Q11=1,Q10=1,F11&gt;G10),1)+IF(AND(Q11=2,Q7=2,C11&gt;G7),1)+IF(AND(Q11=2,Q8=2,D11&gt;G8),1)+IF(AND(Q11=2,Q9=2,E11&gt;G9),1)+IF(AND(Q11=2,Q10=2,F11&gt;G10),1)+IF(AND(Q11=3,Q7=3,C11&gt;G7),1)+IF(AND(Q11=3,Q8=3,D11&gt;G8),1)+IF(AND(Q11=3,Q9=3,E11&gt;G9),1)+IF(AND(Q11=3,Q10=3,F11&gt;G10),1)</f>
        <v>0</v>
      </c>
      <c r="K11" s="483">
        <f>SUM(AND(T11=T7,C11&gt;G7),AND(T11=T8,D11&gt;G8),AND(T11=T9,E11&gt;G9),AND(T11=T10,F11&gt;G10))</f>
        <v>0</v>
      </c>
      <c r="L11" s="490">
        <f>IF(AND(Q11=1,Q7=1),C11-G7)+IF(AND(Q11=1,Q8=1),D11-G8)+IF(AND(Q11=1,Q9=1),E11-G9)+IF(AND(Q11=1,Q10=1),F11-G10)+IF(AND(Q11=2,Q7=2),C11-G7)+IF(AND(Q11=2,Q8=2),D11-G8)+IF(AND(Q11=2,Q9=2),E11-G9)+IF(AND(Q11=2,Q10=2),F11-G10)+IF(AND(Q11=3,Q7=3),C11-G7)+IF(AND(Q11=3,Q8=3),D11-G8)+IF(AND(Q11=3,Q9=3),E11-G9)+IF(AND(Q11=3,Q10=3),F11-G10)+IF(AND(Q11=4,Q7=4),C11-G7)+IF(AND(Q11=4,Q8=4),D11-G8)+IF(AND(Q11=4,Q9=4),E11-G9)+IF(AND(Q11=4,Q10=4),F11-G10)</f>
        <v>0</v>
      </c>
      <c r="M11" s="483">
        <f>SUM(AND(R11=R7,C11&gt;G7),AND(R11=R8,D11&gt;G8),AND(R11=R9,E11&gt;G9),AND(R11=R10,F11&gt;G10))</f>
        <v>0</v>
      </c>
      <c r="N11" s="537" t="str">
        <f>SUM(C11:G11)&amp;"-"&amp;SUM(G7:G11)</f>
        <v>0-0</v>
      </c>
      <c r="O11" s="538">
        <f>C11+D11+E11+F11-G7-G8-G9-G10</f>
        <v>0</v>
      </c>
      <c r="P11" s="485" t="e">
        <f>SUM(C11:G11,G7:G11)/SUM(G7:G11)</f>
        <v>#DIV/0!</v>
      </c>
      <c r="Q11" s="491">
        <f>VALUE(LEFT(H11,1))</f>
        <v>0</v>
      </c>
      <c r="R11" s="321">
        <f>Q11*100000+J11*10000+K11*1000+100*L11</f>
        <v>0</v>
      </c>
      <c r="S11" s="486">
        <f>R11+M11*0.1+IF(ISNONTEXT(B11),0,0.01)+0.0001*O11</f>
        <v>0</v>
      </c>
      <c r="T11" s="487" t="str">
        <f>Q11&amp;J11</f>
        <v>00</v>
      </c>
      <c r="U11" s="477"/>
      <c r="V11" s="477"/>
      <c r="W11" s="477"/>
      <c r="X11" s="477"/>
      <c r="Y11" s="477"/>
      <c r="Z11" s="477"/>
      <c r="AA11" s="477"/>
      <c r="AB11" s="477"/>
      <c r="AC11" s="485"/>
      <c r="AD11" s="405">
        <f t="shared" si="0"/>
        <v>0</v>
      </c>
      <c r="AE11" s="406" t="str">
        <f>IFERROR(INDEX(V!$R:$R,MATCH(AF11,V!$L:$L,0)),"")</f>
        <v/>
      </c>
      <c r="AF11" s="407" t="str">
        <f t="shared" si="1"/>
        <v/>
      </c>
      <c r="AG11" s="406" t="str">
        <f>IFERROR(INDEX(V!$R:$R,MATCH(AH11,V!$L:$L,0)),"")</f>
        <v/>
      </c>
      <c r="AH11" s="407" t="str">
        <f t="shared" si="2"/>
        <v/>
      </c>
      <c r="AI11" s="406" t="str">
        <f>IFERROR(INDEX(V!$R:$R,MATCH(AJ11,V!$L:$L,0)),"")</f>
        <v/>
      </c>
      <c r="AJ11" s="407" t="str">
        <f t="shared" si="3"/>
        <v/>
      </c>
      <c r="AK11" s="406" t="str">
        <f>IFERROR(INDEX(V!$R:$R,MATCH(AL11,V!$L:$L,0)),"")</f>
        <v/>
      </c>
      <c r="AL11" s="407" t="str">
        <f t="shared" si="4"/>
        <v/>
      </c>
      <c r="AM11" s="406" t="str">
        <f>IFERROR(INDEX(V!$R:$R,MATCH(AN11,V!$L:$L,0)),"")</f>
        <v/>
      </c>
      <c r="AN11" s="407" t="str">
        <f t="shared" si="5"/>
        <v/>
      </c>
      <c r="AO11" s="406" t="str">
        <f>IFERROR(INDEX(V!$R:$R,MATCH(AP11,V!$L:$L,0)),"")</f>
        <v/>
      </c>
      <c r="AP11" s="407" t="str">
        <f t="shared" si="6"/>
        <v/>
      </c>
    </row>
    <row r="12" spans="1:42" x14ac:dyDescent="0.2">
      <c r="A12" s="494"/>
      <c r="B12" s="495"/>
      <c r="C12" s="496"/>
      <c r="D12" s="497"/>
      <c r="E12" s="498"/>
      <c r="F12" s="498"/>
      <c r="G12" s="499"/>
      <c r="H12" s="500"/>
      <c r="I12" s="501"/>
      <c r="J12" s="477"/>
      <c r="K12" s="477"/>
      <c r="L12" s="477"/>
      <c r="M12" s="477"/>
      <c r="N12" s="539"/>
      <c r="O12" s="539"/>
      <c r="P12" s="477"/>
      <c r="Q12" s="477"/>
      <c r="R12" s="502" t="s">
        <v>264</v>
      </c>
      <c r="S12" s="477"/>
      <c r="T12" s="477"/>
      <c r="U12" s="477"/>
      <c r="V12" s="477"/>
      <c r="W12" s="477"/>
      <c r="X12" s="477"/>
      <c r="Y12" s="477"/>
      <c r="Z12" s="477"/>
      <c r="AA12" s="477"/>
      <c r="AB12" s="477"/>
      <c r="AC12" s="485"/>
      <c r="AD12" s="405">
        <f t="shared" si="0"/>
        <v>0</v>
      </c>
      <c r="AE12" s="406" t="str">
        <f>IFERROR(INDEX(V!$R:$R,MATCH(AF12,V!$L:$L,0)),"")</f>
        <v/>
      </c>
      <c r="AF12" s="407" t="str">
        <f t="shared" si="1"/>
        <v/>
      </c>
      <c r="AG12" s="406" t="str">
        <f>IFERROR(INDEX(V!$R:$R,MATCH(AH12,V!$L:$L,0)),"")</f>
        <v/>
      </c>
      <c r="AH12" s="407" t="str">
        <f t="shared" si="2"/>
        <v/>
      </c>
      <c r="AI12" s="406" t="str">
        <f>IFERROR(INDEX(V!$R:$R,MATCH(AJ12,V!$L:$L,0)),"")</f>
        <v/>
      </c>
      <c r="AJ12" s="407" t="str">
        <f t="shared" si="3"/>
        <v/>
      </c>
      <c r="AK12" s="406" t="str">
        <f>IFERROR(INDEX(V!$R:$R,MATCH(AL12,V!$L:$L,0)),"")</f>
        <v/>
      </c>
      <c r="AL12" s="407" t="str">
        <f t="shared" si="4"/>
        <v/>
      </c>
      <c r="AM12" s="406" t="str">
        <f>IFERROR(INDEX(V!$R:$R,MATCH(AN12,V!$L:$L,0)),"")</f>
        <v/>
      </c>
      <c r="AN12" s="407" t="str">
        <f t="shared" si="5"/>
        <v/>
      </c>
      <c r="AO12" s="406" t="str">
        <f>IFERROR(INDEX(V!$R:$R,MATCH(AP12,V!$L:$L,0)),"")</f>
        <v/>
      </c>
      <c r="AP12" s="407" t="str">
        <f t="shared" si="6"/>
        <v/>
      </c>
    </row>
    <row r="13" spans="1:42" x14ac:dyDescent="0.2">
      <c r="A13" s="316" t="s">
        <v>1</v>
      </c>
      <c r="B13" s="503"/>
      <c r="C13" s="467">
        <v>1</v>
      </c>
      <c r="D13" s="467">
        <v>2</v>
      </c>
      <c r="E13" s="467">
        <v>3</v>
      </c>
      <c r="F13" s="467">
        <v>4</v>
      </c>
      <c r="G13" s="467"/>
      <c r="H13" s="468" t="s">
        <v>168</v>
      </c>
      <c r="I13" s="468" t="s">
        <v>169</v>
      </c>
      <c r="J13" s="504" t="s">
        <v>257</v>
      </c>
      <c r="K13" s="505" t="s">
        <v>258</v>
      </c>
      <c r="L13" s="506" t="s">
        <v>259</v>
      </c>
      <c r="M13" s="506" t="s">
        <v>260</v>
      </c>
      <c r="N13" s="472" t="s">
        <v>170</v>
      </c>
      <c r="O13" s="472" t="s">
        <v>170</v>
      </c>
      <c r="P13" s="473" t="s">
        <v>261</v>
      </c>
      <c r="Q13" s="507" t="s">
        <v>21</v>
      </c>
      <c r="R13" s="507" t="b">
        <f>OR(AND(COUNTA(B14:B18)=3,COUNTA(C14:G18)=6),AND(COUNTA(B14:B18)=4,COUNTA(C14:G18)=12),AND(COUNTA(B14:B18)=5,COUNTA(C14:G18)=20))</f>
        <v>1</v>
      </c>
      <c r="S13" s="508" t="s">
        <v>262</v>
      </c>
      <c r="T13" s="509" t="s">
        <v>263</v>
      </c>
      <c r="U13" s="477"/>
      <c r="V13" s="477"/>
      <c r="W13" s="477"/>
      <c r="X13" s="477"/>
      <c r="Y13" s="477"/>
      <c r="Z13" s="477"/>
      <c r="AA13" s="477"/>
      <c r="AB13" s="477"/>
      <c r="AC13" s="485"/>
      <c r="AD13" s="405">
        <f t="shared" si="0"/>
        <v>0</v>
      </c>
      <c r="AE13" s="406" t="str">
        <f>IFERROR(INDEX(V!$R:$R,MATCH(AF13,V!$L:$L,0)),"")</f>
        <v/>
      </c>
      <c r="AF13" s="407" t="str">
        <f t="shared" si="1"/>
        <v/>
      </c>
      <c r="AG13" s="406" t="str">
        <f>IFERROR(INDEX(V!$R:$R,MATCH(AH13,V!$L:$L,0)),"")</f>
        <v/>
      </c>
      <c r="AH13" s="407" t="str">
        <f t="shared" si="2"/>
        <v/>
      </c>
      <c r="AI13" s="406" t="str">
        <f>IFERROR(INDEX(V!$R:$R,MATCH(AJ13,V!$L:$L,0)),"")</f>
        <v/>
      </c>
      <c r="AJ13" s="407" t="str">
        <f t="shared" si="3"/>
        <v/>
      </c>
      <c r="AK13" s="406" t="str">
        <f>IFERROR(INDEX(V!$R:$R,MATCH(AL13,V!$L:$L,0)),"")</f>
        <v/>
      </c>
      <c r="AL13" s="407" t="str">
        <f t="shared" si="4"/>
        <v/>
      </c>
      <c r="AM13" s="406" t="str">
        <f>IFERROR(INDEX(V!$R:$R,MATCH(AN13,V!$L:$L,0)),"")</f>
        <v/>
      </c>
      <c r="AN13" s="407" t="str">
        <f t="shared" si="5"/>
        <v/>
      </c>
      <c r="AO13" s="406" t="str">
        <f>IFERROR(INDEX(V!$R:$R,MATCH(AP13,V!$L:$L,0)),"")</f>
        <v/>
      </c>
      <c r="AP13" s="407" t="str">
        <f t="shared" si="6"/>
        <v/>
      </c>
    </row>
    <row r="14" spans="1:42" x14ac:dyDescent="0.2">
      <c r="A14" s="316">
        <v>1</v>
      </c>
      <c r="B14" s="510" t="s">
        <v>270</v>
      </c>
      <c r="C14" s="319"/>
      <c r="D14" s="318">
        <v>3</v>
      </c>
      <c r="E14" s="318">
        <v>3</v>
      </c>
      <c r="F14" s="318">
        <v>9</v>
      </c>
      <c r="G14" s="318"/>
      <c r="H14" s="317" t="str">
        <f>(IF(D14-C15&gt;0,1)+IF(E14-C16&gt;0,1)+IF(F14-C17&gt;0,1)+IF(G14-C18&gt;0,1))&amp;"-"&amp;(IF(D14-C15&lt;0,1)+IF(E14-C16&lt;0,1)+IF(F14-C17&lt;0,1)+IF(G14-C18&lt;0,1))</f>
        <v>0-3</v>
      </c>
      <c r="I14" s="318" t="str">
        <f>IF(AND(B14&lt;&gt;"",R$6=TRUE),A$13&amp;RANK(S14,S$14:S$18,0)," ")</f>
        <v>B4</v>
      </c>
      <c r="J14" s="480">
        <f>IF(AND(Q14=1,Q15=1,D14&gt;C15),1)+IF(AND(Q14=1,Q16=1,E14&gt;C16),1)+IF(AND(Q14=1,Q17=1,F14&gt;C17),1)+IF(AND(Q14=1,Q18=1,G14&gt;C18),1)+IF(AND(Q14=2,Q15=2,D14&gt;C15),1)+IF(AND(Q14=2,Q16=2,E14&gt;C16),1)+IF(AND(Q14=2,Q17=2,F14&gt;C17),1)+IF(AND(Q14=2,Q18=2,G14&gt;C18),1)+IF(AND(Q14=3,Q15=3,D14&gt;C15),1)+IF(AND(Q14=3,Q16=3,E14&gt;C16),1)+IF(AND(Q14=3,Q17=3,F14&gt;C17),1)+IF(AND(Q14=3,Q18=3,G14&gt;C18),1)</f>
        <v>0</v>
      </c>
      <c r="K14" s="481">
        <f>SUM(AND(T14=T15,D14&gt;C15),AND(T14=T16,E14&gt;C16),AND(T14=T17,F14&gt;C17),AND(T14=T18,G14&gt;C18))</f>
        <v>0</v>
      </c>
      <c r="L14" s="482">
        <f>IF(AND(Q14=1,Q15=1),D14-C15)+IF(AND(Q14=1,Q16=1),E14-C16)+IF(AND(Q14=1,Q17=1),F14-C17)+IF(AND(Q14=1,Q18=1),G14-C18)+IF(AND(Q14=2,Q15=2),D14-C15)+IF(AND(Q14=2,Q16=2),E14-C16)+IF(AND(Q14=2,Q17=2),F14-C17)+IF(AND(Q14=2,Q18=2),G14-C18)+IF(AND(Q14=3,Q15=3),D14-C15)+IF(AND(Q14=3,Q16=3),E14-C16)+IF(AND(Q14=3,Q17=3),F14-C17)+IF(AND(Q14=3,Q18=3),G14-C18)+IF(AND(Q14=4,Q15=4),D14-C15)+IF(AND(Q14=4,Q16=4),E14-C16)+IF(AND(Q14=4,Q17=4),F14-C17)+IF(AND(Q14=4,Q18=4),G14-C18)</f>
        <v>0</v>
      </c>
      <c r="M14" s="483">
        <f>SUM(AND(R14=R15,D14&gt;C15),AND(R14=R16,E14&gt;C16),AND(R14=R17,F14&gt;C17),AND(R14=R18,G14&gt;C18))</f>
        <v>0</v>
      </c>
      <c r="N14" s="537" t="str">
        <f>SUM(C14:G14)&amp;"-"&amp;SUM(C14:C18)</f>
        <v>15-39</v>
      </c>
      <c r="O14" s="538">
        <f>D14+E14+F14+G14-C15-C16-C17-C18</f>
        <v>-24</v>
      </c>
      <c r="P14" s="485">
        <f>SUM(C14:G14,C14:C18)/SUM(C14:C18)</f>
        <v>1.3846153846153846</v>
      </c>
      <c r="Q14" s="320">
        <f>VALUE(LEFT(H14,1))</f>
        <v>0</v>
      </c>
      <c r="R14" s="321">
        <f>Q14*100000+J14*10000+K14*1000+100*L14</f>
        <v>0</v>
      </c>
      <c r="S14" s="486">
        <f>R14+M14*0.1+IF(ISNONTEXT(B14),0,0.01)+0.0001*O14</f>
        <v>7.6E-3</v>
      </c>
      <c r="T14" s="487" t="str">
        <f>Q14&amp;J14</f>
        <v>00</v>
      </c>
      <c r="U14" s="477"/>
      <c r="V14" s="477"/>
      <c r="W14" s="477"/>
      <c r="X14" s="477"/>
      <c r="Y14" s="477"/>
      <c r="Z14" s="477"/>
      <c r="AA14" s="477"/>
      <c r="AB14" s="477"/>
      <c r="AC14" s="485"/>
      <c r="AD14" s="405">
        <f t="shared" si="0"/>
        <v>302</v>
      </c>
      <c r="AE14" s="406">
        <f>IFERROR(INDEX(V!$R:$R,MATCH(AF14,V!$L:$L,0)),"")</f>
        <v>164</v>
      </c>
      <c r="AF14" s="407" t="str">
        <f t="shared" si="1"/>
        <v>Kaspar Mänd</v>
      </c>
      <c r="AG14" s="406">
        <f>IFERROR(INDEX(V!$R:$R,MATCH(AH14,V!$L:$L,0)),"")</f>
        <v>138</v>
      </c>
      <c r="AH14" s="407" t="str">
        <f t="shared" si="2"/>
        <v>Urmas Randlaine</v>
      </c>
      <c r="AI14" s="406" t="str">
        <f>IFERROR(INDEX(V!$R:$R,MATCH(AJ14,V!$L:$L,0)),"")</f>
        <v/>
      </c>
      <c r="AJ14" s="407" t="str">
        <f t="shared" si="3"/>
        <v/>
      </c>
      <c r="AK14" s="406" t="str">
        <f>IFERROR(INDEX(V!$R:$R,MATCH(AL14,V!$L:$L,0)),"")</f>
        <v/>
      </c>
      <c r="AL14" s="407" t="str">
        <f t="shared" si="4"/>
        <v/>
      </c>
      <c r="AM14" s="406" t="str">
        <f>IFERROR(INDEX(V!$R:$R,MATCH(AN14,V!$L:$L,0)),"")</f>
        <v/>
      </c>
      <c r="AN14" s="407" t="str">
        <f t="shared" si="5"/>
        <v/>
      </c>
      <c r="AO14" s="406" t="str">
        <f>IFERROR(INDEX(V!$R:$R,MATCH(AP14,V!$L:$L,0)),"")</f>
        <v/>
      </c>
      <c r="AP14" s="407" t="str">
        <f t="shared" si="6"/>
        <v/>
      </c>
    </row>
    <row r="15" spans="1:42" x14ac:dyDescent="0.2">
      <c r="A15" s="316">
        <v>2</v>
      </c>
      <c r="B15" s="479" t="s">
        <v>380</v>
      </c>
      <c r="C15" s="318">
        <v>13</v>
      </c>
      <c r="D15" s="319"/>
      <c r="E15" s="318">
        <v>13</v>
      </c>
      <c r="F15" s="318">
        <v>13</v>
      </c>
      <c r="G15" s="318"/>
      <c r="H15" s="317" t="str">
        <f>(IF(C15-D14&gt;0,1)+IF(E15-D16&gt;0,1)+IF(F15-D17&gt;0,1)+IF(G15-D18&gt;0,1))&amp;"-"&amp;(IF(C15-D14&lt;0,1)+IF(E15-D16&lt;0,1)+IF(F15-D17&lt;0,1)+IF(G15-D18&lt;0,1))</f>
        <v>3-0</v>
      </c>
      <c r="I15" s="318" t="str">
        <f>IF(AND(B15&lt;&gt;"",R$6=TRUE),A$13&amp;RANK(S15,S$14:S$18,0)," ")</f>
        <v>B1</v>
      </c>
      <c r="J15" s="489">
        <f>IF(AND(Q15=1,Q14=1,C15&gt;D14),1)+IF(AND(Q15=1,Q16=1,E15&gt;D16),1)+IF(AND(Q15=1,Q17=1,F15&gt;D17),1)+IF(AND(Q15=1,Q18=1,G15&gt;D18),1)+IF(AND(Q15=2,Q14=2,C15&gt;D14),1)+IF(AND(Q15=2,Q16=2,E15&gt;D16),1)+IF(AND(Q15=2,Q17=2,F15&gt;D17),1)+IF(AND(Q15=2,Q18=2,G15&gt;D18),1)+IF(AND(Q15=3,Q14=3,C15&gt;D14),1)+IF(AND(Q15=3,Q16=3,E15&gt;D16),1)+IF(AND(Q15=3,Q17=3,F15&gt;D17),1)+IF(AND(Q15=3,Q18=3,G15&gt;D18),1)</f>
        <v>0</v>
      </c>
      <c r="K15" s="483">
        <f>SUM(AND(T15=T14,C15&gt;D14),AND(T15=T16,E15&gt;D16),AND(T15=T17,F15&gt;D17),AND(T15=T18,G15&gt;D18))</f>
        <v>0</v>
      </c>
      <c r="L15" s="490">
        <f>IF(AND(Q15=1,Q14=1),C15-D14)+IF(AND(Q15=1,Q16=1),E15-D16)+IF(AND(Q15=1,Q17=1),F15-D17)+IF(AND(Q15=1,Q18=1),G15-D18)+IF(AND(Q15=2,Q14=2),C15-D14)+IF(AND(Q15=2,Q16=2),E15-D16)+IF(AND(Q15=2,Q17=2),F15-D17)+IF(AND(Q15=2,Q18=2),G15-D18)+IF(AND(Q15=3,Q14=3),C15-D14)+IF(AND(Q15=3,Q16=3),E15-D16)+IF(AND(Q15=3,Q17=3),F15-D17)+IF(AND(Q15=3,Q18=3),G15-D18)+IF(AND(Q15=4,Q14=4),C15-D14)+IF(AND(Q15=4,Q16=4),E15-D16)+IF(AND(Q15=4,Q17=4),F15-D17)+IF(AND(Q15=4,Q18=4),G15-D18)</f>
        <v>0</v>
      </c>
      <c r="M15" s="483">
        <f>SUM(AND(R15=R14,C15&gt;D14),AND(R15=R16,E15&gt;D16),AND(R15=R17,F15&gt;D17),AND(R15=R18,G15&gt;D18))</f>
        <v>0</v>
      </c>
      <c r="N15" s="537" t="str">
        <f>SUM(C15:G15)&amp;"-"&amp;SUM(D14:D18)</f>
        <v>39-10</v>
      </c>
      <c r="O15" s="538">
        <f>C15+E15+F15+G15-D14-D16-D17-D18</f>
        <v>29</v>
      </c>
      <c r="P15" s="485">
        <f>SUM(C15:G15,D14:D18)/SUM(D14:D18)</f>
        <v>4.9000000000000004</v>
      </c>
      <c r="Q15" s="491">
        <f>VALUE(LEFT(H15,1))</f>
        <v>3</v>
      </c>
      <c r="R15" s="321">
        <f>Q15*100000+J15*10000+K15*1000+100*L15</f>
        <v>300000</v>
      </c>
      <c r="S15" s="486">
        <f>R15+M15*0.1+IF(ISNONTEXT(B15),0,0.01)+0.0001*O15</f>
        <v>300000.01290000003</v>
      </c>
      <c r="T15" s="487" t="str">
        <f>Q15&amp;J15</f>
        <v>30</v>
      </c>
      <c r="U15" s="477"/>
      <c r="V15" s="477"/>
      <c r="W15" s="477"/>
      <c r="X15" s="477"/>
      <c r="Y15" s="477"/>
      <c r="Z15" s="477"/>
      <c r="AA15" s="477"/>
      <c r="AB15" s="477"/>
      <c r="AC15" s="485"/>
      <c r="AD15" s="405">
        <f t="shared" si="0"/>
        <v>293.5</v>
      </c>
      <c r="AE15" s="406">
        <f>IFERROR(INDEX(V!$R:$R,MATCH(AF15,V!$L:$L,0)),"")</f>
        <v>122</v>
      </c>
      <c r="AF15" s="407" t="str">
        <f t="shared" si="1"/>
        <v>Johannes Neiland</v>
      </c>
      <c r="AG15" s="406" t="str">
        <f>IFERROR(INDEX(V!$R:$R,MATCH(AH15,V!$L:$L,0)),"")</f>
        <v/>
      </c>
      <c r="AH15" s="407" t="str">
        <f t="shared" si="2"/>
        <v>Tõnis Neiland, Ülo Piik</v>
      </c>
      <c r="AI15" s="406">
        <f>IFERROR(INDEX(V!$R:$R,MATCH(AJ15,V!$L:$L,0)),"")</f>
        <v>60</v>
      </c>
      <c r="AJ15" s="407" t="str">
        <f t="shared" si="3"/>
        <v>Tõnis Neiland</v>
      </c>
      <c r="AK15" s="406">
        <f>IFERROR(INDEX(V!$R:$R,MATCH(AL15,V!$L:$L,0)),"")</f>
        <v>111.5</v>
      </c>
      <c r="AL15" s="407" t="str">
        <f t="shared" si="4"/>
        <v>Ülo Piik</v>
      </c>
      <c r="AM15" s="406" t="str">
        <f>IFERROR(INDEX(V!$R:$R,MATCH(AN15,V!$L:$L,0)),"")</f>
        <v/>
      </c>
      <c r="AN15" s="407" t="str">
        <f t="shared" si="5"/>
        <v/>
      </c>
      <c r="AO15" s="406" t="str">
        <f>IFERROR(INDEX(V!$R:$R,MATCH(AP15,V!$L:$L,0)),"")</f>
        <v/>
      </c>
      <c r="AP15" s="407" t="str">
        <f t="shared" si="6"/>
        <v/>
      </c>
    </row>
    <row r="16" spans="1:42" x14ac:dyDescent="0.2">
      <c r="A16" s="316">
        <v>3</v>
      </c>
      <c r="B16" s="488" t="s">
        <v>381</v>
      </c>
      <c r="C16" s="318">
        <v>13</v>
      </c>
      <c r="D16" s="492">
        <v>6</v>
      </c>
      <c r="E16" s="319"/>
      <c r="F16" s="318">
        <v>7</v>
      </c>
      <c r="G16" s="318"/>
      <c r="H16" s="317" t="str">
        <f>(IF(C16-E14&gt;0,1)+IF(D16-E15&gt;0,1)+IF(F16-E17&gt;0,1)+IF(G16-E18&gt;0,1))&amp;"-"&amp;(IF(C16-E14&lt;0,1)+IF(D16-E15&lt;0,1)+IF(F16-E17&lt;0,1)+IF(G16-E18&lt;0,1))</f>
        <v>1-2</v>
      </c>
      <c r="I16" s="318" t="str">
        <f>IF(AND(B16&lt;&gt;"",R$6=TRUE),A$13&amp;RANK(S16,S$14:S$18,0)," ")</f>
        <v>B3</v>
      </c>
      <c r="J16" s="489">
        <f>IF(AND(Q16=1,Q14=1,C16&gt;E14),1)+IF(AND(Q16=1,Q15=1,D16&gt;E15),1)+IF(AND(Q16=1,Q17=1,F16&gt;E17),1)+IF(AND(Q16=1,Q18=1,G16&gt;E18),1)+IF(AND(Q16=2,Q14=2,C16&gt;E14),1)+IF(AND(Q16=2,Q15=2,D16&gt;E15),1)+IF(AND(Q16=2,Q17=2,F16&gt;E17),1)+IF(AND(Q16=2,Q18=2,G16&gt;E18),1)+IF(AND(Q16=3,Q14=3,C16&gt;E14),1)+IF(AND(Q16=3,Q15=3,D16&gt;E15),1)+IF(AND(Q16=3,Q17=3,F16&gt;E17),1)+IF(AND(Q16=3,Q18=3,G16&gt;E18),1)</f>
        <v>0</v>
      </c>
      <c r="K16" s="483">
        <f>SUM(AND(T16=T14,C16&gt;E14),AND(T16=T15,D16&gt;E15),AND(T16=T17,F16&gt;E17),AND(T16=T18,G16&gt;E18))</f>
        <v>0</v>
      </c>
      <c r="L16" s="490">
        <f>IF(AND(Q16=1,Q14=1),C16-E14)+IF(AND(Q16=1,Q15=1),D16-E15)+IF(AND(Q16=1,Q17=1),F16-E17)+IF(AND(Q16=1,Q18=1),G16-E18)+IF(AND(Q16=2,Q14=2),C16-E14)+IF(AND(Q16=2,Q15=2),D16-E15)+IF(AND(Q16=2,Q17=2),F16-E17)+IF(AND(Q16=2,Q18=2),G16-E18)+IF(AND(Q16=3,Q14=3),C16-E14)+IF(AND(Q16=3,Q15=3),D16-E15)+IF(AND(Q16=3,Q17=3),F16-E17)+IF(AND(Q16=3,Q18=3),G16-E18)+IF(AND(Q16=4,Q14=4),C16-E14)+IF(AND(Q16=4,Q15=4),D16-E15)+IF(AND(Q16=4,Q17=4),F16-E17)+IF(AND(Q16=4,Q18=4),G16-E18)</f>
        <v>0</v>
      </c>
      <c r="M16" s="483">
        <f>SUM(AND(R16=R14,C16&gt;E14),AND(R16=R15,D16&gt;E15),AND(R16=R17,F16&gt;E17),AND(R16=R18,G16&gt;E18))</f>
        <v>0</v>
      </c>
      <c r="N16" s="537" t="str">
        <f>SUM(C16:G16)&amp;"-"&amp;SUM(E14:E18)</f>
        <v>26-29</v>
      </c>
      <c r="O16" s="538">
        <f>C16+D16+F16+G16-E14-E15-E17-E18</f>
        <v>-3</v>
      </c>
      <c r="P16" s="485">
        <f>SUM(C16:G16,E14:E18)/SUM(E14:E18)</f>
        <v>1.896551724137931</v>
      </c>
      <c r="Q16" s="491">
        <f>VALUE(LEFT(H16,1))</f>
        <v>1</v>
      </c>
      <c r="R16" s="321">
        <f>Q16*100000+J16*10000+K16*1000+100*L16</f>
        <v>100000</v>
      </c>
      <c r="S16" s="486">
        <f>R16+M16*0.1+IF(ISNONTEXT(B16),0,0.01)+0.0001*O16</f>
        <v>100000.0097</v>
      </c>
      <c r="T16" s="487" t="str">
        <f>Q16&amp;J16</f>
        <v>10</v>
      </c>
      <c r="U16" s="477"/>
      <c r="V16" s="477"/>
      <c r="W16" s="477"/>
      <c r="X16" s="477"/>
      <c r="Y16" s="477"/>
      <c r="Z16" s="477"/>
      <c r="AA16" s="477"/>
      <c r="AB16" s="477"/>
      <c r="AC16" s="485"/>
      <c r="AD16" s="405">
        <f t="shared" si="0"/>
        <v>190</v>
      </c>
      <c r="AE16" s="406">
        <f>IFERROR(INDEX(V!$R:$R,MATCH(AF16,V!$L:$L,0)),"")</f>
        <v>104</v>
      </c>
      <c r="AF16" s="407" t="str">
        <f t="shared" si="1"/>
        <v>Andres Veski</v>
      </c>
      <c r="AG16" s="406">
        <f>IFERROR(INDEX(V!$R:$R,MATCH(AH16,V!$L:$L,0)),"")</f>
        <v>86</v>
      </c>
      <c r="AH16" s="407" t="str">
        <f t="shared" si="2"/>
        <v>Meelis Luud</v>
      </c>
      <c r="AI16" s="406" t="str">
        <f>IFERROR(INDEX(V!$R:$R,MATCH(AJ16,V!$L:$L,0)),"")</f>
        <v/>
      </c>
      <c r="AJ16" s="407" t="str">
        <f t="shared" si="3"/>
        <v/>
      </c>
      <c r="AK16" s="406" t="str">
        <f>IFERROR(INDEX(V!$R:$R,MATCH(AL16,V!$L:$L,0)),"")</f>
        <v/>
      </c>
      <c r="AL16" s="407" t="str">
        <f t="shared" si="4"/>
        <v/>
      </c>
      <c r="AM16" s="406" t="str">
        <f>IFERROR(INDEX(V!$R:$R,MATCH(AN16,V!$L:$L,0)),"")</f>
        <v/>
      </c>
      <c r="AN16" s="407" t="str">
        <f t="shared" si="5"/>
        <v/>
      </c>
      <c r="AO16" s="406" t="str">
        <f>IFERROR(INDEX(V!$R:$R,MATCH(AP16,V!$L:$L,0)),"")</f>
        <v/>
      </c>
      <c r="AP16" s="407" t="str">
        <f t="shared" si="6"/>
        <v/>
      </c>
    </row>
    <row r="17" spans="1:42" x14ac:dyDescent="0.2">
      <c r="A17" s="316">
        <v>4</v>
      </c>
      <c r="B17" s="493" t="s">
        <v>382</v>
      </c>
      <c r="C17" s="318">
        <v>13</v>
      </c>
      <c r="D17" s="492">
        <v>1</v>
      </c>
      <c r="E17" s="318">
        <v>13</v>
      </c>
      <c r="F17" s="319"/>
      <c r="G17" s="511"/>
      <c r="H17" s="317" t="str">
        <f>(IF(C17-F14&gt;0,1)+IF(D17-F15&gt;0,1)+IF(E17-F16&gt;0,1)+IF(G17-F18&gt;0,1))&amp;"-"&amp;(IF(C17-F14&lt;0,1)+IF(D17-F15&lt;0,1)+IF(E17-F16&lt;0,1)+IF(G17-F18&lt;0,1))</f>
        <v>2-1</v>
      </c>
      <c r="I17" s="318" t="str">
        <f>IF(AND(B17&lt;&gt;"",R$6=TRUE),A$13&amp;RANK(S17,S$14:S$18,0)," ")</f>
        <v>B2</v>
      </c>
      <c r="J17" s="489">
        <f>IF(AND(Q17=1,Q14=1,C17&gt;F14),1)+IF(AND(Q17=1,Q15=1,D17&gt;F15),1)+IF(AND(Q17=1,Q16=1,E17&gt;F16),1)+IF(AND(Q17=1,Q18=1,G17&gt;F18),1)+IF(AND(Q17=2,Q14=2,C17&gt;F14),1)+IF(AND(Q17=2,Q15=2,D17&gt;F15),1)+IF(AND(Q17=2,Q16=2,E17&gt;F16),1)+IF(AND(Q17=2,Q18=2,G17&gt;F18),1)+IF(AND(Q17=3,Q14=3,C17&gt;F14),1)+IF(AND(Q17=3,Q15=3,D17&gt;F15),1)+IF(AND(Q17=3,Q16=3,E17&gt;F16),1)+IF(AND(Q17=3,Q18=3,G17&gt;F18),1)</f>
        <v>0</v>
      </c>
      <c r="K17" s="483">
        <f>SUM(AND(T17=T14,C17&gt;F14),AND(T17=T15,D17&gt;F15),AND(T17=T16,E17&gt;F16),AND(T17=T18,G17&gt;F18))</f>
        <v>0</v>
      </c>
      <c r="L17" s="490">
        <f>IF(AND(Q17=1,Q14=1),C17-F14)+IF(AND(Q17=1,Q15=1),D17-F15)+IF(AND(Q17=1,Q16=1),E17-F16)+IF(AND(Q17=1,Q18=1),G17-F18)+IF(AND(Q17=2,Q14=2),C17-F14)+IF(AND(Q17=2,Q15=2),D17-F15)+IF(AND(Q17=2,Q16=2),E17-F16)+IF(AND(Q17=2,Q18=2),G17-F18)+IF(AND(Q17=3,Q14=3),C17-F14)+IF(AND(Q17=3,Q15=3),D17-F15)+IF(AND(Q17=3,Q16=3),E17-F16)+IF(AND(Q17=3,Q18=3),G17-F18)+IF(AND(Q17=4,Q14=4),C17-F14)+IF(AND(Q17=4,Q15=4),D17-F15)+IF(AND(Q17=4,Q16=4),E17-F16)+IF(AND(Q17=4,Q18=4),G17-F18)</f>
        <v>0</v>
      </c>
      <c r="M17" s="483">
        <f>SUM(AND(R17=R14,C17&gt;F14),AND(R17=R15,D17&gt;F15),AND(R17=R16,E17&gt;F16),AND(R17=R18,G17&gt;F18))</f>
        <v>0</v>
      </c>
      <c r="N17" s="537" t="str">
        <f>SUM(C17:G17)&amp;"-"&amp;SUM(F14:F18)</f>
        <v>27-29</v>
      </c>
      <c r="O17" s="538">
        <f>C17+D17+E17+G17-F14-F15-F16-F18</f>
        <v>-2</v>
      </c>
      <c r="P17" s="485">
        <f>SUM(C17:G17,F14:F18)/SUM(F14:F18)</f>
        <v>1.9310344827586208</v>
      </c>
      <c r="Q17" s="491">
        <f>VALUE(LEFT(H17,1))</f>
        <v>2</v>
      </c>
      <c r="R17" s="321">
        <f>Q17*100000+J17*10000+K17*1000+100*L17</f>
        <v>200000</v>
      </c>
      <c r="S17" s="486">
        <f>R17+M17*0.1+IF(ISNONTEXT(B17),0,0.01)+0.0001*O17</f>
        <v>200000.0098</v>
      </c>
      <c r="T17" s="487" t="str">
        <f>Q17&amp;J17</f>
        <v>20</v>
      </c>
      <c r="U17" s="477"/>
      <c r="V17" s="477"/>
      <c r="W17" s="477"/>
      <c r="X17" s="477"/>
      <c r="Y17" s="477"/>
      <c r="Z17" s="477"/>
      <c r="AA17" s="477"/>
      <c r="AB17" s="477"/>
      <c r="AC17" s="485"/>
      <c r="AD17" s="405">
        <f t="shared" si="0"/>
        <v>92</v>
      </c>
      <c r="AE17" s="406">
        <f>IFERROR(INDEX(V!$R:$R,MATCH(AF17,V!$L:$L,0)),"")</f>
        <v>56</v>
      </c>
      <c r="AF17" s="407" t="str">
        <f t="shared" si="1"/>
        <v>Ivar Viljaste</v>
      </c>
      <c r="AG17" s="406">
        <f>IFERROR(INDEX(V!$R:$R,MATCH(AH17,V!$L:$L,0)),"")</f>
        <v>36</v>
      </c>
      <c r="AH17" s="407" t="str">
        <f t="shared" si="2"/>
        <v>Sirje Viljaste</v>
      </c>
      <c r="AI17" s="406" t="str">
        <f>IFERROR(INDEX(V!$R:$R,MATCH(AJ17,V!$L:$L,0)),"")</f>
        <v/>
      </c>
      <c r="AJ17" s="407" t="str">
        <f t="shared" si="3"/>
        <v/>
      </c>
      <c r="AK17" s="406" t="str">
        <f>IFERROR(INDEX(V!$R:$R,MATCH(AL17,V!$L:$L,0)),"")</f>
        <v/>
      </c>
      <c r="AL17" s="407" t="str">
        <f t="shared" si="4"/>
        <v/>
      </c>
      <c r="AM17" s="406" t="str">
        <f>IFERROR(INDEX(V!$R:$R,MATCH(AN17,V!$L:$L,0)),"")</f>
        <v/>
      </c>
      <c r="AN17" s="407" t="str">
        <f t="shared" si="5"/>
        <v/>
      </c>
      <c r="AO17" s="406" t="str">
        <f>IFERROR(INDEX(V!$R:$R,MATCH(AP17,V!$L:$L,0)),"")</f>
        <v/>
      </c>
      <c r="AP17" s="407" t="str">
        <f t="shared" si="6"/>
        <v/>
      </c>
    </row>
    <row r="18" spans="1:42" hidden="1" x14ac:dyDescent="0.2">
      <c r="A18" s="316">
        <v>5</v>
      </c>
      <c r="B18" s="493"/>
      <c r="C18" s="318"/>
      <c r="D18" s="318"/>
      <c r="E18" s="318"/>
      <c r="F18" s="318"/>
      <c r="G18" s="319"/>
      <c r="H18" s="317" t="str">
        <f>(IF(C18-G14&gt;0,1)+IF(D18-G15&gt;0,1)+IF(E18-G16&gt;0,1)+IF(F18-G17&gt;0,1))&amp;"-"&amp;(IF(C18-G14&lt;0,1)+IF(D18-G15&lt;0,1)+IF(E18-G16&lt;0,1)+IF(F18-G17&lt;0,1))</f>
        <v>0-0</v>
      </c>
      <c r="I18" s="318" t="str">
        <f>IF(AND(B18&lt;&gt;"",R$6=TRUE),A$13&amp;RANK(S18,S$14:S$18,0)," ")</f>
        <v xml:space="preserve"> </v>
      </c>
      <c r="J18" s="489">
        <f>IF(AND(Q18=1,Q14=1,C18&gt;G14),1)+IF(AND(Q18=1,Q15=1,D18&gt;G15),1)+IF(AND(Q18=1,Q16=1,E18&gt;G16),1)+IF(AND(Q18=1,Q17=1,F18&gt;G17),1)+IF(AND(Q18=2,Q14=2,C18&gt;G14),1)+IF(AND(Q18=2,Q15=2,D18&gt;G15),1)+IF(AND(Q18=2,Q16=2,E18&gt;G16),1)+IF(AND(Q18=2,Q17=2,F18&gt;G17),1)+IF(AND(Q18=3,Q14=3,C18&gt;G14),1)+IF(AND(Q18=3,Q15=3,D18&gt;G15),1)+IF(AND(Q18=3,Q16=3,E18&gt;G16),1)+IF(AND(Q18=3,Q17=3,F18&gt;G17),1)</f>
        <v>0</v>
      </c>
      <c r="K18" s="483">
        <f>SUM(AND(T18=T14,C18&gt;G14),AND(T18=T15,D18&gt;G15),AND(T18=T16,E18&gt;G16),AND(T18=T17,F18&gt;G17))</f>
        <v>0</v>
      </c>
      <c r="L18" s="490">
        <f>IF(AND(Q18=1,Q14=1),C18-G14)+IF(AND(Q18=1,Q15=1),D18-G15)+IF(AND(Q18=1,Q16=1),E18-G16)+IF(AND(Q18=1,Q17=1),F18-G17)+IF(AND(Q18=2,Q14=2),C18-G14)+IF(AND(Q18=2,Q15=2),D18-G15)+IF(AND(Q18=2,Q16=2),E18-G16)+IF(AND(Q18=2,Q17=2),F18-G17)+IF(AND(Q18=3,Q14=3),C18-G14)+IF(AND(Q18=3,Q15=3),D18-G15)+IF(AND(Q18=3,Q16=3),E18-G16)+IF(AND(Q18=3,Q17=3),F18-G17)+IF(AND(Q18=4,Q14=4),C18-G14)+IF(AND(Q18=4,Q15=4),D18-G15)+IF(AND(Q18=4,Q16=4),E18-G16)+IF(AND(Q18=4,Q17=4),F18-G17)</f>
        <v>0</v>
      </c>
      <c r="M18" s="483">
        <f>SUM(AND(R18=R14,C18&gt;G14),AND(R18=R15,D18&gt;G15),AND(R18=R16,E18&gt;G16),AND(R18=R17,F18&gt;G17))</f>
        <v>0</v>
      </c>
      <c r="N18" s="537" t="str">
        <f>SUM(C18:G18)&amp;"-"&amp;SUM(G14:G18)</f>
        <v>0-0</v>
      </c>
      <c r="O18" s="538">
        <f>C18+D18+E18+F18-G14-G15-G16-G17</f>
        <v>0</v>
      </c>
      <c r="P18" s="485" t="e">
        <f>SUM(C18:G18,G14:G18)/SUM(G14:G18)</f>
        <v>#DIV/0!</v>
      </c>
      <c r="Q18" s="491">
        <f>VALUE(LEFT(H18,1))</f>
        <v>0</v>
      </c>
      <c r="R18" s="321">
        <f>Q18*100000+J18*10000+K18*1000+100*L18</f>
        <v>0</v>
      </c>
      <c r="S18" s="486">
        <f>R18+M18*0.1+IF(ISNONTEXT(B18),0,0.01)+0.0001*O18</f>
        <v>0</v>
      </c>
      <c r="T18" s="487" t="str">
        <f>Q18&amp;J18</f>
        <v>00</v>
      </c>
      <c r="U18" s="477"/>
      <c r="V18" s="477"/>
      <c r="W18" s="477"/>
      <c r="X18" s="477"/>
      <c r="Y18" s="477"/>
      <c r="Z18" s="477"/>
      <c r="AA18" s="477"/>
      <c r="AB18" s="477"/>
      <c r="AC18" s="485"/>
      <c r="AD18" s="405">
        <f t="shared" si="0"/>
        <v>0</v>
      </c>
      <c r="AE18" s="406" t="str">
        <f>IFERROR(INDEX(V!$R:$R,MATCH(AF18,V!$L:$L,0)),"")</f>
        <v/>
      </c>
      <c r="AF18" s="407" t="str">
        <f t="shared" si="1"/>
        <v/>
      </c>
      <c r="AG18" s="406" t="str">
        <f>IFERROR(INDEX(V!$R:$R,MATCH(AH18,V!$L:$L,0)),"")</f>
        <v/>
      </c>
      <c r="AH18" s="407" t="str">
        <f t="shared" si="2"/>
        <v/>
      </c>
      <c r="AI18" s="406" t="str">
        <f>IFERROR(INDEX(V!$R:$R,MATCH(AJ18,V!$L:$L,0)),"")</f>
        <v/>
      </c>
      <c r="AJ18" s="407" t="str">
        <f t="shared" si="3"/>
        <v/>
      </c>
      <c r="AK18" s="406" t="str">
        <f>IFERROR(INDEX(V!$R:$R,MATCH(AL18,V!$L:$L,0)),"")</f>
        <v/>
      </c>
      <c r="AL18" s="407" t="str">
        <f t="shared" si="4"/>
        <v/>
      </c>
      <c r="AM18" s="406" t="str">
        <f>IFERROR(INDEX(V!$R:$R,MATCH(AN18,V!$L:$L,0)),"")</f>
        <v/>
      </c>
      <c r="AN18" s="407" t="str">
        <f t="shared" si="5"/>
        <v/>
      </c>
      <c r="AO18" s="406" t="str">
        <f>IFERROR(INDEX(V!$R:$R,MATCH(AP18,V!$L:$L,0)),"")</f>
        <v/>
      </c>
      <c r="AP18" s="407" t="str">
        <f t="shared" si="6"/>
        <v/>
      </c>
    </row>
    <row r="19" spans="1:42" x14ac:dyDescent="0.2">
      <c r="A19" s="494"/>
      <c r="B19" s="495"/>
      <c r="C19" s="496"/>
      <c r="D19" s="497"/>
      <c r="E19" s="496"/>
      <c r="F19" s="498"/>
      <c r="G19" s="499"/>
      <c r="H19" s="500"/>
      <c r="I19" s="512"/>
      <c r="J19" s="477"/>
      <c r="K19" s="477"/>
      <c r="L19" s="477"/>
      <c r="M19" s="477"/>
      <c r="N19" s="539"/>
      <c r="O19" s="539"/>
      <c r="P19" s="477"/>
      <c r="Q19" s="477"/>
      <c r="R19" s="502" t="s">
        <v>264</v>
      </c>
      <c r="S19" s="477"/>
      <c r="T19" s="477"/>
      <c r="U19" s="477"/>
      <c r="V19" s="477"/>
      <c r="W19" s="477"/>
      <c r="X19" s="477"/>
      <c r="Y19" s="477"/>
      <c r="Z19" s="477"/>
      <c r="AA19" s="477"/>
      <c r="AB19" s="477"/>
      <c r="AC19" s="485"/>
      <c r="AD19" s="405">
        <f t="shared" si="0"/>
        <v>0</v>
      </c>
      <c r="AE19" s="406" t="str">
        <f>IFERROR(INDEX(V!$R:$R,MATCH(AF19,V!$L:$L,0)),"")</f>
        <v/>
      </c>
      <c r="AF19" s="407" t="str">
        <f t="shared" si="1"/>
        <v/>
      </c>
      <c r="AG19" s="406" t="str">
        <f>IFERROR(INDEX(V!$R:$R,MATCH(AH19,V!$L:$L,0)),"")</f>
        <v/>
      </c>
      <c r="AH19" s="407" t="str">
        <f t="shared" si="2"/>
        <v/>
      </c>
      <c r="AI19" s="406" t="str">
        <f>IFERROR(INDEX(V!$R:$R,MATCH(AJ19,V!$L:$L,0)),"")</f>
        <v/>
      </c>
      <c r="AJ19" s="407" t="str">
        <f t="shared" si="3"/>
        <v/>
      </c>
      <c r="AK19" s="406" t="str">
        <f>IFERROR(INDEX(V!$R:$R,MATCH(AL19,V!$L:$L,0)),"")</f>
        <v/>
      </c>
      <c r="AL19" s="407" t="str">
        <f t="shared" si="4"/>
        <v/>
      </c>
      <c r="AM19" s="406" t="str">
        <f>IFERROR(INDEX(V!$R:$R,MATCH(AN19,V!$L:$L,0)),"")</f>
        <v/>
      </c>
      <c r="AN19" s="407" t="str">
        <f t="shared" si="5"/>
        <v/>
      </c>
      <c r="AO19" s="406" t="str">
        <f>IFERROR(INDEX(V!$R:$R,MATCH(AP19,V!$L:$L,0)),"")</f>
        <v/>
      </c>
      <c r="AP19" s="407" t="str">
        <f t="shared" si="6"/>
        <v/>
      </c>
    </row>
    <row r="20" spans="1:42" x14ac:dyDescent="0.2">
      <c r="A20" s="316" t="s">
        <v>2</v>
      </c>
      <c r="B20" s="503"/>
      <c r="C20" s="467">
        <v>1</v>
      </c>
      <c r="D20" s="467">
        <v>2</v>
      </c>
      <c r="E20" s="467">
        <v>3</v>
      </c>
      <c r="F20" s="467">
        <v>4</v>
      </c>
      <c r="G20" s="467"/>
      <c r="H20" s="468" t="s">
        <v>168</v>
      </c>
      <c r="I20" s="468" t="s">
        <v>169</v>
      </c>
      <c r="J20" s="504" t="s">
        <v>257</v>
      </c>
      <c r="K20" s="505" t="s">
        <v>258</v>
      </c>
      <c r="L20" s="506" t="s">
        <v>259</v>
      </c>
      <c r="M20" s="506" t="s">
        <v>260</v>
      </c>
      <c r="N20" s="472" t="s">
        <v>170</v>
      </c>
      <c r="O20" s="472" t="s">
        <v>170</v>
      </c>
      <c r="P20" s="473" t="s">
        <v>261</v>
      </c>
      <c r="Q20" s="507" t="s">
        <v>21</v>
      </c>
      <c r="R20" s="507" t="b">
        <f>OR(AND(COUNTA(B21:B25)=3,COUNTA(C21:G25)=6),AND(COUNTA(B21:B25)=4,COUNTA(C21:G25)=12),AND(COUNTA(B21:B25)=5,COUNTA(C21:G25)=20))</f>
        <v>1</v>
      </c>
      <c r="S20" s="508" t="s">
        <v>262</v>
      </c>
      <c r="T20" s="509" t="s">
        <v>263</v>
      </c>
      <c r="U20" s="477"/>
      <c r="V20" s="477"/>
      <c r="W20" s="477"/>
      <c r="X20" s="477"/>
      <c r="Y20" s="477"/>
      <c r="Z20" s="477"/>
      <c r="AA20" s="477"/>
      <c r="AB20" s="477"/>
      <c r="AC20" s="477"/>
      <c r="AD20" s="405">
        <f t="shared" si="0"/>
        <v>0</v>
      </c>
      <c r="AE20" s="406" t="str">
        <f>IFERROR(INDEX(V!$R:$R,MATCH(AF20,V!$L:$L,0)),"")</f>
        <v/>
      </c>
      <c r="AF20" s="407" t="str">
        <f t="shared" si="1"/>
        <v/>
      </c>
      <c r="AG20" s="406" t="str">
        <f>IFERROR(INDEX(V!$R:$R,MATCH(AH20,V!$L:$L,0)),"")</f>
        <v/>
      </c>
      <c r="AH20" s="407" t="str">
        <f t="shared" si="2"/>
        <v/>
      </c>
      <c r="AI20" s="406" t="str">
        <f>IFERROR(INDEX(V!$R:$R,MATCH(AJ20,V!$L:$L,0)),"")</f>
        <v/>
      </c>
      <c r="AJ20" s="407" t="str">
        <f t="shared" si="3"/>
        <v/>
      </c>
      <c r="AK20" s="406" t="str">
        <f>IFERROR(INDEX(V!$R:$R,MATCH(AL20,V!$L:$L,0)),"")</f>
        <v/>
      </c>
      <c r="AL20" s="407" t="str">
        <f t="shared" si="4"/>
        <v/>
      </c>
      <c r="AM20" s="406" t="str">
        <f>IFERROR(INDEX(V!$R:$R,MATCH(AN20,V!$L:$L,0)),"")</f>
        <v/>
      </c>
      <c r="AN20" s="407" t="str">
        <f t="shared" si="5"/>
        <v/>
      </c>
      <c r="AO20" s="406" t="str">
        <f>IFERROR(INDEX(V!$R:$R,MATCH(AP20,V!$L:$L,0)),"")</f>
        <v/>
      </c>
      <c r="AP20" s="407" t="str">
        <f t="shared" si="6"/>
        <v/>
      </c>
    </row>
    <row r="21" spans="1:42" x14ac:dyDescent="0.2">
      <c r="A21" s="316">
        <v>1</v>
      </c>
      <c r="B21" s="479" t="s">
        <v>278</v>
      </c>
      <c r="C21" s="319"/>
      <c r="D21" s="318">
        <v>13</v>
      </c>
      <c r="E21" s="318">
        <v>13</v>
      </c>
      <c r="F21" s="318">
        <v>13</v>
      </c>
      <c r="G21" s="318"/>
      <c r="H21" s="317" t="str">
        <f>(IF(D21-C22&gt;0,1)+IF(E21-C23&gt;0,1)+IF(F21-C24&gt;0,1)+IF(G21-C25&gt;0,1))&amp;"-"&amp;(IF(D21-C22&lt;0,1)+IF(E21-C23&lt;0,1)+IF(F21-C24&lt;0,1)+IF(G21-C25&lt;0,1))</f>
        <v>3-0</v>
      </c>
      <c r="I21" s="318" t="str">
        <f>IF(AND(B21&lt;&gt;"",R$20=TRUE),A$20&amp;RANK(S21,S$21:S$25,0)," ")</f>
        <v>C1</v>
      </c>
      <c r="J21" s="480">
        <f>IF(AND(Q21=1,Q22=1,D21&gt;C22),1)+IF(AND(Q21=1,Q23=1,E21&gt;C23),1)+IF(AND(Q21=1,Q24=1,F21&gt;C24),1)+IF(AND(Q21=1,Q25=1,G21&gt;C25),1)+IF(AND(Q21=2,Q22=2,D21&gt;C22),1)+IF(AND(Q21=2,Q23=2,E21&gt;C23),1)+IF(AND(Q21=2,Q24=2,F21&gt;C24),1)+IF(AND(Q21=2,Q25=2,G21&gt;C25),1)+IF(AND(Q21=3,Q22=3,D21&gt;C22),1)+IF(AND(Q21=3,Q23=3,E21&gt;C23),1)+IF(AND(Q21=3,Q24=3,F21&gt;C24),1)+IF(AND(Q21=3,Q25=3,G21&gt;C25),1)</f>
        <v>0</v>
      </c>
      <c r="K21" s="481">
        <f>SUM(AND(T21=T22,D21&gt;C22),AND(T21=T23,E21&gt;C23),AND(T21=T24,F21&gt;C24),AND(T21=T25,G21&gt;C25))</f>
        <v>0</v>
      </c>
      <c r="L21" s="482">
        <f>IF(AND(Q21=1,Q22=1),D21-C22)+IF(AND(Q21=1,Q23=1),E21-C23)+IF(AND(Q21=1,Q24=1),F21-C24)+IF(AND(Q21=1,Q25=1),G21-C25)+IF(AND(Q21=2,Q22=2),D21-C22)+IF(AND(Q21=2,Q23=2),E21-C23)+IF(AND(Q21=2,Q24=2),F21-C24)+IF(AND(Q21=2,Q25=2),G21-C25)+IF(AND(Q21=3,Q22=3),D21-C22)+IF(AND(Q21=3,Q23=3),E21-C23)+IF(AND(Q21=3,Q24=3),F21-C24)+IF(AND(Q21=3,Q25=3),G21-C25)+IF(AND(Q21=4,Q22=4),D21-C22)+IF(AND(Q21=4,Q23=4),E21-C23)+IF(AND(Q21=4,Q24=4),F21-C24)+IF(AND(Q21=4,Q25=4),G21-C25)</f>
        <v>0</v>
      </c>
      <c r="M21" s="483">
        <f>SUM(AND(R21=R22,D21&gt;C22),AND(R21=R23,E21&gt;C23),AND(R21=R24,F21&gt;C24),AND(R21=R25,G21&gt;C25))</f>
        <v>0</v>
      </c>
      <c r="N21" s="537" t="str">
        <f>SUM(C21:G21)&amp;"-"&amp;SUM(C21:C25)</f>
        <v>39-12</v>
      </c>
      <c r="O21" s="538">
        <f>D21+E21+F21+G21-C22-C23-C24-C25</f>
        <v>27</v>
      </c>
      <c r="P21" s="485">
        <f>SUM(C21:G21,C21:C25)/SUM(C21:C25)</f>
        <v>4.25</v>
      </c>
      <c r="Q21" s="320">
        <f>VALUE(LEFT(H21,1))</f>
        <v>3</v>
      </c>
      <c r="R21" s="321">
        <f>Q21*100000+J21*10000+K21*1000+100*L21</f>
        <v>300000</v>
      </c>
      <c r="S21" s="486">
        <f>R21+M21*0.1+IF(ISNONTEXT(B21),0,0.01)+0.0001*O21</f>
        <v>300000.01270000002</v>
      </c>
      <c r="T21" s="487" t="str">
        <f>Q21&amp;J21</f>
        <v>30</v>
      </c>
      <c r="U21" s="477"/>
      <c r="V21" s="477"/>
      <c r="W21" s="477"/>
      <c r="X21" s="477"/>
      <c r="Y21" s="477"/>
      <c r="Z21" s="477"/>
      <c r="AA21" s="477"/>
      <c r="AB21" s="477"/>
      <c r="AC21" s="477"/>
      <c r="AD21" s="405">
        <f t="shared" si="0"/>
        <v>365</v>
      </c>
      <c r="AE21" s="406">
        <f>IFERROR(INDEX(V!$R:$R,MATCH(AF21,V!$L:$L,0)),"")</f>
        <v>187</v>
      </c>
      <c r="AF21" s="407" t="str">
        <f t="shared" si="1"/>
        <v>Kenneth Muusikus</v>
      </c>
      <c r="AG21" s="406">
        <f>IFERROR(INDEX(V!$R:$R,MATCH(AH21,V!$L:$L,0)),"")</f>
        <v>178</v>
      </c>
      <c r="AH21" s="407" t="str">
        <f t="shared" si="2"/>
        <v>Mait Metsla</v>
      </c>
      <c r="AI21" s="406" t="str">
        <f>IFERROR(INDEX(V!$R:$R,MATCH(AJ21,V!$L:$L,0)),"")</f>
        <v/>
      </c>
      <c r="AJ21" s="407" t="str">
        <f t="shared" si="3"/>
        <v/>
      </c>
      <c r="AK21" s="406" t="str">
        <f>IFERROR(INDEX(V!$R:$R,MATCH(AL21,V!$L:$L,0)),"")</f>
        <v/>
      </c>
      <c r="AL21" s="407" t="str">
        <f t="shared" si="4"/>
        <v/>
      </c>
      <c r="AM21" s="406" t="str">
        <f>IFERROR(INDEX(V!$R:$R,MATCH(AN21,V!$L:$L,0)),"")</f>
        <v/>
      </c>
      <c r="AN21" s="407" t="str">
        <f t="shared" si="5"/>
        <v/>
      </c>
      <c r="AO21" s="406" t="str">
        <f>IFERROR(INDEX(V!$R:$R,MATCH(AP21,V!$L:$L,0)),"")</f>
        <v/>
      </c>
      <c r="AP21" s="407" t="str">
        <f t="shared" si="6"/>
        <v/>
      </c>
    </row>
    <row r="22" spans="1:42" x14ac:dyDescent="0.2">
      <c r="A22" s="316">
        <v>2</v>
      </c>
      <c r="B22" s="488" t="s">
        <v>273</v>
      </c>
      <c r="C22" s="318">
        <v>5</v>
      </c>
      <c r="D22" s="319"/>
      <c r="E22" s="318">
        <v>13</v>
      </c>
      <c r="F22" s="318">
        <v>13</v>
      </c>
      <c r="G22" s="318"/>
      <c r="H22" s="317" t="str">
        <f>(IF(C22-D21&gt;0,1)+IF(E22-D23&gt;0,1)+IF(F22-D24&gt;0,1)+IF(G22-D25&gt;0,1))&amp;"-"&amp;(IF(C22-D21&lt;0,1)+IF(E22-D23&lt;0,1)+IF(F22-D24&lt;0,1)+IF(G22-D25&lt;0,1))</f>
        <v>2-1</v>
      </c>
      <c r="I22" s="318" t="str">
        <f t="shared" ref="I22:I25" si="7">IF(AND(B22&lt;&gt;"",R$20=TRUE),A$20&amp;RANK(S22,S$21:S$25,0)," ")</f>
        <v>C2</v>
      </c>
      <c r="J22" s="489">
        <f>IF(AND(Q22=1,Q21=1,C22&gt;D21),1)+IF(AND(Q22=1,Q23=1,E22&gt;D23),1)+IF(AND(Q22=1,Q24=1,F22&gt;D24),1)+IF(AND(Q22=1,Q25=1,G22&gt;D25),1)+IF(AND(Q22=2,Q21=2,C22&gt;D21),1)+IF(AND(Q22=2,Q23=2,E22&gt;D23),1)+IF(AND(Q22=2,Q24=2,F22&gt;D24),1)+IF(AND(Q22=2,Q25=2,G22&gt;D25),1)+IF(AND(Q22=3,Q21=3,C22&gt;D21),1)+IF(AND(Q22=3,Q23=3,E22&gt;D23),1)+IF(AND(Q22=3,Q24=3,F22&gt;D24),1)+IF(AND(Q22=3,Q25=3,G22&gt;D25),1)</f>
        <v>0</v>
      </c>
      <c r="K22" s="483">
        <f>SUM(AND(T22=T21,C22&gt;D21),AND(T22=T23,E22&gt;D23),AND(T22=T24,F22&gt;D24),AND(T22=T25,G22&gt;D25))</f>
        <v>0</v>
      </c>
      <c r="L22" s="490">
        <f>IF(AND(Q22=1,Q21=1),C22-D21)+IF(AND(Q22=1,Q23=1),E22-D23)+IF(AND(Q22=1,Q24=1),F22-D24)+IF(AND(Q22=1,Q25=1),G22-D25)+IF(AND(Q22=2,Q21=2),C22-D21)+IF(AND(Q22=2,Q23=2),E22-D23)+IF(AND(Q22=2,Q24=2),F22-D24)+IF(AND(Q22=2,Q25=2),G22-D25)+IF(AND(Q22=3,Q21=3),C22-D21)+IF(AND(Q22=3,Q23=3),E22-D23)+IF(AND(Q22=3,Q24=3),F22-D24)+IF(AND(Q22=3,Q25=3),G22-D25)+IF(AND(Q22=4,Q21=4),C22-D21)+IF(AND(Q22=4,Q23=4),E22-D23)+IF(AND(Q22=4,Q24=4),F22-D24)+IF(AND(Q22=4,Q25=4),G22-D25)</f>
        <v>0</v>
      </c>
      <c r="M22" s="483">
        <f>SUM(AND(R22=R21,C22&gt;D21),AND(R22=R23,E22&gt;D23),AND(R22=R24,F22&gt;D24),AND(R22=R25,G22&gt;D25))</f>
        <v>0</v>
      </c>
      <c r="N22" s="537" t="str">
        <f>SUM(C22:G22)&amp;"-"&amp;SUM(D21:D25)</f>
        <v>31-32</v>
      </c>
      <c r="O22" s="538">
        <f>C22+E22+F22+G22-D21-D23-D24-D25</f>
        <v>-1</v>
      </c>
      <c r="P22" s="485">
        <f>SUM(C22:G22,D21:D25)/SUM(D21:D25)</f>
        <v>1.96875</v>
      </c>
      <c r="Q22" s="491">
        <f>VALUE(LEFT(H22,1))</f>
        <v>2</v>
      </c>
      <c r="R22" s="321">
        <f>Q22*100000+J22*10000+K22*1000+100*L22</f>
        <v>200000</v>
      </c>
      <c r="S22" s="486">
        <f>R22+M22*0.1+IF(ISNONTEXT(B22),0,0.01)+0.0001*O22</f>
        <v>200000.0099</v>
      </c>
      <c r="T22" s="487" t="str">
        <f>Q22&amp;J22</f>
        <v>20</v>
      </c>
      <c r="U22" s="477"/>
      <c r="V22" s="477"/>
      <c r="W22" s="477"/>
      <c r="X22" s="477"/>
      <c r="Y22" s="477"/>
      <c r="Z22" s="477"/>
      <c r="AA22" s="477"/>
      <c r="AB22" s="477"/>
      <c r="AC22" s="477"/>
      <c r="AD22" s="405">
        <f t="shared" si="0"/>
        <v>233.5</v>
      </c>
      <c r="AE22" s="406">
        <f>IFERROR(INDEX(V!$R:$R,MATCH(AF22,V!$L:$L,0)),"")</f>
        <v>100</v>
      </c>
      <c r="AF22" s="407" t="str">
        <f t="shared" si="1"/>
        <v>Elmo Lageda</v>
      </c>
      <c r="AG22" s="406">
        <f>IFERROR(INDEX(V!$R:$R,MATCH(AH22,V!$L:$L,0)),"")</f>
        <v>133.5</v>
      </c>
      <c r="AH22" s="407" t="str">
        <f t="shared" si="2"/>
        <v>Tõnu Piik</v>
      </c>
      <c r="AI22" s="406" t="str">
        <f>IFERROR(INDEX(V!$R:$R,MATCH(AJ22,V!$L:$L,0)),"")</f>
        <v/>
      </c>
      <c r="AJ22" s="407" t="str">
        <f t="shared" si="3"/>
        <v/>
      </c>
      <c r="AK22" s="406" t="str">
        <f>IFERROR(INDEX(V!$R:$R,MATCH(AL22,V!$L:$L,0)),"")</f>
        <v/>
      </c>
      <c r="AL22" s="407" t="str">
        <f t="shared" si="4"/>
        <v/>
      </c>
      <c r="AM22" s="406" t="str">
        <f>IFERROR(INDEX(V!$R:$R,MATCH(AN22,V!$L:$L,0)),"")</f>
        <v/>
      </c>
      <c r="AN22" s="407" t="str">
        <f t="shared" si="5"/>
        <v/>
      </c>
      <c r="AO22" s="406" t="str">
        <f>IFERROR(INDEX(V!$R:$R,MATCH(AP22,V!$L:$L,0)),"")</f>
        <v/>
      </c>
      <c r="AP22" s="407" t="str">
        <f t="shared" si="6"/>
        <v/>
      </c>
    </row>
    <row r="23" spans="1:42" x14ac:dyDescent="0.2">
      <c r="A23" s="316">
        <v>3</v>
      </c>
      <c r="B23" s="488" t="s">
        <v>312</v>
      </c>
      <c r="C23" s="318">
        <v>1</v>
      </c>
      <c r="D23" s="492">
        <v>10</v>
      </c>
      <c r="E23" s="319"/>
      <c r="F23" s="318">
        <v>13</v>
      </c>
      <c r="G23" s="318"/>
      <c r="H23" s="317" t="str">
        <f>(IF(C23-E21&gt;0,1)+IF(D23-E22&gt;0,1)+IF(F23-E24&gt;0,1)+IF(G23-E25&gt;0,1))&amp;"-"&amp;(IF(C23-E21&lt;0,1)+IF(D23-E22&lt;0,1)+IF(F23-E24&lt;0,1)+IF(G23-E25&lt;0,1))</f>
        <v>1-2</v>
      </c>
      <c r="I23" s="318" t="str">
        <f t="shared" si="7"/>
        <v>C3</v>
      </c>
      <c r="J23" s="489">
        <f>IF(AND(Q23=1,Q21=1,C23&gt;E21),1)+IF(AND(Q23=1,Q22=1,D23&gt;E22),1)+IF(AND(Q23=1,Q24=1,F23&gt;E24),1)+IF(AND(Q23=1,Q25=1,G23&gt;E25),1)+IF(AND(Q23=2,Q21=2,C23&gt;E21),1)+IF(AND(Q23=2,Q22=2,D23&gt;E22),1)+IF(AND(Q23=2,Q24=2,F23&gt;E24),1)+IF(AND(Q23=2,Q25=2,G23&gt;E25),1)+IF(AND(Q23=3,Q21=3,C23&gt;E21),1)+IF(AND(Q23=3,Q22=3,D23&gt;E22),1)+IF(AND(Q23=3,Q24=3,F23&gt;E24),1)+IF(AND(Q23=3,Q25=3,G23&gt;E25),1)</f>
        <v>0</v>
      </c>
      <c r="K23" s="483">
        <f>SUM(AND(T23=T21,C23&gt;E21),AND(T23=T22,D23&gt;E22),AND(T23=T24,F23&gt;E24),AND(T23=T25,G23&gt;E25))</f>
        <v>0</v>
      </c>
      <c r="L23" s="490">
        <f>IF(AND(Q23=1,Q21=1),C23-E21)+IF(AND(Q23=1,Q22=1),D23-E22)+IF(AND(Q23=1,Q24=1),F23-E24)+IF(AND(Q23=1,Q25=1),G23-E25)+IF(AND(Q23=2,Q21=2),C23-E21)+IF(AND(Q23=2,Q22=2),D23-E22)+IF(AND(Q23=2,Q24=2),F23-E24)+IF(AND(Q23=2,Q25=2),G23-E25)+IF(AND(Q23=3,Q21=3),C23-E21)+IF(AND(Q23=3,Q22=3),D23-E22)+IF(AND(Q23=3,Q24=3),F23-E24)+IF(AND(Q23=3,Q25=3),G23-E25)+IF(AND(Q23=4,Q21=4),C23-E21)+IF(AND(Q23=4,Q22=4),D23-E22)+IF(AND(Q23=4,Q24=4),F23-E24)+IF(AND(Q23=4,Q25=4),G23-E25)</f>
        <v>0</v>
      </c>
      <c r="M23" s="483">
        <f>SUM(AND(R23=R21,C23&gt;E21),AND(R23=R22,D23&gt;E22),AND(R23=R24,F23&gt;E24),AND(R23=R25,G23&gt;E25))</f>
        <v>0</v>
      </c>
      <c r="N23" s="537" t="str">
        <f>SUM(C23:G23)&amp;"-"&amp;SUM(E21:E25)</f>
        <v>24-37</v>
      </c>
      <c r="O23" s="538">
        <f>C23+D23+F23+G23-E21-E22-E24-E25</f>
        <v>-13</v>
      </c>
      <c r="P23" s="485">
        <f>SUM(C23:G23,E21:E25)/SUM(E21:E25)</f>
        <v>1.6486486486486487</v>
      </c>
      <c r="Q23" s="491">
        <f>VALUE(LEFT(H23,1))</f>
        <v>1</v>
      </c>
      <c r="R23" s="321">
        <f>Q23*100000+J23*10000+K23*1000+100*L23</f>
        <v>100000</v>
      </c>
      <c r="S23" s="486">
        <f>R23+M23*0.1+IF(ISNONTEXT(B23),0,0.01)+0.0001*O23</f>
        <v>100000.00869999999</v>
      </c>
      <c r="T23" s="487" t="str">
        <f>Q23&amp;J23</f>
        <v>10</v>
      </c>
      <c r="U23" s="477"/>
      <c r="V23" s="477"/>
      <c r="W23" s="477"/>
      <c r="X23" s="477"/>
      <c r="Y23" s="477"/>
      <c r="Z23" s="477"/>
      <c r="AA23" s="477"/>
      <c r="AB23" s="477"/>
      <c r="AC23" s="477"/>
      <c r="AD23" s="405">
        <f t="shared" si="0"/>
        <v>122</v>
      </c>
      <c r="AE23" s="406">
        <f>IFERROR(INDEX(V!$R:$R,MATCH(AF23,V!$L:$L,0)),"")</f>
        <v>65</v>
      </c>
      <c r="AF23" s="407" t="str">
        <f t="shared" si="1"/>
        <v>Illar Tõnurist</v>
      </c>
      <c r="AG23" s="406">
        <f>IFERROR(INDEX(V!$R:$R,MATCH(AH23,V!$L:$L,0)),"")</f>
        <v>57</v>
      </c>
      <c r="AH23" s="407" t="str">
        <f t="shared" si="2"/>
        <v>Klavdia Piik</v>
      </c>
      <c r="AI23" s="406" t="str">
        <f>IFERROR(INDEX(V!$R:$R,MATCH(AJ23,V!$L:$L,0)),"")</f>
        <v/>
      </c>
      <c r="AJ23" s="407" t="str">
        <f t="shared" si="3"/>
        <v/>
      </c>
      <c r="AK23" s="406" t="str">
        <f>IFERROR(INDEX(V!$R:$R,MATCH(AL23,V!$L:$L,0)),"")</f>
        <v/>
      </c>
      <c r="AL23" s="407" t="str">
        <f t="shared" si="4"/>
        <v/>
      </c>
      <c r="AM23" s="406" t="str">
        <f>IFERROR(INDEX(V!$R:$R,MATCH(AN23,V!$L:$L,0)),"")</f>
        <v/>
      </c>
      <c r="AN23" s="407" t="str">
        <f t="shared" si="5"/>
        <v/>
      </c>
      <c r="AO23" s="406" t="str">
        <f>IFERROR(INDEX(V!$R:$R,MATCH(AP23,V!$L:$L,0)),"")</f>
        <v/>
      </c>
      <c r="AP23" s="407" t="str">
        <f t="shared" si="6"/>
        <v/>
      </c>
    </row>
    <row r="24" spans="1:42" x14ac:dyDescent="0.2">
      <c r="A24" s="316">
        <v>4</v>
      </c>
      <c r="B24" s="488" t="s">
        <v>383</v>
      </c>
      <c r="C24" s="318">
        <v>6</v>
      </c>
      <c r="D24" s="492">
        <v>9</v>
      </c>
      <c r="E24" s="318">
        <v>11</v>
      </c>
      <c r="F24" s="319"/>
      <c r="G24" s="511"/>
      <c r="H24" s="317" t="str">
        <f>(IF(C24-F21&gt;0,1)+IF(D24-F22&gt;0,1)+IF(E24-F23&gt;0,1)+IF(G24-F25&gt;0,1))&amp;"-"&amp;(IF(C24-F21&lt;0,1)+IF(D24-F22&lt;0,1)+IF(E24-F23&lt;0,1)+IF(G24-F25&lt;0,1))</f>
        <v>0-3</v>
      </c>
      <c r="I24" s="318" t="str">
        <f t="shared" si="7"/>
        <v>C4</v>
      </c>
      <c r="J24" s="489">
        <f>IF(AND(Q24=1,Q21=1,C24&gt;F21),1)+IF(AND(Q24=1,Q22=1,D24&gt;F22),1)+IF(AND(Q24=1,Q23=1,E24&gt;F23),1)+IF(AND(Q24=1,Q25=1,G24&gt;F25),1)+IF(AND(Q24=2,Q21=2,C24&gt;F21),1)+IF(AND(Q24=2,Q22=2,D24&gt;F22),1)+IF(AND(Q24=2,Q23=2,E24&gt;F23),1)+IF(AND(Q24=2,Q25=2,G24&gt;F25),1)+IF(AND(Q24=3,Q21=3,C24&gt;F21),1)+IF(AND(Q24=3,Q22=3,D24&gt;F22),1)+IF(AND(Q24=3,Q23=3,E24&gt;F23),1)+IF(AND(Q24=3,Q25=3,G24&gt;F25),1)</f>
        <v>0</v>
      </c>
      <c r="K24" s="483">
        <f>SUM(AND(T24=T21,C24&gt;F21),AND(T24=T22,D24&gt;F22),AND(T24=T23,E24&gt;F23),AND(T24=T25,G24&gt;F25))</f>
        <v>0</v>
      </c>
      <c r="L24" s="490">
        <f>IF(AND(Q24=1,Q21=1),C24-F21)+IF(AND(Q24=1,Q22=1),D24-F22)+IF(AND(Q24=1,Q23=1),E24-F23)+IF(AND(Q24=1,Q25=1),G24-F25)+IF(AND(Q24=2,Q21=2),C24-F21)+IF(AND(Q24=2,Q22=2),D24-F22)+IF(AND(Q24=2,Q23=2),E24-F23)+IF(AND(Q24=2,Q25=2),G24-F25)+IF(AND(Q24=3,Q21=3),C24-F21)+IF(AND(Q24=3,Q22=3),D24-F22)+IF(AND(Q24=3,Q23=3),E24-F23)+IF(AND(Q24=3,Q25=3),G24-F25)+IF(AND(Q24=4,Q21=4),C24-F21)+IF(AND(Q24=4,Q22=4),D24-F22)+IF(AND(Q24=4,Q23=4),E24-F23)+IF(AND(Q24=4,Q25=4),G24-F25)</f>
        <v>0</v>
      </c>
      <c r="M24" s="483">
        <f>SUM(AND(R24=R21,C24&gt;F21),AND(R24=R22,D24&gt;F22),AND(R24=R23,E24&gt;F23),AND(R24=R25,G24&gt;F25))</f>
        <v>0</v>
      </c>
      <c r="N24" s="537" t="str">
        <f>SUM(C24:G24)&amp;"-"&amp;SUM(F21:F25)</f>
        <v>26-39</v>
      </c>
      <c r="O24" s="538">
        <f>C24+D24+E24+G24-F21-F22-F23-F25</f>
        <v>-13</v>
      </c>
      <c r="P24" s="485">
        <f>SUM(C24:G24,F21:F25)/SUM(F21:F25)</f>
        <v>1.6666666666666667</v>
      </c>
      <c r="Q24" s="491">
        <f>VALUE(LEFT(H24,1))</f>
        <v>0</v>
      </c>
      <c r="R24" s="321">
        <f>Q24*100000+J24*10000+K24*1000+100*L24</f>
        <v>0</v>
      </c>
      <c r="S24" s="486">
        <f>R24+M24*0.1+IF(ISNONTEXT(B24),0,0.01)+0.0001*O24</f>
        <v>8.6999999999999994E-3</v>
      </c>
      <c r="T24" s="487" t="str">
        <f>Q24&amp;J24</f>
        <v>00</v>
      </c>
      <c r="U24" s="477"/>
      <c r="V24" s="477"/>
      <c r="W24" s="477"/>
      <c r="X24" s="477"/>
      <c r="Y24" s="477"/>
      <c r="Z24" s="477"/>
      <c r="AA24" s="477"/>
      <c r="AB24" s="477"/>
      <c r="AC24" s="477"/>
      <c r="AD24" s="405">
        <f t="shared" si="0"/>
        <v>59</v>
      </c>
      <c r="AE24" s="406">
        <f>IFERROR(INDEX(V!$R:$R,MATCH(AF24,V!$L:$L,0)),"")</f>
        <v>29</v>
      </c>
      <c r="AF24" s="407" t="str">
        <f t="shared" si="1"/>
        <v>Olav Türk</v>
      </c>
      <c r="AG24" s="406">
        <f>IFERROR(INDEX(V!$R:$R,MATCH(AH24,V!$L:$L,0)),"")</f>
        <v>30</v>
      </c>
      <c r="AH24" s="407" t="str">
        <f t="shared" si="2"/>
        <v>Urmas Jõeäär</v>
      </c>
      <c r="AI24" s="406" t="str">
        <f>IFERROR(INDEX(V!$R:$R,MATCH(AJ24,V!$L:$L,0)),"")</f>
        <v/>
      </c>
      <c r="AJ24" s="407" t="str">
        <f t="shared" si="3"/>
        <v/>
      </c>
      <c r="AK24" s="406" t="str">
        <f>IFERROR(INDEX(V!$R:$R,MATCH(AL24,V!$L:$L,0)),"")</f>
        <v/>
      </c>
      <c r="AL24" s="407" t="str">
        <f t="shared" si="4"/>
        <v/>
      </c>
      <c r="AM24" s="406" t="str">
        <f>IFERROR(INDEX(V!$R:$R,MATCH(AN24,V!$L:$L,0)),"")</f>
        <v/>
      </c>
      <c r="AN24" s="407" t="str">
        <f t="shared" si="5"/>
        <v/>
      </c>
      <c r="AO24" s="406" t="str">
        <f>IFERROR(INDEX(V!$R:$R,MATCH(AP24,V!$L:$L,0)),"")</f>
        <v/>
      </c>
      <c r="AP24" s="407" t="str">
        <f t="shared" si="6"/>
        <v/>
      </c>
    </row>
    <row r="25" spans="1:42" hidden="1" x14ac:dyDescent="0.2">
      <c r="A25" s="316">
        <v>5</v>
      </c>
      <c r="B25" s="493"/>
      <c r="C25" s="318"/>
      <c r="D25" s="318"/>
      <c r="E25" s="318"/>
      <c r="F25" s="318"/>
      <c r="G25" s="319"/>
      <c r="H25" s="317" t="str">
        <f>(IF(C25-G21&gt;0,1)+IF(D25-G22&gt;0,1)+IF(E25-G23&gt;0,1)+IF(F25-G24&gt;0,1))&amp;"-"&amp;(IF(C25-G21&lt;0,1)+IF(D25-G22&lt;0,1)+IF(E25-G23&lt;0,1)+IF(F25-G24&lt;0,1))</f>
        <v>0-0</v>
      </c>
      <c r="I25" s="318" t="str">
        <f t="shared" si="7"/>
        <v xml:space="preserve"> </v>
      </c>
      <c r="J25" s="489">
        <f>IF(AND(Q25=1,Q21=1,C25&gt;G21),1)+IF(AND(Q25=1,Q22=1,D25&gt;G22),1)+IF(AND(Q25=1,Q23=1,E25&gt;G23),1)+IF(AND(Q25=1,Q24=1,F25&gt;G24),1)+IF(AND(Q25=2,Q21=2,C25&gt;G21),1)+IF(AND(Q25=2,Q22=2,D25&gt;G22),1)+IF(AND(Q25=2,Q23=2,E25&gt;G23),1)+IF(AND(Q25=2,Q24=2,F25&gt;G24),1)+IF(AND(Q25=3,Q21=3,C25&gt;G21),1)+IF(AND(Q25=3,Q22=3,D25&gt;G22),1)+IF(AND(Q25=3,Q23=3,E25&gt;G23),1)+IF(AND(Q25=3,Q24=3,F25&gt;G24),1)</f>
        <v>0</v>
      </c>
      <c r="K25" s="483">
        <f>SUM(AND(T25=T21,C25&gt;G21),AND(T25=T22,D25&gt;G22),AND(T25=T23,E25&gt;G23),AND(T25=T24,F25&gt;G24))</f>
        <v>0</v>
      </c>
      <c r="L25" s="490">
        <f>IF(AND(Q25=1,Q21=1),C25-G21)+IF(AND(Q25=1,Q22=1),D25-G22)+IF(AND(Q25=1,Q23=1),E25-G23)+IF(AND(Q25=1,Q24=1),F25-G24)+IF(AND(Q25=2,Q21=2),C25-G21)+IF(AND(Q25=2,Q22=2),D25-G22)+IF(AND(Q25=2,Q23=2),E25-G23)+IF(AND(Q25=2,Q24=2),F25-G24)+IF(AND(Q25=3,Q21=3),C25-G21)+IF(AND(Q25=3,Q22=3),D25-G22)+IF(AND(Q25=3,Q23=3),E25-G23)+IF(AND(Q25=3,Q24=3),F25-G24)+IF(AND(Q25=4,Q21=4),C25-G21)+IF(AND(Q25=4,Q22=4),D25-G22)+IF(AND(Q25=4,Q23=4),E25-G23)+IF(AND(Q25=4,Q24=4),F25-G24)</f>
        <v>0</v>
      </c>
      <c r="M25" s="483">
        <f>SUM(AND(R25=R21,C25&gt;G21),AND(R25=R22,D25&gt;G22),AND(R25=R23,E25&gt;G23),AND(R25=R24,F25&gt;G24))</f>
        <v>0</v>
      </c>
      <c r="N25" s="537" t="str">
        <f>SUM(C25:G25)&amp;"-"&amp;SUM(G21:G25)</f>
        <v>0-0</v>
      </c>
      <c r="O25" s="538">
        <f>C25+D25+E25+F25-G21-G22-G23-G24</f>
        <v>0</v>
      </c>
      <c r="P25" s="485" t="e">
        <f>SUM(C25:G25,G21:G25)/SUM(G21:G25)</f>
        <v>#DIV/0!</v>
      </c>
      <c r="Q25" s="491">
        <f>VALUE(LEFT(H25,1))</f>
        <v>0</v>
      </c>
      <c r="R25" s="321">
        <f>Q25*100000+J25*10000+K25*1000+100*L25</f>
        <v>0</v>
      </c>
      <c r="S25" s="486">
        <f>R25+M25*0.1+IF(ISNONTEXT(B25),0,0.01)+0.0001*O25</f>
        <v>0</v>
      </c>
      <c r="T25" s="487" t="str">
        <f>Q25&amp;J25</f>
        <v>00</v>
      </c>
      <c r="U25" s="477"/>
      <c r="V25" s="477"/>
      <c r="W25" s="477"/>
      <c r="X25" s="477"/>
      <c r="Y25" s="477"/>
      <c r="Z25" s="477"/>
      <c r="AA25" s="477"/>
      <c r="AB25" s="477"/>
      <c r="AC25" s="477"/>
      <c r="AD25" s="405">
        <f t="shared" si="0"/>
        <v>0</v>
      </c>
      <c r="AE25" s="406" t="str">
        <f>IFERROR(INDEX(V!$R:$R,MATCH(AF25,V!$L:$L,0)),"")</f>
        <v/>
      </c>
      <c r="AF25" s="407" t="str">
        <f t="shared" si="1"/>
        <v/>
      </c>
      <c r="AG25" s="406" t="str">
        <f>IFERROR(INDEX(V!$R:$R,MATCH(AH25,V!$L:$L,0)),"")</f>
        <v/>
      </c>
      <c r="AH25" s="407" t="str">
        <f t="shared" si="2"/>
        <v/>
      </c>
      <c r="AI25" s="406" t="str">
        <f>IFERROR(INDEX(V!$R:$R,MATCH(AJ25,V!$L:$L,0)),"")</f>
        <v/>
      </c>
      <c r="AJ25" s="407" t="str">
        <f t="shared" si="3"/>
        <v/>
      </c>
      <c r="AK25" s="406" t="str">
        <f>IFERROR(INDEX(V!$R:$R,MATCH(AL25,V!$L:$L,0)),"")</f>
        <v/>
      </c>
      <c r="AL25" s="407" t="str">
        <f t="shared" si="4"/>
        <v/>
      </c>
      <c r="AM25" s="406" t="str">
        <f>IFERROR(INDEX(V!$R:$R,MATCH(AN25,V!$L:$L,0)),"")</f>
        <v/>
      </c>
      <c r="AN25" s="407" t="str">
        <f t="shared" si="5"/>
        <v/>
      </c>
      <c r="AO25" s="406" t="str">
        <f>IFERROR(INDEX(V!$R:$R,MATCH(AP25,V!$L:$L,0)),"")</f>
        <v/>
      </c>
      <c r="AP25" s="407" t="str">
        <f t="shared" si="6"/>
        <v/>
      </c>
    </row>
    <row r="26" spans="1:42" x14ac:dyDescent="0.2">
      <c r="A26" s="513"/>
      <c r="B26" s="514"/>
      <c r="C26" s="499"/>
      <c r="D26" s="499"/>
      <c r="E26" s="499"/>
      <c r="F26" s="515"/>
      <c r="G26" s="515"/>
      <c r="H26" s="516"/>
      <c r="I26" s="517"/>
      <c r="J26" s="477"/>
      <c r="K26" s="477"/>
      <c r="L26" s="477"/>
      <c r="M26" s="477"/>
      <c r="N26" s="539"/>
      <c r="O26" s="539"/>
      <c r="P26" s="477"/>
      <c r="Q26" s="477"/>
      <c r="R26" s="502" t="s">
        <v>264</v>
      </c>
      <c r="S26" s="477"/>
      <c r="T26" s="477"/>
      <c r="U26" s="477"/>
      <c r="V26" s="477"/>
      <c r="W26" s="477"/>
      <c r="X26" s="477"/>
      <c r="Y26" s="477"/>
      <c r="Z26" s="477"/>
      <c r="AA26" s="477"/>
      <c r="AB26" s="477"/>
      <c r="AC26" s="477"/>
      <c r="AD26" s="405">
        <f t="shared" si="0"/>
        <v>0</v>
      </c>
      <c r="AE26" s="406" t="str">
        <f>IFERROR(INDEX(V!$R:$R,MATCH(AF26,V!$L:$L,0)),"")</f>
        <v/>
      </c>
      <c r="AF26" s="407" t="str">
        <f t="shared" si="1"/>
        <v/>
      </c>
      <c r="AG26" s="406" t="str">
        <f>IFERROR(INDEX(V!$R:$R,MATCH(AH26,V!$L:$L,0)),"")</f>
        <v/>
      </c>
      <c r="AH26" s="407" t="str">
        <f t="shared" si="2"/>
        <v/>
      </c>
      <c r="AI26" s="406" t="str">
        <f>IFERROR(INDEX(V!$R:$R,MATCH(AJ26,V!$L:$L,0)),"")</f>
        <v/>
      </c>
      <c r="AJ26" s="407" t="str">
        <f t="shared" si="3"/>
        <v/>
      </c>
      <c r="AK26" s="406" t="str">
        <f>IFERROR(INDEX(V!$R:$R,MATCH(AL26,V!$L:$L,0)),"")</f>
        <v/>
      </c>
      <c r="AL26" s="407" t="str">
        <f t="shared" si="4"/>
        <v/>
      </c>
      <c r="AM26" s="406" t="str">
        <f>IFERROR(INDEX(V!$R:$R,MATCH(AN26,V!$L:$L,0)),"")</f>
        <v/>
      </c>
      <c r="AN26" s="407" t="str">
        <f t="shared" si="5"/>
        <v/>
      </c>
      <c r="AO26" s="406" t="str">
        <f>IFERROR(INDEX(V!$R:$R,MATCH(AP26,V!$L:$L,0)),"")</f>
        <v/>
      </c>
      <c r="AP26" s="407" t="str">
        <f t="shared" si="6"/>
        <v/>
      </c>
    </row>
    <row r="27" spans="1:42" x14ac:dyDescent="0.2">
      <c r="A27" s="316" t="s">
        <v>3</v>
      </c>
      <c r="B27" s="503"/>
      <c r="C27" s="467">
        <v>1</v>
      </c>
      <c r="D27" s="467">
        <v>2</v>
      </c>
      <c r="E27" s="467">
        <v>3</v>
      </c>
      <c r="F27" s="467">
        <v>4</v>
      </c>
      <c r="G27" s="467"/>
      <c r="H27" s="468" t="s">
        <v>168</v>
      </c>
      <c r="I27" s="468" t="s">
        <v>169</v>
      </c>
      <c r="J27" s="504" t="s">
        <v>257</v>
      </c>
      <c r="K27" s="505" t="s">
        <v>258</v>
      </c>
      <c r="L27" s="506" t="s">
        <v>259</v>
      </c>
      <c r="M27" s="506" t="s">
        <v>260</v>
      </c>
      <c r="N27" s="472" t="s">
        <v>170</v>
      </c>
      <c r="O27" s="472" t="s">
        <v>170</v>
      </c>
      <c r="P27" s="473" t="s">
        <v>261</v>
      </c>
      <c r="Q27" s="507" t="s">
        <v>21</v>
      </c>
      <c r="R27" s="507" t="b">
        <f>OR(AND(COUNTA(B28:B32)=3,COUNTA(C28:G32)=6),AND(COUNTA(B28:B32)=4,COUNTA(C28:G32)=12),AND(COUNTA(B28:B32)=5,COUNTA(C28:G32)=20))</f>
        <v>1</v>
      </c>
      <c r="S27" s="508" t="s">
        <v>262</v>
      </c>
      <c r="T27" s="509" t="s">
        <v>263</v>
      </c>
      <c r="U27" s="477"/>
      <c r="V27" s="477"/>
      <c r="W27" s="477"/>
      <c r="X27" s="477"/>
      <c r="Y27" s="477"/>
      <c r="Z27" s="477"/>
      <c r="AA27" s="477"/>
      <c r="AB27" s="477"/>
      <c r="AC27" s="477"/>
      <c r="AD27" s="405">
        <f t="shared" si="0"/>
        <v>0</v>
      </c>
      <c r="AE27" s="406" t="str">
        <f>IFERROR(INDEX(V!$R:$R,MATCH(AF27,V!$L:$L,0)),"")</f>
        <v/>
      </c>
      <c r="AF27" s="407" t="str">
        <f t="shared" si="1"/>
        <v/>
      </c>
      <c r="AG27" s="406" t="str">
        <f>IFERROR(INDEX(V!$R:$R,MATCH(AH27,V!$L:$L,0)),"")</f>
        <v/>
      </c>
      <c r="AH27" s="407" t="str">
        <f t="shared" si="2"/>
        <v/>
      </c>
      <c r="AI27" s="406" t="str">
        <f>IFERROR(INDEX(V!$R:$R,MATCH(AJ27,V!$L:$L,0)),"")</f>
        <v/>
      </c>
      <c r="AJ27" s="407" t="str">
        <f t="shared" si="3"/>
        <v/>
      </c>
      <c r="AK27" s="406" t="str">
        <f>IFERROR(INDEX(V!$R:$R,MATCH(AL27,V!$L:$L,0)),"")</f>
        <v/>
      </c>
      <c r="AL27" s="407" t="str">
        <f t="shared" si="4"/>
        <v/>
      </c>
      <c r="AM27" s="406" t="str">
        <f>IFERROR(INDEX(V!$R:$R,MATCH(AN27,V!$L:$L,0)),"")</f>
        <v/>
      </c>
      <c r="AN27" s="407" t="str">
        <f t="shared" si="5"/>
        <v/>
      </c>
      <c r="AO27" s="406" t="str">
        <f>IFERROR(INDEX(V!$R:$R,MATCH(AP27,V!$L:$L,0)),"")</f>
        <v/>
      </c>
      <c r="AP27" s="407" t="str">
        <f t="shared" si="6"/>
        <v/>
      </c>
    </row>
    <row r="28" spans="1:42" x14ac:dyDescent="0.2">
      <c r="A28" s="316">
        <v>1</v>
      </c>
      <c r="B28" s="518" t="s">
        <v>282</v>
      </c>
      <c r="C28" s="319"/>
      <c r="D28" s="318">
        <v>11</v>
      </c>
      <c r="E28" s="318">
        <v>13</v>
      </c>
      <c r="F28" s="318">
        <v>13</v>
      </c>
      <c r="G28" s="318"/>
      <c r="H28" s="317" t="str">
        <f>(IF(D28-C29&gt;0,1)+IF(E28-C30&gt;0,1)+IF(F28-C31&gt;0,1)+IF(G28-C32&gt;0,1))&amp;"-"&amp;(IF(D28-C29&lt;0,1)+IF(E28-C30&lt;0,1)+IF(F28-C31&lt;0,1)+IF(G28-C32&lt;0,1))</f>
        <v>2-1</v>
      </c>
      <c r="I28" s="318" t="str">
        <f>IF(AND(B28&lt;&gt;"",R$27=TRUE),A$27&amp;RANK(S28,S$28:S$32,0)," ")</f>
        <v>D2</v>
      </c>
      <c r="J28" s="480">
        <f>IF(AND(Q28=1,Q29=1,D28&gt;C29),1)+IF(AND(Q28=1,Q30=1,E28&gt;C30),1)+IF(AND(Q28=1,Q31=1,F28&gt;C31),1)+IF(AND(Q28=1,Q32=1,G28&gt;C32),1)+IF(AND(Q28=2,Q29=2,D28&gt;C29),1)+IF(AND(Q28=2,Q30=2,E28&gt;C30),1)+IF(AND(Q28=2,Q31=2,F28&gt;C31),1)+IF(AND(Q28=2,Q32=2,G28&gt;C32),1)+IF(AND(Q28=3,Q29=3,D28&gt;C29),1)+IF(AND(Q28=3,Q30=3,E28&gt;C30),1)+IF(AND(Q28=3,Q31=3,F28&gt;C31),1)+IF(AND(Q28=3,Q32=3,G28&gt;C32),1)</f>
        <v>0</v>
      </c>
      <c r="K28" s="481">
        <f>SUM(AND(T28=T29,D28&gt;C29),AND(T28=T30,E28&gt;C30),AND(T28=T31,F28&gt;C31),AND(T28=T32,G28&gt;C32))</f>
        <v>0</v>
      </c>
      <c r="L28" s="482">
        <f>IF(AND(Q28=1,Q29=1),D28-C29)+IF(AND(Q28=1,Q30=1),E28-C30)+IF(AND(Q28=1,Q31=1),F28-C31)+IF(AND(Q28=1,Q32=1),G28-C32)+IF(AND(Q28=2,Q29=2),D28-C29)+IF(AND(Q28=2,Q30=2),E28-C30)+IF(AND(Q28=2,Q31=2),F28-C31)+IF(AND(Q28=2,Q32=2),G28-C32)+IF(AND(Q28=3,Q29=3),D28-C29)+IF(AND(Q28=3,Q30=3),E28-C30)+IF(AND(Q28=3,Q31=3),F28-C31)+IF(AND(Q28=3,Q32=3),G28-C32)+IF(AND(Q28=4,Q29=4),D28-C29)+IF(AND(Q28=4,Q30=4),E28-C30)+IF(AND(Q28=4,Q31=4),F28-C31)+IF(AND(Q28=4,Q32=4),G28-C32)</f>
        <v>0</v>
      </c>
      <c r="M28" s="483">
        <f>SUM(AND(R28=R29,D28&gt;C29),AND(R28=R30,E28&gt;C30),AND(R28=R31,F28&gt;C31),AND(R28=R32,G28&gt;C32))</f>
        <v>0</v>
      </c>
      <c r="N28" s="537" t="str">
        <f>SUM(C28:G28)&amp;"-"&amp;SUM(C28:C32)</f>
        <v>37-28</v>
      </c>
      <c r="O28" s="538">
        <f>D28+E28+F28+G28-C29-C30-C31-C32</f>
        <v>9</v>
      </c>
      <c r="P28" s="485">
        <f>SUM(C28:G28,C28:C32)/SUM(C28:C32)</f>
        <v>2.3214285714285716</v>
      </c>
      <c r="Q28" s="320">
        <f>VALUE(LEFT(H28,1))</f>
        <v>2</v>
      </c>
      <c r="R28" s="321">
        <f>Q28*100000+J28*10000+K28*1000+100*L28</f>
        <v>200000</v>
      </c>
      <c r="S28" s="486">
        <f>R28+M28*0.1+IF(ISNONTEXT(B28),0,0.01)+0.0001*O28</f>
        <v>200000.01090000002</v>
      </c>
      <c r="T28" s="487" t="str">
        <f>Q28&amp;J28</f>
        <v>20</v>
      </c>
      <c r="U28" s="477"/>
      <c r="V28" s="477"/>
      <c r="W28" s="477"/>
      <c r="X28" s="477"/>
      <c r="Y28" s="477"/>
      <c r="Z28" s="477"/>
      <c r="AA28" s="477"/>
      <c r="AB28" s="477"/>
      <c r="AC28" s="477"/>
      <c r="AD28" s="405">
        <f t="shared" si="0"/>
        <v>320</v>
      </c>
      <c r="AE28" s="406">
        <f>IFERROR(INDEX(V!$R:$R,MATCH(AF28,V!$L:$L,0)),"")</f>
        <v>168</v>
      </c>
      <c r="AF28" s="407" t="str">
        <f t="shared" si="1"/>
        <v>Matti Vinni</v>
      </c>
      <c r="AG28" s="406">
        <f>IFERROR(INDEX(V!$R:$R,MATCH(AH28,V!$L:$L,0)),"")</f>
        <v>152</v>
      </c>
      <c r="AH28" s="407" t="str">
        <f t="shared" si="2"/>
        <v>Vladimir Ogneštšikov</v>
      </c>
      <c r="AI28" s="406" t="str">
        <f>IFERROR(INDEX(V!$R:$R,MATCH(AJ28,V!$L:$L,0)),"")</f>
        <v/>
      </c>
      <c r="AJ28" s="407" t="str">
        <f t="shared" si="3"/>
        <v/>
      </c>
      <c r="AK28" s="406" t="str">
        <f>IFERROR(INDEX(V!$R:$R,MATCH(AL28,V!$L:$L,0)),"")</f>
        <v/>
      </c>
      <c r="AL28" s="407" t="str">
        <f t="shared" si="4"/>
        <v/>
      </c>
      <c r="AM28" s="406" t="str">
        <f>IFERROR(INDEX(V!$R:$R,MATCH(AN28,V!$L:$L,0)),"")</f>
        <v/>
      </c>
      <c r="AN28" s="407" t="str">
        <f t="shared" si="5"/>
        <v/>
      </c>
      <c r="AO28" s="406" t="str">
        <f>IFERROR(INDEX(V!$R:$R,MATCH(AP28,V!$L:$L,0)),"")</f>
        <v/>
      </c>
      <c r="AP28" s="407" t="str">
        <f t="shared" si="6"/>
        <v/>
      </c>
    </row>
    <row r="29" spans="1:42" x14ac:dyDescent="0.2">
      <c r="A29" s="316">
        <v>2</v>
      </c>
      <c r="B29" s="488" t="s">
        <v>276</v>
      </c>
      <c r="C29" s="318">
        <v>13</v>
      </c>
      <c r="D29" s="319"/>
      <c r="E29" s="318">
        <v>13</v>
      </c>
      <c r="F29" s="318">
        <v>13</v>
      </c>
      <c r="G29" s="318"/>
      <c r="H29" s="317" t="str">
        <f>(IF(C29-D28&gt;0,1)+IF(E29-D30&gt;0,1)+IF(F29-D31&gt;0,1)+IF(G29-D32&gt;0,1))&amp;"-"&amp;(IF(C29-D28&lt;0,1)+IF(E29-D30&lt;0,1)+IF(F29-D31&lt;0,1)+IF(G29-D32&lt;0,1))</f>
        <v>3-0</v>
      </c>
      <c r="I29" s="318" t="str">
        <f t="shared" ref="I29:I32" si="8">IF(AND(B29&lt;&gt;"",R$27=TRUE),A$27&amp;RANK(S29,S$28:S$32,0)," ")</f>
        <v>D1</v>
      </c>
      <c r="J29" s="489">
        <f>IF(AND(Q29=1,Q28=1,C29&gt;D28),1)+IF(AND(Q29=1,Q30=1,E29&gt;D30),1)+IF(AND(Q29=1,Q31=1,F29&gt;D31),1)+IF(AND(Q29=1,Q32=1,G29&gt;D32),1)+IF(AND(Q29=2,Q28=2,C29&gt;D28),1)+IF(AND(Q29=2,Q30=2,E29&gt;D30),1)+IF(AND(Q29=2,Q31=2,F29&gt;D31),1)+IF(AND(Q29=2,Q32=2,G29&gt;D32),1)+IF(AND(Q29=3,Q28=3,C29&gt;D28),1)+IF(AND(Q29=3,Q30=3,E29&gt;D30),1)+IF(AND(Q29=3,Q31=3,F29&gt;D31),1)+IF(AND(Q29=3,Q32=3,G29&gt;D32),1)</f>
        <v>0</v>
      </c>
      <c r="K29" s="483">
        <f>SUM(AND(T29=T28,C29&gt;D28),AND(T29=T30,E29&gt;D30),AND(T29=T31,F29&gt;D31),AND(T29=T32,G29&gt;D32))</f>
        <v>0</v>
      </c>
      <c r="L29" s="490">
        <f>IF(AND(Q29=1,Q28=1),C29-D28)+IF(AND(Q29=1,Q30=1),E29-D30)+IF(AND(Q29=1,Q31=1),F29-D31)+IF(AND(Q29=1,Q32=1),G29-D32)+IF(AND(Q29=2,Q28=2),C29-D28)+IF(AND(Q29=2,Q30=2),E29-D30)+IF(AND(Q29=2,Q31=2),F29-D31)+IF(AND(Q29=2,Q32=2),G29-D32)+IF(AND(Q29=3,Q28=3),C29-D28)+IF(AND(Q29=3,Q30=3),E29-D30)+IF(AND(Q29=3,Q31=3),F29-D31)+IF(AND(Q29=3,Q32=3),G29-D32)+IF(AND(Q29=4,Q28=4),C29-D28)+IF(AND(Q29=4,Q30=4),E29-D30)+IF(AND(Q29=4,Q31=4),F29-D31)+IF(AND(Q29=4,Q32=4),G29-D32)</f>
        <v>0</v>
      </c>
      <c r="M29" s="483">
        <f>SUM(AND(R29=R28,C29&gt;D28),AND(R29=R30,E29&gt;D30),AND(R29=R31,F29&gt;D31),AND(R29=R32,G29&gt;D32))</f>
        <v>0</v>
      </c>
      <c r="N29" s="537" t="str">
        <f>SUM(C29:G29)&amp;"-"&amp;SUM(D28:D32)</f>
        <v>39-18</v>
      </c>
      <c r="O29" s="538">
        <f>C29+E29+F29+G29-D28-D30-D31-D32</f>
        <v>21</v>
      </c>
      <c r="P29" s="485">
        <f>SUM(C29:G29,D28:D32)/SUM(D28:D32)</f>
        <v>3.1666666666666665</v>
      </c>
      <c r="Q29" s="491">
        <f>VALUE(LEFT(H29,1))</f>
        <v>3</v>
      </c>
      <c r="R29" s="321">
        <f>Q29*100000+J29*10000+K29*1000+100*L29</f>
        <v>300000</v>
      </c>
      <c r="S29" s="486">
        <f>R29+M29*0.1+IF(ISNONTEXT(B29),0,0.01)+0.0001*O29</f>
        <v>300000.01209999999</v>
      </c>
      <c r="T29" s="487" t="str">
        <f>Q29&amp;J29</f>
        <v>30</v>
      </c>
      <c r="U29" s="477"/>
      <c r="V29" s="477"/>
      <c r="W29" s="477"/>
      <c r="X29" s="477"/>
      <c r="Y29" s="477"/>
      <c r="Z29" s="477"/>
      <c r="AA29" s="477"/>
      <c r="AB29" s="477"/>
      <c r="AC29" s="477"/>
      <c r="AD29" s="405">
        <f t="shared" si="0"/>
        <v>356</v>
      </c>
      <c r="AE29" s="406">
        <f>IFERROR(INDEX(V!$R:$R,MATCH(AF29,V!$L:$L,0)),"")</f>
        <v>178</v>
      </c>
      <c r="AF29" s="407" t="str">
        <f t="shared" si="1"/>
        <v>Jaan Sepp</v>
      </c>
      <c r="AG29" s="406">
        <f>IFERROR(INDEX(V!$R:$R,MATCH(AH29,V!$L:$L,0)),"")</f>
        <v>178</v>
      </c>
      <c r="AH29" s="407" t="str">
        <f t="shared" si="2"/>
        <v>Oskar Sepp</v>
      </c>
      <c r="AI29" s="406" t="str">
        <f>IFERROR(INDEX(V!$R:$R,MATCH(AJ29,V!$L:$L,0)),"")</f>
        <v/>
      </c>
      <c r="AJ29" s="407" t="str">
        <f t="shared" si="3"/>
        <v/>
      </c>
      <c r="AK29" s="406" t="str">
        <f>IFERROR(INDEX(V!$R:$R,MATCH(AL29,V!$L:$L,0)),"")</f>
        <v/>
      </c>
      <c r="AL29" s="407" t="str">
        <f t="shared" si="4"/>
        <v/>
      </c>
      <c r="AM29" s="406" t="str">
        <f>IFERROR(INDEX(V!$R:$R,MATCH(AN29,V!$L:$L,0)),"")</f>
        <v/>
      </c>
      <c r="AN29" s="407" t="str">
        <f t="shared" si="5"/>
        <v/>
      </c>
      <c r="AO29" s="406" t="str">
        <f>IFERROR(INDEX(V!$R:$R,MATCH(AP29,V!$L:$L,0)),"")</f>
        <v/>
      </c>
      <c r="AP29" s="407" t="str">
        <f t="shared" si="6"/>
        <v/>
      </c>
    </row>
    <row r="30" spans="1:42" x14ac:dyDescent="0.2">
      <c r="A30" s="316">
        <v>3</v>
      </c>
      <c r="B30" s="488" t="s">
        <v>309</v>
      </c>
      <c r="C30" s="318">
        <v>5</v>
      </c>
      <c r="D30" s="492">
        <v>6</v>
      </c>
      <c r="E30" s="319"/>
      <c r="F30" s="318">
        <v>13</v>
      </c>
      <c r="G30" s="318"/>
      <c r="H30" s="317" t="str">
        <f>(IF(C30-E28&gt;0,1)+IF(D30-E29&gt;0,1)+IF(F30-E31&gt;0,1)+IF(G30-E32&gt;0,1))&amp;"-"&amp;(IF(C30-E28&lt;0,1)+IF(D30-E29&lt;0,1)+IF(F30-E31&lt;0,1)+IF(G30-E32&lt;0,1))</f>
        <v>1-2</v>
      </c>
      <c r="I30" s="318" t="str">
        <f t="shared" si="8"/>
        <v>D3</v>
      </c>
      <c r="J30" s="489">
        <f>IF(AND(Q30=1,Q28=1,C30&gt;E28),1)+IF(AND(Q30=1,Q29=1,D30&gt;E29),1)+IF(AND(Q30=1,Q31=1,F30&gt;E31),1)+IF(AND(Q30=1,Q32=1,G30&gt;E32),1)+IF(AND(Q30=2,Q28=2,C30&gt;E28),1)+IF(AND(Q30=2,Q29=2,D30&gt;E29),1)+IF(AND(Q30=2,Q31=2,F30&gt;E31),1)+IF(AND(Q30=2,Q32=2,G30&gt;E32),1)+IF(AND(Q30=3,Q28=3,C30&gt;E28),1)+IF(AND(Q30=3,Q29=3,D30&gt;E29),1)+IF(AND(Q30=3,Q31=3,F30&gt;E31),1)+IF(AND(Q30=3,Q32=3,G30&gt;E32),1)</f>
        <v>0</v>
      </c>
      <c r="K30" s="483">
        <f>SUM(AND(T30=T28,C30&gt;E28),AND(T30=T29,D30&gt;E29),AND(T30=T31,F30&gt;E31),AND(T30=T32,G30&gt;E32))</f>
        <v>0</v>
      </c>
      <c r="L30" s="490">
        <f>IF(AND(Q30=1,Q28=1),C30-E28)+IF(AND(Q30=1,Q29=1),D30-E29)+IF(AND(Q30=1,Q31=1),F30-E31)+IF(AND(Q30=1,Q32=1),G30-E32)+IF(AND(Q30=2,Q28=2),C30-E28)+IF(AND(Q30=2,Q29=2),D30-E29)+IF(AND(Q30=2,Q31=2),F30-E31)+IF(AND(Q30=2,Q32=2),G30-E32)+IF(AND(Q30=3,Q28=3),C30-E28)+IF(AND(Q30=3,Q29=3),D30-E29)+IF(AND(Q30=3,Q31=3),F30-E31)+IF(AND(Q30=3,Q32=3),G30-E32)+IF(AND(Q30=4,Q28=4),C30-E28)+IF(AND(Q30=4,Q29=4),D30-E29)+IF(AND(Q30=4,Q31=4),F30-E31)+IF(AND(Q30=4,Q32=4),G30-E32)</f>
        <v>0</v>
      </c>
      <c r="M30" s="483">
        <f>SUM(AND(R30=R28,C30&gt;E28),AND(R30=R29,D30&gt;E29),AND(R30=R31,F30&gt;E31),AND(R30=R32,G30&gt;E32))</f>
        <v>0</v>
      </c>
      <c r="N30" s="537" t="str">
        <f>SUM(C30:G30)&amp;"-"&amp;SUM(E28:E32)</f>
        <v>24-37</v>
      </c>
      <c r="O30" s="538">
        <f>C30+D30+F30+G30-E28-E29-E31-E32</f>
        <v>-13</v>
      </c>
      <c r="P30" s="485">
        <f>SUM(C30:G30,E28:E32)/SUM(E28:E32)</f>
        <v>1.6486486486486487</v>
      </c>
      <c r="Q30" s="491">
        <f>VALUE(LEFT(H30,1))</f>
        <v>1</v>
      </c>
      <c r="R30" s="321">
        <f>Q30*100000+J30*10000+K30*1000+100*L30</f>
        <v>100000</v>
      </c>
      <c r="S30" s="486">
        <f>R30+M30*0.1+IF(ISNONTEXT(B30),0,0.01)+0.0001*O30</f>
        <v>100000.00869999999</v>
      </c>
      <c r="T30" s="487" t="str">
        <f>Q30&amp;J30</f>
        <v>10</v>
      </c>
      <c r="U30" s="477"/>
      <c r="V30" s="477"/>
      <c r="W30" s="477"/>
      <c r="X30" s="477"/>
      <c r="Y30" s="477"/>
      <c r="Z30" s="477"/>
      <c r="AA30" s="477"/>
      <c r="AB30" s="477"/>
      <c r="AC30" s="477"/>
      <c r="AD30" s="405">
        <f t="shared" si="0"/>
        <v>224</v>
      </c>
      <c r="AE30" s="406">
        <f>IFERROR(INDEX(V!$R:$R,MATCH(AF30,V!$L:$L,0)),"")</f>
        <v>112</v>
      </c>
      <c r="AF30" s="407" t="str">
        <f t="shared" si="1"/>
        <v>Ljudmila Varendi</v>
      </c>
      <c r="AG30" s="406">
        <f>IFERROR(INDEX(V!$R:$R,MATCH(AH30,V!$L:$L,0)),"")</f>
        <v>112</v>
      </c>
      <c r="AH30" s="407" t="str">
        <f t="shared" si="2"/>
        <v>Viktor Švarõgin</v>
      </c>
      <c r="AI30" s="406" t="str">
        <f>IFERROR(INDEX(V!$R:$R,MATCH(AJ30,V!$L:$L,0)),"")</f>
        <v/>
      </c>
      <c r="AJ30" s="407" t="str">
        <f t="shared" si="3"/>
        <v/>
      </c>
      <c r="AK30" s="406" t="str">
        <f>IFERROR(INDEX(V!$R:$R,MATCH(AL30,V!$L:$L,0)),"")</f>
        <v/>
      </c>
      <c r="AL30" s="407" t="str">
        <f t="shared" si="4"/>
        <v/>
      </c>
      <c r="AM30" s="406" t="str">
        <f>IFERROR(INDEX(V!$R:$R,MATCH(AN30,V!$L:$L,0)),"")</f>
        <v/>
      </c>
      <c r="AN30" s="407" t="str">
        <f t="shared" si="5"/>
        <v/>
      </c>
      <c r="AO30" s="406" t="str">
        <f>IFERROR(INDEX(V!$R:$R,MATCH(AP30,V!$L:$L,0)),"")</f>
        <v/>
      </c>
      <c r="AP30" s="407" t="str">
        <f t="shared" si="6"/>
        <v/>
      </c>
    </row>
    <row r="31" spans="1:42" x14ac:dyDescent="0.2">
      <c r="A31" s="316">
        <v>4</v>
      </c>
      <c r="B31" s="493" t="s">
        <v>385</v>
      </c>
      <c r="C31" s="318">
        <v>10</v>
      </c>
      <c r="D31" s="492">
        <v>1</v>
      </c>
      <c r="E31" s="318">
        <v>11</v>
      </c>
      <c r="F31" s="319"/>
      <c r="G31" s="511"/>
      <c r="H31" s="317" t="str">
        <f>(IF(C31-F28&gt;0,1)+IF(D31-F29&gt;0,1)+IF(E31-F30&gt;0,1)+IF(G31-F32&gt;0,1))&amp;"-"&amp;(IF(C31-F28&lt;0,1)+IF(D31-F29&lt;0,1)+IF(E31-F30&lt;0,1)+IF(G31-F32&lt;0,1))</f>
        <v>0-3</v>
      </c>
      <c r="I31" s="318" t="str">
        <f t="shared" si="8"/>
        <v>D4</v>
      </c>
      <c r="J31" s="489">
        <f>IF(AND(Q31=1,Q28=1,C31&gt;F28),1)+IF(AND(Q31=1,Q29=1,D31&gt;F29),1)+IF(AND(Q31=1,Q30=1,E31&gt;F30),1)+IF(AND(Q31=1,Q32=1,G31&gt;F32),1)+IF(AND(Q31=2,Q28=2,C31&gt;F28),1)+IF(AND(Q31=2,Q29=2,D31&gt;F29),1)+IF(AND(Q31=2,Q30=2,E31&gt;F30),1)+IF(AND(Q31=2,Q32=2,G31&gt;F32),1)+IF(AND(Q31=3,Q28=3,C31&gt;F28),1)+IF(AND(Q31=3,Q29=3,D31&gt;F29),1)+IF(AND(Q31=3,Q30=3,E31&gt;F30),1)+IF(AND(Q31=3,Q32=3,G31&gt;F32),1)</f>
        <v>0</v>
      </c>
      <c r="K31" s="483">
        <f>SUM(AND(T31=T28,C31&gt;F28),AND(T31=T29,D31&gt;F29),AND(T31=T30,E31&gt;F30),AND(T31=T32,G31&gt;F32))</f>
        <v>0</v>
      </c>
      <c r="L31" s="490">
        <f>IF(AND(Q31=1,Q28=1),C31-F28)+IF(AND(Q31=1,Q29=1),D31-F29)+IF(AND(Q31=1,Q30=1),E31-F30)+IF(AND(Q31=1,Q32=1),G31-F32)+IF(AND(Q31=2,Q28=2),C31-F28)+IF(AND(Q31=2,Q29=2),D31-F29)+IF(AND(Q31=2,Q30=2),E31-F30)+IF(AND(Q31=2,Q32=2),G31-F32)+IF(AND(Q31=3,Q28=3),C31-F28)+IF(AND(Q31=3,Q29=3),D31-F29)+IF(AND(Q31=3,Q30=3),E31-F30)+IF(AND(Q31=3,Q32=3),G31-F32)+IF(AND(Q31=4,Q28=4),C31-F28)+IF(AND(Q31=4,Q29=4),D31-F29)+IF(AND(Q31=4,Q30=4),E31-F30)+IF(AND(Q31=4,Q32=4),G31-F32)</f>
        <v>0</v>
      </c>
      <c r="M31" s="483">
        <f>SUM(AND(R31=R28,C31&gt;F28),AND(R31=R29,D31&gt;F29),AND(R31=R30,E31&gt;F30),AND(R31=R32,G31&gt;F32))</f>
        <v>0</v>
      </c>
      <c r="N31" s="537" t="str">
        <f>SUM(C31:G31)&amp;"-"&amp;SUM(F28:F32)</f>
        <v>22-39</v>
      </c>
      <c r="O31" s="538">
        <f>C31+D31+E31+G31-F28-F29-F30-F32</f>
        <v>-17</v>
      </c>
      <c r="P31" s="485">
        <f>SUM(C31:G31,F28:F32)/SUM(F28:F32)</f>
        <v>1.5641025641025641</v>
      </c>
      <c r="Q31" s="491">
        <f>VALUE(LEFT(H31,1))</f>
        <v>0</v>
      </c>
      <c r="R31" s="321">
        <f>Q31*100000+J31*10000+K31*1000+100*L31</f>
        <v>0</v>
      </c>
      <c r="S31" s="486">
        <f>R31+M31*0.1+IF(ISNONTEXT(B31),0,0.01)+0.0001*O31</f>
        <v>8.3000000000000001E-3</v>
      </c>
      <c r="T31" s="487" t="str">
        <f>Q31&amp;J31</f>
        <v>00</v>
      </c>
      <c r="U31" s="477"/>
      <c r="V31" s="477"/>
      <c r="W31" s="477"/>
      <c r="X31" s="477"/>
      <c r="Y31" s="477"/>
      <c r="Z31" s="477"/>
      <c r="AA31" s="477"/>
      <c r="AB31" s="477"/>
      <c r="AC31" s="477"/>
      <c r="AD31" s="405">
        <f t="shared" si="0"/>
        <v>43</v>
      </c>
      <c r="AE31" s="406">
        <f>IFERROR(INDEX(V!$R:$R,MATCH(AF31,V!$L:$L,0)),"")</f>
        <v>18</v>
      </c>
      <c r="AF31" s="407" t="str">
        <f t="shared" si="1"/>
        <v>Margus Vasser</v>
      </c>
      <c r="AG31" s="406">
        <f>IFERROR(INDEX(V!$R:$R,MATCH(AH31,V!$L:$L,0)),"")</f>
        <v>25</v>
      </c>
      <c r="AH31" s="407" t="str">
        <f t="shared" si="2"/>
        <v>Vello Vasser</v>
      </c>
      <c r="AI31" s="406" t="str">
        <f>IFERROR(INDEX(V!$R:$R,MATCH(AJ31,V!$L:$L,0)),"")</f>
        <v/>
      </c>
      <c r="AJ31" s="407" t="str">
        <f t="shared" si="3"/>
        <v/>
      </c>
      <c r="AK31" s="406" t="str">
        <f>IFERROR(INDEX(V!$R:$R,MATCH(AL31,V!$L:$L,0)),"")</f>
        <v/>
      </c>
      <c r="AL31" s="407" t="str">
        <f t="shared" si="4"/>
        <v/>
      </c>
      <c r="AM31" s="406" t="str">
        <f>IFERROR(INDEX(V!$R:$R,MATCH(AN31,V!$L:$L,0)),"")</f>
        <v/>
      </c>
      <c r="AN31" s="407" t="str">
        <f t="shared" si="5"/>
        <v/>
      </c>
      <c r="AO31" s="406" t="str">
        <f>IFERROR(INDEX(V!$R:$R,MATCH(AP31,V!$L:$L,0)),"")</f>
        <v/>
      </c>
      <c r="AP31" s="407" t="str">
        <f t="shared" si="6"/>
        <v/>
      </c>
    </row>
    <row r="32" spans="1:42" hidden="1" x14ac:dyDescent="0.2">
      <c r="A32" s="316">
        <v>5</v>
      </c>
      <c r="B32" s="493"/>
      <c r="C32" s="318"/>
      <c r="D32" s="318"/>
      <c r="E32" s="318"/>
      <c r="F32" s="318"/>
      <c r="G32" s="319"/>
      <c r="H32" s="317" t="str">
        <f>(IF(C32-G28&gt;0,1)+IF(D32-G29&gt;0,1)+IF(E32-G30&gt;0,1)+IF(F32-G31&gt;0,1))&amp;"-"&amp;(IF(C32-G28&lt;0,1)+IF(D32-G29&lt;0,1)+IF(E32-G30&lt;0,1)+IF(F32-G31&lt;0,1))</f>
        <v>0-0</v>
      </c>
      <c r="I32" s="318" t="str">
        <f t="shared" si="8"/>
        <v xml:space="preserve"> </v>
      </c>
      <c r="J32" s="489">
        <f>IF(AND(Q32=1,Q28=1,C32&gt;G28),1)+IF(AND(Q32=1,Q29=1,D32&gt;G29),1)+IF(AND(Q32=1,Q30=1,E32&gt;G30),1)+IF(AND(Q32=1,Q31=1,F32&gt;G31),1)+IF(AND(Q32=2,Q28=2,C32&gt;G28),1)+IF(AND(Q32=2,Q29=2,D32&gt;G29),1)+IF(AND(Q32=2,Q30=2,E32&gt;G30),1)+IF(AND(Q32=2,Q31=2,F32&gt;G31),1)+IF(AND(Q32=3,Q28=3,C32&gt;G28),1)+IF(AND(Q32=3,Q29=3,D32&gt;G29),1)+IF(AND(Q32=3,Q30=3,E32&gt;G30),1)+IF(AND(Q32=3,Q31=3,F32&gt;G31),1)</f>
        <v>0</v>
      </c>
      <c r="K32" s="483">
        <f>SUM(AND(T32=T28,C32&gt;G28),AND(T32=T29,D32&gt;G29),AND(T32=T30,E32&gt;G30),AND(T32=T31,F32&gt;G31))</f>
        <v>0</v>
      </c>
      <c r="L32" s="490">
        <f>IF(AND(Q32=1,Q28=1),C32-G28)+IF(AND(Q32=1,Q29=1),D32-G29)+IF(AND(Q32=1,Q30=1),E32-G30)+IF(AND(Q32=1,Q31=1),F32-G31)+IF(AND(Q32=2,Q28=2),C32-G28)+IF(AND(Q32=2,Q29=2),D32-G29)+IF(AND(Q32=2,Q30=2),E32-G30)+IF(AND(Q32=2,Q31=2),F32-G31)+IF(AND(Q32=3,Q28=3),C32-G28)+IF(AND(Q32=3,Q29=3),D32-G29)+IF(AND(Q32=3,Q30=3),E32-G30)+IF(AND(Q32=3,Q31=3),F32-G31)+IF(AND(Q32=4,Q28=4),C32-G28)+IF(AND(Q32=4,Q29=4),D32-G29)+IF(AND(Q32=4,Q30=4),E32-G30)+IF(AND(Q32=4,Q31=4),F32-G31)</f>
        <v>0</v>
      </c>
      <c r="M32" s="483">
        <f>SUM(AND(R32=R28,C32&gt;G28),AND(R32=R29,D32&gt;G29),AND(R32=R30,E32&gt;G30),AND(R32=R31,F32&gt;G31))</f>
        <v>0</v>
      </c>
      <c r="N32" s="537" t="str">
        <f>SUM(C32:G32)&amp;"-"&amp;SUM(G28:G32)</f>
        <v>0-0</v>
      </c>
      <c r="O32" s="538">
        <f>C32+D32+E32+F32-G28-G29-G30-G31</f>
        <v>0</v>
      </c>
      <c r="P32" s="485" t="e">
        <f>SUM(C32:G32,G28:G32)/SUM(G28:G32)</f>
        <v>#DIV/0!</v>
      </c>
      <c r="Q32" s="491">
        <f>VALUE(LEFT(H32,1))</f>
        <v>0</v>
      </c>
      <c r="R32" s="321">
        <f>Q32*100000+J32*10000+K32*1000+100*L32</f>
        <v>0</v>
      </c>
      <c r="S32" s="486">
        <f>R32+M32*0.1+IF(ISNONTEXT(B32),0,0.01)+0.0001*O32</f>
        <v>0</v>
      </c>
      <c r="T32" s="487" t="str">
        <f>Q32&amp;J32</f>
        <v>00</v>
      </c>
      <c r="U32" s="477"/>
      <c r="V32" s="477"/>
      <c r="W32" s="477"/>
      <c r="X32" s="477"/>
      <c r="Y32" s="477"/>
      <c r="Z32" s="477"/>
      <c r="AA32" s="477"/>
      <c r="AB32" s="477"/>
      <c r="AC32" s="477"/>
    </row>
    <row r="33" spans="1:29" hidden="1" x14ac:dyDescent="0.2">
      <c r="A33" s="494"/>
      <c r="B33" s="519"/>
      <c r="C33" s="499"/>
      <c r="D33" s="499"/>
      <c r="E33" s="499"/>
      <c r="F33" s="496"/>
      <c r="G33" s="499"/>
      <c r="H33" s="520"/>
      <c r="I33" s="521"/>
      <c r="J33" s="477"/>
      <c r="K33" s="477"/>
      <c r="L33" s="477"/>
      <c r="M33" s="477"/>
      <c r="N33" s="539"/>
      <c r="O33" s="539"/>
      <c r="P33" s="477"/>
      <c r="Q33" s="477"/>
      <c r="R33" s="502" t="s">
        <v>264</v>
      </c>
      <c r="S33" s="477"/>
      <c r="T33" s="477"/>
      <c r="U33" s="477"/>
      <c r="V33" s="477"/>
      <c r="W33" s="477"/>
      <c r="X33" s="477"/>
      <c r="Y33" s="477"/>
      <c r="Z33" s="477"/>
      <c r="AA33" s="477"/>
      <c r="AB33" s="477"/>
      <c r="AC33" s="477"/>
    </row>
    <row r="34" spans="1:29" hidden="1" x14ac:dyDescent="0.2">
      <c r="A34" s="477"/>
      <c r="B34" s="477"/>
      <c r="C34" s="477"/>
      <c r="D34" s="477"/>
      <c r="E34" s="477"/>
      <c r="F34" s="477"/>
      <c r="G34" s="477"/>
      <c r="H34" s="477"/>
      <c r="I34" s="477"/>
      <c r="J34" s="477"/>
      <c r="K34" s="477"/>
      <c r="L34" s="477"/>
      <c r="M34" s="477"/>
      <c r="N34" s="477"/>
      <c r="O34" s="477"/>
      <c r="P34" s="477"/>
      <c r="Q34" s="477"/>
      <c r="R34" s="477"/>
      <c r="S34" s="477"/>
      <c r="T34" s="477"/>
      <c r="U34" s="477"/>
      <c r="V34" s="477"/>
      <c r="W34" s="477"/>
      <c r="X34" s="477"/>
      <c r="Y34" s="477"/>
      <c r="Z34" s="477"/>
      <c r="AA34" s="477"/>
      <c r="AB34" s="477"/>
      <c r="AC34" s="477"/>
    </row>
    <row r="35" spans="1:29" hidden="1" x14ac:dyDescent="0.2">
      <c r="A35" s="477"/>
      <c r="B35" s="477"/>
      <c r="C35" s="477"/>
      <c r="D35" s="477"/>
      <c r="E35" s="477"/>
      <c r="F35" s="477"/>
      <c r="G35" s="477"/>
      <c r="H35" s="477"/>
      <c r="I35" s="477"/>
      <c r="J35" s="477"/>
      <c r="K35" s="477"/>
      <c r="L35" s="477"/>
      <c r="M35" s="477"/>
      <c r="N35" s="477"/>
      <c r="O35" s="477"/>
      <c r="P35" s="477"/>
      <c r="Q35" s="477"/>
      <c r="R35" s="477"/>
      <c r="S35" s="477"/>
      <c r="T35" s="477"/>
      <c r="U35" s="477"/>
      <c r="V35" s="477"/>
      <c r="W35" s="477"/>
      <c r="X35" s="477"/>
      <c r="Y35" s="477"/>
      <c r="Z35" s="477"/>
      <c r="AA35" s="477"/>
      <c r="AB35" s="477"/>
      <c r="AC35" s="477"/>
    </row>
    <row r="36" spans="1:29" hidden="1" x14ac:dyDescent="0.2">
      <c r="A36" s="477"/>
      <c r="B36" s="477"/>
      <c r="C36" s="477"/>
      <c r="D36" s="477"/>
      <c r="E36" s="477"/>
      <c r="F36" s="477"/>
      <c r="G36" s="477"/>
      <c r="H36" s="477"/>
      <c r="I36" s="477"/>
      <c r="J36" s="477"/>
      <c r="K36" s="477"/>
      <c r="L36" s="477"/>
      <c r="M36" s="477"/>
      <c r="N36" s="477"/>
      <c r="O36" s="477"/>
      <c r="P36" s="477"/>
      <c r="Q36" s="477"/>
      <c r="R36" s="477"/>
      <c r="S36" s="477"/>
      <c r="T36" s="477"/>
      <c r="U36" s="477"/>
      <c r="V36" s="477"/>
      <c r="W36" s="477"/>
      <c r="X36" s="477"/>
      <c r="Y36" s="477"/>
      <c r="Z36" s="477"/>
      <c r="AA36" s="477"/>
      <c r="AB36" s="477"/>
      <c r="AC36" s="477"/>
    </row>
    <row r="37" spans="1:29" hidden="1" x14ac:dyDescent="0.2">
      <c r="A37" s="477"/>
      <c r="B37" s="477"/>
      <c r="C37" s="477"/>
      <c r="D37" s="477"/>
      <c r="E37" s="477"/>
      <c r="F37" s="477"/>
      <c r="G37" s="477"/>
      <c r="H37" s="477"/>
      <c r="I37" s="477"/>
      <c r="J37" s="477"/>
      <c r="K37" s="477"/>
      <c r="L37" s="477"/>
      <c r="M37" s="477"/>
      <c r="N37" s="477"/>
      <c r="O37" s="477"/>
      <c r="P37" s="477"/>
      <c r="Q37" s="477"/>
      <c r="R37" s="477"/>
      <c r="S37" s="477"/>
      <c r="T37" s="477"/>
      <c r="U37" s="477"/>
      <c r="V37" s="477"/>
      <c r="W37" s="477"/>
      <c r="X37" s="477"/>
      <c r="Y37" s="477"/>
      <c r="Z37" s="477"/>
      <c r="AA37" s="477"/>
      <c r="AB37" s="477"/>
      <c r="AC37" s="477"/>
    </row>
    <row r="38" spans="1:29" hidden="1" x14ac:dyDescent="0.2">
      <c r="A38" s="477"/>
      <c r="B38" s="477"/>
      <c r="C38" s="477"/>
      <c r="D38" s="477"/>
      <c r="E38" s="477"/>
      <c r="F38" s="477"/>
      <c r="G38" s="477"/>
      <c r="H38" s="477"/>
      <c r="I38" s="477"/>
      <c r="J38" s="477"/>
      <c r="K38" s="477"/>
      <c r="L38" s="477"/>
      <c r="M38" s="477"/>
      <c r="N38" s="477"/>
      <c r="O38" s="477"/>
      <c r="P38" s="477"/>
      <c r="Q38" s="477"/>
      <c r="R38" s="477"/>
      <c r="S38" s="477"/>
      <c r="T38" s="477"/>
      <c r="U38" s="477"/>
      <c r="V38" s="477"/>
      <c r="W38" s="477"/>
      <c r="X38" s="477"/>
      <c r="Y38" s="477"/>
      <c r="Z38" s="477"/>
      <c r="AA38" s="477"/>
      <c r="AB38" s="477"/>
      <c r="AC38" s="477"/>
    </row>
    <row r="39" spans="1:29" hidden="1" x14ac:dyDescent="0.2">
      <c r="A39" s="477"/>
      <c r="B39" s="477"/>
      <c r="C39" s="477"/>
      <c r="D39" s="477"/>
      <c r="E39" s="477"/>
      <c r="F39" s="477"/>
      <c r="G39" s="477"/>
      <c r="H39" s="477"/>
      <c r="I39" s="477"/>
      <c r="J39" s="477"/>
      <c r="K39" s="477"/>
      <c r="L39" s="477"/>
      <c r="M39" s="477"/>
      <c r="N39" s="477"/>
      <c r="O39" s="477"/>
      <c r="P39" s="477"/>
      <c r="Q39" s="477"/>
      <c r="R39" s="477"/>
      <c r="S39" s="477"/>
      <c r="T39" s="477"/>
      <c r="U39" s="477"/>
      <c r="V39" s="477"/>
      <c r="W39" s="477"/>
      <c r="X39" s="477"/>
      <c r="Y39" s="477"/>
      <c r="Z39" s="477"/>
      <c r="AA39" s="477"/>
      <c r="AB39" s="477"/>
      <c r="AC39" s="477"/>
    </row>
    <row r="40" spans="1:29" hidden="1" x14ac:dyDescent="0.2">
      <c r="A40" s="477"/>
      <c r="B40" s="477"/>
      <c r="C40" s="477"/>
      <c r="D40" s="477"/>
      <c r="E40" s="477"/>
      <c r="F40" s="477"/>
      <c r="G40" s="477"/>
      <c r="H40" s="477"/>
      <c r="I40" s="477"/>
      <c r="J40" s="477"/>
      <c r="K40" s="477"/>
      <c r="L40" s="477"/>
      <c r="M40" s="477"/>
      <c r="N40" s="477"/>
      <c r="O40" s="477"/>
      <c r="P40" s="477"/>
      <c r="Q40" s="477"/>
      <c r="R40" s="477"/>
      <c r="S40" s="477"/>
      <c r="T40" s="477"/>
      <c r="U40" s="477"/>
      <c r="V40" s="477"/>
      <c r="W40" s="477"/>
      <c r="X40" s="477"/>
      <c r="Y40" s="477"/>
      <c r="Z40" s="477"/>
      <c r="AA40" s="477"/>
      <c r="AB40" s="477"/>
      <c r="AC40" s="477"/>
    </row>
    <row r="41" spans="1:29" hidden="1" x14ac:dyDescent="0.2">
      <c r="A41" s="477"/>
      <c r="B41" s="477"/>
      <c r="C41" s="477"/>
      <c r="D41" s="477"/>
      <c r="E41" s="477"/>
      <c r="F41" s="477"/>
      <c r="G41" s="477"/>
      <c r="H41" s="477"/>
      <c r="I41" s="477"/>
      <c r="J41" s="477"/>
      <c r="K41" s="477"/>
      <c r="L41" s="477"/>
      <c r="M41" s="477"/>
      <c r="N41" s="477"/>
      <c r="O41" s="477"/>
      <c r="P41" s="477"/>
      <c r="Q41" s="477"/>
      <c r="R41" s="477"/>
      <c r="S41" s="477"/>
      <c r="T41" s="477"/>
      <c r="U41" s="477"/>
      <c r="V41" s="477"/>
      <c r="W41" s="477"/>
      <c r="X41" s="477"/>
      <c r="Y41" s="477"/>
      <c r="Z41" s="477"/>
      <c r="AA41" s="477"/>
      <c r="AB41" s="477"/>
      <c r="AC41" s="477"/>
    </row>
    <row r="42" spans="1:29" hidden="1" x14ac:dyDescent="0.2">
      <c r="A42" s="477"/>
      <c r="B42" s="477"/>
      <c r="C42" s="477"/>
      <c r="D42" s="477"/>
      <c r="E42" s="477"/>
      <c r="F42" s="477"/>
      <c r="G42" s="477"/>
      <c r="H42" s="477"/>
      <c r="I42" s="477"/>
      <c r="J42" s="477"/>
      <c r="K42" s="477"/>
      <c r="L42" s="477"/>
      <c r="M42" s="477"/>
      <c r="N42" s="477"/>
      <c r="O42" s="477"/>
      <c r="P42" s="477"/>
      <c r="Q42" s="477"/>
      <c r="R42" s="477"/>
      <c r="S42" s="477"/>
      <c r="T42" s="477"/>
      <c r="U42" s="477"/>
      <c r="V42" s="477"/>
      <c r="W42" s="477"/>
      <c r="X42" s="477"/>
      <c r="Y42" s="477"/>
      <c r="Z42" s="477"/>
      <c r="AA42" s="477"/>
      <c r="AB42" s="477"/>
      <c r="AC42" s="477"/>
    </row>
    <row r="43" spans="1:29" hidden="1" x14ac:dyDescent="0.2">
      <c r="A43" s="477"/>
      <c r="B43" s="477"/>
      <c r="C43" s="477"/>
      <c r="D43" s="477"/>
      <c r="E43" s="477"/>
      <c r="F43" s="477"/>
      <c r="G43" s="477"/>
      <c r="H43" s="477"/>
      <c r="I43" s="477"/>
      <c r="J43" s="477"/>
      <c r="K43" s="477"/>
      <c r="L43" s="477"/>
      <c r="M43" s="477"/>
      <c r="N43" s="477"/>
      <c r="O43" s="477"/>
      <c r="P43" s="477"/>
      <c r="Q43" s="477"/>
      <c r="R43" s="477"/>
      <c r="S43" s="477"/>
      <c r="T43" s="477"/>
      <c r="U43" s="477"/>
      <c r="V43" s="477"/>
      <c r="W43" s="477"/>
      <c r="X43" s="477"/>
      <c r="Y43" s="477"/>
      <c r="Z43" s="477"/>
      <c r="AA43" s="477"/>
      <c r="AB43" s="477"/>
      <c r="AC43" s="477"/>
    </row>
    <row r="44" spans="1:29" hidden="1" x14ac:dyDescent="0.2">
      <c r="A44" s="477"/>
      <c r="B44" s="477"/>
      <c r="C44" s="477"/>
      <c r="D44" s="477"/>
      <c r="E44" s="477"/>
      <c r="F44" s="477"/>
      <c r="G44" s="477"/>
      <c r="H44" s="477"/>
      <c r="I44" s="477"/>
      <c r="J44" s="477"/>
      <c r="K44" s="477"/>
      <c r="L44" s="477"/>
      <c r="M44" s="477"/>
      <c r="N44" s="477"/>
      <c r="O44" s="477"/>
      <c r="P44" s="477"/>
      <c r="Q44" s="477"/>
      <c r="R44" s="477"/>
      <c r="S44" s="477"/>
      <c r="T44" s="477"/>
      <c r="U44" s="477"/>
      <c r="V44" s="477"/>
      <c r="W44" s="477"/>
      <c r="X44" s="477"/>
      <c r="Y44" s="477"/>
      <c r="Z44" s="477"/>
      <c r="AA44" s="477"/>
      <c r="AB44" s="477"/>
      <c r="AC44" s="477"/>
    </row>
    <row r="45" spans="1:29" hidden="1" x14ac:dyDescent="0.2">
      <c r="A45" s="477"/>
      <c r="B45" s="477"/>
      <c r="C45" s="477"/>
      <c r="D45" s="477"/>
      <c r="E45" s="477"/>
      <c r="F45" s="477"/>
      <c r="G45" s="477"/>
      <c r="H45" s="477"/>
      <c r="I45" s="477"/>
      <c r="J45" s="477"/>
      <c r="K45" s="477"/>
      <c r="L45" s="477"/>
      <c r="M45" s="477"/>
      <c r="N45" s="477"/>
      <c r="O45" s="477"/>
      <c r="P45" s="477"/>
      <c r="Q45" s="477"/>
      <c r="R45" s="477"/>
      <c r="S45" s="477"/>
      <c r="T45" s="477"/>
      <c r="U45" s="477"/>
      <c r="V45" s="477"/>
      <c r="W45" s="477"/>
      <c r="X45" s="477"/>
      <c r="Y45" s="477"/>
      <c r="Z45" s="477"/>
      <c r="AA45" s="477"/>
      <c r="AB45" s="477"/>
      <c r="AC45" s="477"/>
    </row>
    <row r="46" spans="1:29" hidden="1" x14ac:dyDescent="0.2">
      <c r="A46" s="477"/>
      <c r="B46" s="477"/>
      <c r="C46" s="477"/>
      <c r="D46" s="477"/>
      <c r="E46" s="477"/>
      <c r="F46" s="477"/>
      <c r="G46" s="477"/>
      <c r="H46" s="477"/>
      <c r="I46" s="477"/>
      <c r="J46" s="477"/>
      <c r="K46" s="477"/>
      <c r="L46" s="477"/>
      <c r="M46" s="477"/>
      <c r="N46" s="477"/>
      <c r="O46" s="477"/>
      <c r="P46" s="477"/>
      <c r="Q46" s="477"/>
      <c r="R46" s="477"/>
      <c r="S46" s="477"/>
      <c r="T46" s="477"/>
      <c r="U46" s="477"/>
      <c r="V46" s="477"/>
      <c r="W46" s="477"/>
      <c r="X46" s="477"/>
      <c r="Y46" s="477"/>
      <c r="Z46" s="477"/>
      <c r="AA46" s="477"/>
      <c r="AB46" s="477"/>
      <c r="AC46" s="477"/>
    </row>
    <row r="47" spans="1:29" hidden="1" x14ac:dyDescent="0.2">
      <c r="A47" s="477"/>
      <c r="B47" s="477"/>
      <c r="C47" s="477"/>
      <c r="D47" s="477"/>
      <c r="E47" s="477"/>
      <c r="F47" s="477"/>
      <c r="G47" s="477"/>
      <c r="H47" s="477"/>
      <c r="I47" s="477"/>
      <c r="J47" s="477"/>
      <c r="K47" s="477"/>
      <c r="L47" s="477"/>
      <c r="M47" s="477"/>
      <c r="N47" s="477"/>
      <c r="O47" s="477"/>
      <c r="P47" s="477"/>
      <c r="Q47" s="477"/>
      <c r="R47" s="477"/>
      <c r="S47" s="477"/>
      <c r="T47" s="477"/>
      <c r="U47" s="477"/>
      <c r="V47" s="477"/>
      <c r="W47" s="477"/>
      <c r="X47" s="477"/>
      <c r="Y47" s="477"/>
      <c r="Z47" s="477"/>
      <c r="AA47" s="477"/>
      <c r="AB47" s="477"/>
      <c r="AC47" s="477"/>
    </row>
    <row r="48" spans="1:29" hidden="1" x14ac:dyDescent="0.2">
      <c r="A48" s="477"/>
      <c r="B48" s="477"/>
      <c r="C48" s="477"/>
      <c r="D48" s="477"/>
      <c r="E48" s="477"/>
      <c r="F48" s="477"/>
      <c r="G48" s="477"/>
      <c r="H48" s="477"/>
      <c r="I48" s="477"/>
      <c r="J48" s="477"/>
      <c r="K48" s="477"/>
      <c r="L48" s="477"/>
      <c r="M48" s="477"/>
      <c r="N48" s="477"/>
      <c r="O48" s="477"/>
      <c r="P48" s="477"/>
      <c r="Q48" s="477"/>
      <c r="R48" s="477"/>
      <c r="S48" s="477"/>
      <c r="T48" s="477"/>
      <c r="U48" s="477"/>
      <c r="V48" s="477"/>
      <c r="W48" s="477"/>
      <c r="X48" s="477"/>
      <c r="Y48" s="477"/>
      <c r="Z48" s="477"/>
      <c r="AA48" s="477"/>
      <c r="AB48" s="477"/>
      <c r="AC48" s="477"/>
    </row>
    <row r="49" spans="1:29" hidden="1" x14ac:dyDescent="0.2">
      <c r="A49" s="477"/>
      <c r="B49" s="477"/>
      <c r="C49" s="477"/>
      <c r="D49" s="477"/>
      <c r="E49" s="477"/>
      <c r="F49" s="477"/>
      <c r="G49" s="477"/>
      <c r="H49" s="477"/>
      <c r="I49" s="477"/>
      <c r="J49" s="477"/>
      <c r="K49" s="477"/>
      <c r="L49" s="477"/>
      <c r="M49" s="477"/>
      <c r="N49" s="477"/>
      <c r="O49" s="477"/>
      <c r="P49" s="477"/>
      <c r="Q49" s="477"/>
      <c r="R49" s="477"/>
      <c r="S49" s="477"/>
      <c r="T49" s="477"/>
      <c r="U49" s="477"/>
      <c r="V49" s="477"/>
      <c r="W49" s="477"/>
      <c r="X49" s="477"/>
      <c r="Y49" s="477"/>
      <c r="Z49" s="477"/>
      <c r="AA49" s="477"/>
      <c r="AB49" s="477"/>
      <c r="AC49" s="477"/>
    </row>
    <row r="50" spans="1:29" hidden="1" x14ac:dyDescent="0.2">
      <c r="A50" s="477"/>
      <c r="B50" s="477"/>
      <c r="C50" s="477"/>
      <c r="D50" s="477"/>
      <c r="E50" s="477"/>
      <c r="F50" s="477"/>
      <c r="G50" s="477"/>
      <c r="H50" s="477"/>
      <c r="I50" s="477"/>
      <c r="J50" s="477"/>
      <c r="K50" s="477"/>
      <c r="L50" s="477"/>
      <c r="M50" s="477"/>
      <c r="N50" s="477"/>
      <c r="O50" s="477"/>
      <c r="P50" s="477"/>
      <c r="Q50" s="477"/>
      <c r="R50" s="477"/>
      <c r="S50" s="477"/>
      <c r="T50" s="477"/>
      <c r="U50" s="477"/>
      <c r="V50" s="477"/>
      <c r="W50" s="477"/>
      <c r="X50" s="477"/>
      <c r="Y50" s="477"/>
      <c r="Z50" s="477"/>
      <c r="AA50" s="477"/>
      <c r="AB50" s="477"/>
      <c r="AC50" s="477"/>
    </row>
    <row r="51" spans="1:29" hidden="1" x14ac:dyDescent="0.2">
      <c r="A51" s="477"/>
      <c r="B51" s="477"/>
      <c r="C51" s="477"/>
      <c r="D51" s="477"/>
      <c r="E51" s="477"/>
      <c r="F51" s="477"/>
      <c r="G51" s="477"/>
      <c r="H51" s="477"/>
      <c r="I51" s="477"/>
      <c r="J51" s="477"/>
      <c r="K51" s="477"/>
      <c r="L51" s="477"/>
      <c r="M51" s="477"/>
      <c r="N51" s="477"/>
      <c r="O51" s="477"/>
      <c r="P51" s="477"/>
      <c r="Q51" s="477"/>
      <c r="R51" s="477"/>
      <c r="S51" s="477"/>
      <c r="T51" s="477"/>
      <c r="U51" s="477"/>
      <c r="V51" s="477"/>
      <c r="W51" s="477"/>
      <c r="X51" s="477"/>
      <c r="Y51" s="477"/>
      <c r="Z51" s="477"/>
      <c r="AA51" s="477"/>
      <c r="AB51" s="477"/>
      <c r="AC51" s="477"/>
    </row>
    <row r="52" spans="1:29" hidden="1" x14ac:dyDescent="0.2">
      <c r="A52" s="477"/>
      <c r="B52" s="477"/>
      <c r="C52" s="477"/>
      <c r="D52" s="477"/>
      <c r="E52" s="477"/>
      <c r="F52" s="477"/>
      <c r="G52" s="477"/>
      <c r="H52" s="477"/>
      <c r="I52" s="477"/>
      <c r="J52" s="477"/>
      <c r="K52" s="477"/>
      <c r="L52" s="477"/>
      <c r="M52" s="477"/>
      <c r="N52" s="477"/>
      <c r="O52" s="477"/>
      <c r="P52" s="477"/>
      <c r="Q52" s="477"/>
      <c r="R52" s="477"/>
      <c r="S52" s="477"/>
      <c r="T52" s="477"/>
      <c r="U52" s="477"/>
      <c r="V52" s="477"/>
      <c r="W52" s="477"/>
      <c r="X52" s="477"/>
      <c r="Y52" s="477"/>
      <c r="Z52" s="477"/>
      <c r="AA52" s="477"/>
      <c r="AB52" s="477"/>
      <c r="AC52" s="477"/>
    </row>
    <row r="53" spans="1:29" hidden="1" x14ac:dyDescent="0.2">
      <c r="A53" s="477"/>
      <c r="B53" s="477"/>
      <c r="C53" s="477"/>
      <c r="D53" s="477"/>
      <c r="E53" s="477"/>
      <c r="F53" s="477"/>
      <c r="G53" s="477"/>
      <c r="H53" s="477"/>
      <c r="I53" s="477"/>
      <c r="J53" s="477"/>
      <c r="K53" s="477"/>
      <c r="L53" s="477"/>
      <c r="M53" s="477"/>
      <c r="N53" s="477"/>
      <c r="O53" s="477"/>
      <c r="P53" s="477"/>
      <c r="Q53" s="477"/>
      <c r="R53" s="477"/>
      <c r="S53" s="477"/>
      <c r="T53" s="477"/>
      <c r="U53" s="477"/>
      <c r="V53" s="477"/>
      <c r="W53" s="477"/>
      <c r="X53" s="477"/>
      <c r="Y53" s="477"/>
      <c r="Z53" s="477"/>
      <c r="AA53" s="477"/>
      <c r="AB53" s="477"/>
      <c r="AC53" s="477"/>
    </row>
    <row r="54" spans="1:29" hidden="1" x14ac:dyDescent="0.2">
      <c r="A54" s="477"/>
      <c r="B54" s="477"/>
      <c r="C54" s="477"/>
      <c r="D54" s="477"/>
      <c r="E54" s="477"/>
      <c r="F54" s="477"/>
      <c r="G54" s="477"/>
      <c r="H54" s="477"/>
      <c r="I54" s="477"/>
      <c r="J54" s="477"/>
      <c r="K54" s="477"/>
      <c r="L54" s="477"/>
      <c r="M54" s="477"/>
      <c r="N54" s="477"/>
      <c r="O54" s="477"/>
      <c r="P54" s="477"/>
      <c r="Q54" s="477"/>
      <c r="R54" s="477"/>
      <c r="S54" s="477"/>
      <c r="T54" s="477"/>
      <c r="U54" s="477"/>
      <c r="V54" s="477"/>
      <c r="W54" s="477"/>
      <c r="X54" s="477"/>
      <c r="Y54" s="477"/>
      <c r="Z54" s="477"/>
      <c r="AA54" s="477"/>
      <c r="AB54" s="477"/>
      <c r="AC54" s="477"/>
    </row>
    <row r="55" spans="1:29" hidden="1" x14ac:dyDescent="0.2">
      <c r="A55" s="477"/>
      <c r="B55" s="477"/>
      <c r="C55" s="477"/>
      <c r="D55" s="477"/>
      <c r="E55" s="477"/>
      <c r="F55" s="477"/>
      <c r="G55" s="477"/>
      <c r="H55" s="477"/>
      <c r="I55" s="477"/>
      <c r="J55" s="477"/>
      <c r="K55" s="477"/>
      <c r="L55" s="477"/>
      <c r="M55" s="477"/>
      <c r="N55" s="477"/>
      <c r="O55" s="477"/>
      <c r="P55" s="477"/>
      <c r="Q55" s="477"/>
      <c r="R55" s="477"/>
      <c r="S55" s="477"/>
      <c r="T55" s="477"/>
      <c r="U55" s="477"/>
      <c r="V55" s="477"/>
      <c r="W55" s="477"/>
      <c r="X55" s="477"/>
      <c r="Y55" s="477"/>
      <c r="Z55" s="477"/>
      <c r="AA55" s="477"/>
      <c r="AB55" s="477"/>
      <c r="AC55" s="477"/>
    </row>
    <row r="56" spans="1:29" hidden="1" x14ac:dyDescent="0.2">
      <c r="A56" s="477"/>
      <c r="B56" s="477"/>
      <c r="C56" s="477"/>
      <c r="D56" s="477"/>
      <c r="E56" s="477"/>
      <c r="F56" s="477"/>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row>
    <row r="57" spans="1:29" hidden="1" x14ac:dyDescent="0.2">
      <c r="A57" s="477"/>
      <c r="B57" s="477"/>
      <c r="C57" s="477"/>
      <c r="D57" s="477"/>
      <c r="E57" s="477"/>
      <c r="F57" s="477"/>
      <c r="G57" s="477"/>
      <c r="H57" s="477"/>
      <c r="I57" s="477"/>
      <c r="J57" s="477"/>
      <c r="K57" s="477"/>
      <c r="L57" s="477"/>
      <c r="M57" s="477"/>
      <c r="N57" s="477"/>
      <c r="O57" s="477"/>
      <c r="P57" s="477"/>
      <c r="Q57" s="477"/>
      <c r="R57" s="477"/>
      <c r="S57" s="477"/>
      <c r="T57" s="477"/>
      <c r="U57" s="477"/>
      <c r="V57" s="477"/>
      <c r="W57" s="477"/>
      <c r="X57" s="477"/>
      <c r="Y57" s="477"/>
      <c r="Z57" s="477"/>
      <c r="AA57" s="477"/>
      <c r="AB57" s="477"/>
      <c r="AC57" s="477"/>
    </row>
    <row r="58" spans="1:29" hidden="1" x14ac:dyDescent="0.2">
      <c r="A58" s="477"/>
      <c r="B58" s="477"/>
      <c r="C58" s="477"/>
      <c r="D58" s="477"/>
      <c r="E58" s="477"/>
      <c r="F58" s="477"/>
      <c r="G58" s="477"/>
      <c r="H58" s="477"/>
      <c r="I58" s="477"/>
      <c r="J58" s="477"/>
      <c r="K58" s="477"/>
      <c r="L58" s="477"/>
      <c r="M58" s="477"/>
      <c r="N58" s="477"/>
      <c r="O58" s="477"/>
      <c r="P58" s="477"/>
      <c r="Q58" s="477"/>
      <c r="R58" s="477"/>
      <c r="S58" s="477"/>
      <c r="T58" s="477"/>
      <c r="U58" s="477"/>
      <c r="V58" s="477"/>
      <c r="W58" s="477"/>
      <c r="X58" s="477"/>
      <c r="Y58" s="477"/>
      <c r="Z58" s="477"/>
      <c r="AA58" s="477"/>
      <c r="AB58" s="477"/>
      <c r="AC58" s="477"/>
    </row>
    <row r="59" spans="1:29" hidden="1" x14ac:dyDescent="0.2">
      <c r="A59" s="477"/>
      <c r="B59" s="477"/>
      <c r="C59" s="477"/>
      <c r="D59" s="477"/>
      <c r="E59" s="477"/>
      <c r="F59" s="477"/>
      <c r="G59" s="477"/>
      <c r="H59" s="477"/>
      <c r="I59" s="477"/>
      <c r="J59" s="477"/>
      <c r="K59" s="477"/>
      <c r="L59" s="477"/>
      <c r="M59" s="477"/>
      <c r="N59" s="477"/>
      <c r="O59" s="477"/>
      <c r="P59" s="477"/>
      <c r="Q59" s="477"/>
      <c r="R59" s="477"/>
      <c r="S59" s="477"/>
      <c r="T59" s="477"/>
      <c r="U59" s="477"/>
      <c r="V59" s="477"/>
      <c r="W59" s="477"/>
      <c r="X59" s="477"/>
      <c r="Y59" s="477"/>
      <c r="Z59" s="477"/>
      <c r="AA59" s="477"/>
      <c r="AB59" s="477"/>
      <c r="AC59" s="477"/>
    </row>
    <row r="60" spans="1:29" hidden="1" x14ac:dyDescent="0.2">
      <c r="A60" s="477"/>
      <c r="B60" s="477"/>
      <c r="C60" s="477"/>
      <c r="D60" s="477"/>
      <c r="E60" s="477"/>
      <c r="F60" s="477"/>
      <c r="G60" s="477"/>
      <c r="H60" s="477"/>
      <c r="I60" s="477"/>
      <c r="J60" s="477"/>
      <c r="K60" s="477"/>
      <c r="L60" s="477"/>
      <c r="M60" s="477"/>
      <c r="N60" s="477"/>
      <c r="O60" s="477"/>
      <c r="P60" s="477"/>
      <c r="Q60" s="477"/>
      <c r="R60" s="477"/>
      <c r="S60" s="477"/>
      <c r="T60" s="477"/>
      <c r="U60" s="477"/>
      <c r="V60" s="477"/>
      <c r="W60" s="477"/>
      <c r="X60" s="477"/>
      <c r="Y60" s="477"/>
      <c r="Z60" s="477"/>
      <c r="AA60" s="477"/>
      <c r="AB60" s="477"/>
      <c r="AC60" s="477"/>
    </row>
    <row r="61" spans="1:29" hidden="1" x14ac:dyDescent="0.2">
      <c r="A61" s="477"/>
      <c r="B61" s="477"/>
      <c r="C61" s="477"/>
      <c r="D61" s="477"/>
      <c r="E61" s="477"/>
      <c r="F61" s="477"/>
      <c r="G61" s="477"/>
      <c r="H61" s="477"/>
      <c r="I61" s="477"/>
      <c r="J61" s="477"/>
      <c r="K61" s="477"/>
      <c r="L61" s="477"/>
      <c r="M61" s="477"/>
      <c r="N61" s="477"/>
      <c r="O61" s="477"/>
      <c r="P61" s="477"/>
      <c r="Q61" s="477"/>
      <c r="R61" s="477"/>
      <c r="S61" s="477"/>
      <c r="T61" s="477"/>
      <c r="U61" s="477"/>
    </row>
    <row r="62" spans="1:29" hidden="1" x14ac:dyDescent="0.2">
      <c r="A62" s="79"/>
      <c r="B62" s="322" t="s">
        <v>171</v>
      </c>
      <c r="C62" s="283" t="s">
        <v>175</v>
      </c>
      <c r="D62" s="445"/>
      <c r="E62" s="79"/>
      <c r="F62" s="62"/>
      <c r="G62" s="79"/>
      <c r="H62" s="79"/>
      <c r="I62" s="79"/>
      <c r="J62" s="79"/>
      <c r="K62" s="62"/>
      <c r="L62" s="79"/>
      <c r="M62" s="62"/>
      <c r="N62" s="79"/>
      <c r="O62" s="299"/>
      <c r="P62" s="62"/>
      <c r="Q62" s="62"/>
      <c r="R62" s="62"/>
      <c r="S62" s="62"/>
      <c r="T62" s="62"/>
      <c r="U62" s="62"/>
    </row>
    <row r="63" spans="1:29" hidden="1" x14ac:dyDescent="0.2">
      <c r="A63" s="79"/>
      <c r="B63" s="322" t="s">
        <v>174</v>
      </c>
      <c r="C63" s="283" t="s">
        <v>191</v>
      </c>
      <c r="D63" s="79"/>
      <c r="E63" s="79"/>
      <c r="F63" s="62"/>
      <c r="G63" s="79"/>
      <c r="H63" s="79"/>
      <c r="I63" s="79"/>
      <c r="J63" s="79"/>
      <c r="K63" s="62"/>
      <c r="L63" s="79"/>
      <c r="M63" s="62"/>
      <c r="N63" s="79"/>
      <c r="O63" s="299"/>
      <c r="P63" s="62"/>
      <c r="Q63" s="62"/>
      <c r="R63" s="62"/>
      <c r="S63" s="62"/>
      <c r="T63" s="62"/>
      <c r="U63" s="62"/>
    </row>
    <row r="64" spans="1:29" hidden="1" x14ac:dyDescent="0.2">
      <c r="A64" s="79"/>
      <c r="B64" s="322" t="s">
        <v>177</v>
      </c>
      <c r="C64" s="283" t="s">
        <v>183</v>
      </c>
      <c r="D64" s="79"/>
      <c r="E64" s="79"/>
      <c r="F64" s="62"/>
      <c r="G64" s="79"/>
      <c r="H64" s="79"/>
      <c r="I64" s="79"/>
      <c r="J64" s="79"/>
      <c r="K64" s="62"/>
      <c r="L64" s="79"/>
      <c r="M64" s="62"/>
      <c r="N64" s="79"/>
      <c r="O64" s="299"/>
      <c r="P64" s="62"/>
      <c r="Q64" s="62"/>
      <c r="R64" s="62"/>
      <c r="S64" s="62"/>
      <c r="T64" s="62"/>
      <c r="U64" s="62"/>
    </row>
    <row r="65" spans="1:21" x14ac:dyDescent="0.2">
      <c r="A65" s="79"/>
      <c r="B65" s="79"/>
      <c r="C65" s="79"/>
      <c r="D65" s="79"/>
      <c r="E65" s="79"/>
      <c r="F65" s="79"/>
      <c r="G65" s="79"/>
      <c r="H65" s="79"/>
      <c r="I65" s="79"/>
      <c r="J65" s="79"/>
      <c r="K65" s="62"/>
      <c r="L65" s="79"/>
      <c r="M65" s="62"/>
      <c r="N65" s="79"/>
      <c r="O65" s="299"/>
      <c r="P65" s="62"/>
      <c r="Q65" s="62"/>
      <c r="R65" s="62"/>
      <c r="S65" s="62"/>
      <c r="T65" s="62"/>
      <c r="U65" s="62"/>
    </row>
    <row r="66" spans="1:21" x14ac:dyDescent="0.2">
      <c r="A66" s="79"/>
      <c r="B66" s="322" t="s">
        <v>171</v>
      </c>
      <c r="C66" s="283" t="s">
        <v>184</v>
      </c>
      <c r="D66" s="283" t="s">
        <v>183</v>
      </c>
      <c r="E66" s="79"/>
      <c r="F66" s="79"/>
      <c r="G66" s="79"/>
      <c r="H66" s="79"/>
      <c r="I66" s="79"/>
      <c r="J66" s="79"/>
      <c r="K66" s="62"/>
      <c r="L66" s="79"/>
      <c r="M66" s="62"/>
      <c r="N66" s="79"/>
      <c r="O66" s="299"/>
      <c r="P66" s="62"/>
      <c r="Q66" s="62"/>
      <c r="R66" s="62"/>
      <c r="S66" s="62"/>
      <c r="T66" s="62"/>
      <c r="U66" s="62"/>
    </row>
    <row r="67" spans="1:21" x14ac:dyDescent="0.2">
      <c r="A67" s="79"/>
      <c r="B67" s="322" t="s">
        <v>174</v>
      </c>
      <c r="C67" s="283" t="s">
        <v>175</v>
      </c>
      <c r="D67" s="283" t="s">
        <v>173</v>
      </c>
      <c r="E67" s="79"/>
      <c r="F67" s="79"/>
      <c r="G67" s="79"/>
      <c r="H67" s="79"/>
      <c r="I67" s="79"/>
      <c r="J67" s="79"/>
      <c r="K67" s="62"/>
      <c r="L67" s="79"/>
      <c r="M67" s="62"/>
      <c r="N67" s="79"/>
      <c r="O67" s="299"/>
      <c r="P67" s="62"/>
      <c r="Q67" s="62"/>
      <c r="R67" s="62"/>
      <c r="S67" s="62"/>
      <c r="T67" s="62"/>
      <c r="U67" s="62"/>
    </row>
    <row r="68" spans="1:21" x14ac:dyDescent="0.2">
      <c r="A68" s="79"/>
      <c r="B68" s="322" t="s">
        <v>177</v>
      </c>
      <c r="C68" s="283" t="s">
        <v>191</v>
      </c>
      <c r="D68" s="283" t="s">
        <v>179</v>
      </c>
      <c r="E68" s="79"/>
      <c r="F68" s="79"/>
      <c r="G68" s="79"/>
      <c r="H68" s="79"/>
      <c r="I68" s="79"/>
      <c r="J68" s="79"/>
      <c r="K68" s="62"/>
      <c r="L68" s="79"/>
      <c r="M68" s="62"/>
      <c r="N68" s="79"/>
      <c r="O68" s="299"/>
      <c r="P68" s="62"/>
      <c r="Q68" s="62"/>
      <c r="R68" s="62"/>
      <c r="S68" s="62"/>
      <c r="T68" s="62"/>
      <c r="U68" s="62"/>
    </row>
    <row r="69" spans="1:21" hidden="1" x14ac:dyDescent="0.2">
      <c r="A69" s="79"/>
      <c r="B69" s="330"/>
      <c r="C69" s="140"/>
      <c r="D69" s="140"/>
      <c r="E69" s="79"/>
      <c r="F69" s="79"/>
      <c r="G69" s="79"/>
      <c r="H69" s="79"/>
      <c r="I69" s="79"/>
      <c r="J69" s="79"/>
      <c r="K69" s="62"/>
      <c r="L69" s="79"/>
      <c r="M69" s="62"/>
      <c r="N69" s="79"/>
      <c r="O69" s="299"/>
      <c r="P69" s="62"/>
      <c r="Q69" s="62"/>
      <c r="R69" s="62"/>
      <c r="S69" s="62"/>
      <c r="T69" s="62"/>
      <c r="U69" s="62"/>
    </row>
    <row r="70" spans="1:21" hidden="1" x14ac:dyDescent="0.2">
      <c r="A70" s="79"/>
      <c r="B70" s="322" t="s">
        <v>171</v>
      </c>
      <c r="C70" s="283" t="s">
        <v>172</v>
      </c>
      <c r="D70" s="283" t="s">
        <v>173</v>
      </c>
      <c r="E70" s="79"/>
      <c r="F70" s="62"/>
      <c r="G70" s="62"/>
      <c r="H70" s="79"/>
      <c r="I70" s="79"/>
      <c r="J70" s="79"/>
      <c r="K70" s="62"/>
      <c r="L70" s="79"/>
      <c r="M70" s="62"/>
      <c r="N70" s="79"/>
      <c r="O70" s="299"/>
      <c r="P70" s="62"/>
      <c r="Q70" s="62"/>
      <c r="R70" s="62"/>
      <c r="S70" s="62"/>
      <c r="T70" s="62"/>
      <c r="U70" s="62"/>
    </row>
    <row r="71" spans="1:21" hidden="1" x14ac:dyDescent="0.2">
      <c r="A71" s="79"/>
      <c r="B71" s="322" t="s">
        <v>174</v>
      </c>
      <c r="C71" s="283" t="s">
        <v>184</v>
      </c>
      <c r="D71" s="283" t="s">
        <v>183</v>
      </c>
      <c r="E71" s="79"/>
      <c r="F71" s="62"/>
      <c r="G71" s="62"/>
      <c r="H71" s="62"/>
      <c r="I71" s="79"/>
      <c r="J71" s="79"/>
      <c r="K71" s="62"/>
      <c r="L71" s="79"/>
      <c r="M71" s="62"/>
      <c r="N71" s="79"/>
      <c r="O71" s="299"/>
      <c r="P71" s="62"/>
      <c r="Q71" s="62"/>
      <c r="R71" s="62"/>
      <c r="S71" s="62"/>
      <c r="T71" s="62"/>
      <c r="U71" s="62"/>
    </row>
    <row r="72" spans="1:21" hidden="1" x14ac:dyDescent="0.2">
      <c r="A72" s="79"/>
      <c r="B72" s="322" t="s">
        <v>177</v>
      </c>
      <c r="C72" s="283" t="s">
        <v>175</v>
      </c>
      <c r="D72" s="283" t="s">
        <v>176</v>
      </c>
      <c r="E72" s="79"/>
      <c r="F72" s="62"/>
      <c r="G72" s="62"/>
      <c r="H72" s="79"/>
      <c r="I72" s="79"/>
      <c r="J72" s="79"/>
      <c r="K72" s="62"/>
      <c r="L72" s="79"/>
      <c r="M72" s="62"/>
      <c r="N72" s="79"/>
      <c r="O72" s="299"/>
      <c r="P72" s="62"/>
      <c r="Q72" s="62"/>
      <c r="R72" s="62"/>
      <c r="S72" s="62"/>
      <c r="T72" s="62"/>
      <c r="U72" s="62"/>
    </row>
    <row r="73" spans="1:21" hidden="1" x14ac:dyDescent="0.2">
      <c r="A73" s="79"/>
      <c r="B73" s="322" t="s">
        <v>180</v>
      </c>
      <c r="C73" s="446" t="s">
        <v>191</v>
      </c>
      <c r="D73" s="283" t="s">
        <v>181</v>
      </c>
      <c r="E73" s="79"/>
      <c r="F73" s="62"/>
      <c r="G73" s="62"/>
      <c r="H73" s="79"/>
      <c r="I73" s="79"/>
      <c r="J73" s="79"/>
      <c r="K73" s="62"/>
      <c r="L73" s="79"/>
      <c r="M73" s="62"/>
      <c r="N73" s="79"/>
      <c r="O73" s="299"/>
      <c r="P73" s="62"/>
      <c r="Q73" s="62"/>
      <c r="R73" s="62"/>
      <c r="S73" s="62"/>
      <c r="T73" s="62"/>
      <c r="U73" s="62"/>
    </row>
    <row r="74" spans="1:21" hidden="1" x14ac:dyDescent="0.2">
      <c r="A74" s="79"/>
      <c r="B74" s="322" t="s">
        <v>182</v>
      </c>
      <c r="C74" s="283" t="s">
        <v>178</v>
      </c>
      <c r="D74" s="283" t="s">
        <v>179</v>
      </c>
      <c r="E74" s="79"/>
      <c r="F74" s="62"/>
      <c r="G74" s="62"/>
      <c r="H74" s="79"/>
      <c r="I74" s="79"/>
      <c r="J74" s="79"/>
      <c r="K74" s="62"/>
      <c r="L74" s="79"/>
      <c r="M74" s="62"/>
      <c r="N74" s="79"/>
      <c r="O74" s="299"/>
      <c r="P74" s="62"/>
      <c r="Q74" s="62"/>
      <c r="R74" s="62"/>
      <c r="S74" s="62"/>
      <c r="T74" s="62"/>
      <c r="U74" s="62"/>
    </row>
    <row r="75" spans="1:21" hidden="1" x14ac:dyDescent="0.2"/>
    <row r="76" spans="1:21" hidden="1" x14ac:dyDescent="0.2"/>
    <row r="77" spans="1:21" hidden="1" x14ac:dyDescent="0.2"/>
    <row r="78" spans="1:21" hidden="1" x14ac:dyDescent="0.2"/>
    <row r="79" spans="1:21" hidden="1" x14ac:dyDescent="0.2"/>
    <row r="80" spans="1:21"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spans="1:9" hidden="1" x14ac:dyDescent="0.2"/>
    <row r="98" spans="1:9" hidden="1" x14ac:dyDescent="0.2"/>
    <row r="100" spans="1:9" x14ac:dyDescent="0.2">
      <c r="A100" s="286" t="s">
        <v>192</v>
      </c>
      <c r="B100" s="287"/>
      <c r="C100" s="288"/>
      <c r="D100" s="288"/>
      <c r="E100" s="288"/>
      <c r="F100" s="285"/>
      <c r="G100" s="283"/>
      <c r="H100" s="269"/>
      <c r="I100" s="151"/>
    </row>
    <row r="101" spans="1:9" x14ac:dyDescent="0.2">
      <c r="A101" s="269"/>
      <c r="B101" s="269"/>
      <c r="C101" s="269"/>
      <c r="D101" s="269"/>
      <c r="E101" s="269"/>
      <c r="F101" s="269"/>
      <c r="G101" s="269"/>
      <c r="H101" s="269"/>
      <c r="I101" s="151"/>
    </row>
    <row r="102" spans="1:9" x14ac:dyDescent="0.2">
      <c r="A102" s="300" t="s">
        <v>193</v>
      </c>
      <c r="B102" s="289" t="str">
        <f>IFERROR(INDEX(B$1:B$100,MATCH(A102,I$1:I$100,0)),"")</f>
        <v>Andrei Grintšak, Boriss Klubov</v>
      </c>
      <c r="C102" s="301">
        <v>11</v>
      </c>
      <c r="D102" s="269"/>
      <c r="E102" s="269"/>
      <c r="F102" s="269"/>
      <c r="G102" s="269"/>
      <c r="H102" s="269"/>
      <c r="I102" s="151"/>
    </row>
    <row r="103" spans="1:9" x14ac:dyDescent="0.2">
      <c r="A103" s="302"/>
      <c r="B103" s="449"/>
      <c r="C103" s="303" t="str">
        <f>IF(COUNT(C102,C104)=2,IF(C102&gt;C104,B102,B104),"")</f>
        <v>Matti Vinni, Vladimir Ogneštšikov</v>
      </c>
      <c r="D103" s="269"/>
      <c r="E103" s="301">
        <v>5</v>
      </c>
      <c r="F103" s="269"/>
      <c r="G103" s="269"/>
      <c r="H103" s="269"/>
      <c r="I103" s="269"/>
    </row>
    <row r="104" spans="1:9" x14ac:dyDescent="0.2">
      <c r="A104" s="302" t="s">
        <v>194</v>
      </c>
      <c r="B104" s="450" t="str">
        <f>IFERROR(INDEX(B$1:B$100,MATCH(A104,I$1:I$100,0)),"")</f>
        <v>Matti Vinni, Vladimir Ogneštšikov</v>
      </c>
      <c r="C104" s="304">
        <v>13</v>
      </c>
      <c r="D104" s="336"/>
      <c r="E104" s="269"/>
      <c r="F104" s="269"/>
      <c r="G104" s="269"/>
      <c r="H104" s="269"/>
      <c r="I104" s="269"/>
    </row>
    <row r="105" spans="1:9" x14ac:dyDescent="0.2">
      <c r="A105" s="302"/>
      <c r="B105" s="292"/>
      <c r="C105" s="269"/>
      <c r="D105" s="305"/>
      <c r="E105" s="303" t="str">
        <f>IF(COUNT(E103,E107)=2,IF(E103&gt;E107,C103,C107),"")</f>
        <v>Johannes Neiland, Tõnis Neiland, Ülo Piik</v>
      </c>
      <c r="F105" s="269"/>
      <c r="G105" s="301">
        <v>13</v>
      </c>
      <c r="H105" s="269"/>
      <c r="I105" s="269"/>
    </row>
    <row r="106" spans="1:9" x14ac:dyDescent="0.2">
      <c r="A106" s="302" t="s">
        <v>195</v>
      </c>
      <c r="B106" s="289" t="str">
        <f>IFERROR(INDEX(B$1:B$100,MATCH(A106,I$1:I$100,0)),"")</f>
        <v>Johannes Neiland, Tõnis Neiland, Ülo Piik</v>
      </c>
      <c r="C106" s="301">
        <v>13</v>
      </c>
      <c r="D106" s="305"/>
      <c r="E106" s="306"/>
      <c r="F106" s="336"/>
      <c r="G106" s="269"/>
      <c r="H106" s="269"/>
      <c r="I106" s="269"/>
    </row>
    <row r="107" spans="1:9" x14ac:dyDescent="0.2">
      <c r="A107" s="302"/>
      <c r="B107" s="449"/>
      <c r="C107" s="303" t="str">
        <f>IF(COUNT(C106,C108)=2,IF(C106&gt;C108,B106,B108),"")</f>
        <v>Johannes Neiland, Tõnis Neiland, Ülo Piik</v>
      </c>
      <c r="D107" s="451"/>
      <c r="E107" s="304">
        <v>13</v>
      </c>
      <c r="F107" s="305"/>
      <c r="G107" s="269"/>
      <c r="H107" s="269"/>
      <c r="I107" s="269"/>
    </row>
    <row r="108" spans="1:9" x14ac:dyDescent="0.2">
      <c r="A108" s="302" t="s">
        <v>196</v>
      </c>
      <c r="B108" s="450" t="str">
        <f>IFERROR(INDEX(B$1:B$100,MATCH(A108,I$1:I$100,0)),"")</f>
        <v>Elmo Lageda, Tõnu Piik</v>
      </c>
      <c r="C108" s="304">
        <v>4</v>
      </c>
      <c r="D108" s="269"/>
      <c r="E108" s="287"/>
      <c r="F108" s="305"/>
      <c r="G108" s="269"/>
      <c r="H108" s="269"/>
      <c r="I108" s="269"/>
    </row>
    <row r="109" spans="1:9" ht="13.5" thickBot="1" x14ac:dyDescent="0.25">
      <c r="A109" s="268"/>
      <c r="B109" s="292"/>
      <c r="C109" s="269"/>
      <c r="D109" s="269"/>
      <c r="E109" s="287"/>
      <c r="F109" s="305"/>
      <c r="G109" s="269"/>
      <c r="H109" s="452" t="str">
        <f>IF(COUNT(G105,G113)=2,IF(G105&gt;G113,E105,E113),"")</f>
        <v>Johannes Neiland, Tõnis Neiland, Ülo Piik</v>
      </c>
      <c r="I109" s="269"/>
    </row>
    <row r="110" spans="1:9" x14ac:dyDescent="0.2">
      <c r="A110" s="300" t="s">
        <v>197</v>
      </c>
      <c r="B110" s="289" t="str">
        <f>IFERROR(INDEX(B$1:B$100,MATCH(A110,I$1:I$100,0)),"")</f>
        <v>Kenneth Muusikus, Mait Metsla</v>
      </c>
      <c r="C110" s="301">
        <v>8</v>
      </c>
      <c r="D110" s="269"/>
      <c r="E110" s="269"/>
      <c r="F110" s="305"/>
      <c r="G110" s="307"/>
      <c r="H110" s="290" t="s">
        <v>185</v>
      </c>
      <c r="I110" s="453"/>
    </row>
    <row r="111" spans="1:9" x14ac:dyDescent="0.2">
      <c r="A111" s="302"/>
      <c r="B111" s="449"/>
      <c r="C111" s="303" t="str">
        <f>IF(COUNT(C110,C112)=2,IF(C110&gt;C112,B110,B112),"")</f>
        <v>Ivar Viljaste, Sirje Viljaste</v>
      </c>
      <c r="D111" s="269"/>
      <c r="E111" s="301">
        <v>2</v>
      </c>
      <c r="F111" s="305"/>
      <c r="G111" s="287"/>
      <c r="H111" s="269"/>
      <c r="I111" s="269"/>
    </row>
    <row r="112" spans="1:9" x14ac:dyDescent="0.2">
      <c r="A112" s="302" t="s">
        <v>198</v>
      </c>
      <c r="B112" s="450" t="str">
        <f>IFERROR(INDEX(B$1:B$100,MATCH(A112,I$1:I$100,0)),"")</f>
        <v>Ivar Viljaste, Sirje Viljaste</v>
      </c>
      <c r="C112" s="304">
        <v>13</v>
      </c>
      <c r="D112" s="336"/>
      <c r="E112" s="269"/>
      <c r="F112" s="305"/>
      <c r="G112" s="287"/>
      <c r="H112" s="269"/>
      <c r="I112" s="269"/>
    </row>
    <row r="113" spans="1:9" x14ac:dyDescent="0.2">
      <c r="A113" s="302"/>
      <c r="B113" s="292"/>
      <c r="C113" s="269"/>
      <c r="D113" s="305"/>
      <c r="E113" s="303" t="str">
        <f>IF(COUNT(E111,E115)=2,IF(E111&gt;E115,C111,C115),"")</f>
        <v>Jaan Sepp, Oskar Sepp</v>
      </c>
      <c r="F113" s="451"/>
      <c r="G113" s="304">
        <v>4</v>
      </c>
      <c r="H113" s="269"/>
      <c r="I113" s="269"/>
    </row>
    <row r="114" spans="1:9" ht="13.5" thickBot="1" x14ac:dyDescent="0.25">
      <c r="A114" s="302" t="s">
        <v>200</v>
      </c>
      <c r="B114" s="289" t="str">
        <f>IFERROR(INDEX(B$1:B$100,MATCH(A114,I$1:I$100,0)),"")</f>
        <v>Jaan Sepp, Oskar Sepp</v>
      </c>
      <c r="C114" s="301">
        <v>13</v>
      </c>
      <c r="D114" s="305"/>
      <c r="E114" s="306"/>
      <c r="F114" s="287"/>
      <c r="G114" s="287"/>
      <c r="H114" s="452" t="str">
        <f>IF(COUNT(G105,G113)=2,IF(G105&lt;G113,E105,E113),"")</f>
        <v>Jaan Sepp, Oskar Sepp</v>
      </c>
      <c r="I114" s="454"/>
    </row>
    <row r="115" spans="1:9" x14ac:dyDescent="0.2">
      <c r="A115" s="302"/>
      <c r="B115" s="449"/>
      <c r="C115" s="303" t="str">
        <f>IF(COUNT(C114,C116)=2,IF(C114&gt;C116,B114,B116),"")</f>
        <v>Jaan Sepp, Oskar Sepp</v>
      </c>
      <c r="D115" s="451"/>
      <c r="E115" s="304">
        <v>13</v>
      </c>
      <c r="F115" s="269"/>
      <c r="G115" s="287"/>
      <c r="H115" s="290" t="s">
        <v>186</v>
      </c>
      <c r="I115" s="287"/>
    </row>
    <row r="116" spans="1:9" x14ac:dyDescent="0.2">
      <c r="A116" s="302" t="s">
        <v>199</v>
      </c>
      <c r="B116" s="450" t="str">
        <f>IFERROR(INDEX(B$1:B$100,MATCH(A116,I$1:I$100,0)),"")</f>
        <v>Karla Purgats, Lemmit Toomra</v>
      </c>
      <c r="C116" s="304">
        <v>11</v>
      </c>
      <c r="D116" s="269"/>
      <c r="E116" s="287"/>
      <c r="F116" s="287"/>
      <c r="G116" s="287"/>
      <c r="H116" s="269"/>
      <c r="I116" s="269"/>
    </row>
    <row r="117" spans="1:9" x14ac:dyDescent="0.2">
      <c r="A117" s="268"/>
      <c r="B117" s="292"/>
      <c r="C117" s="269"/>
      <c r="D117" s="269"/>
      <c r="E117" s="284" t="str">
        <f>IF(COUNT(E103,E107)=2,IF(E103&lt;E107,C103,C107),"")</f>
        <v>Matti Vinni, Vladimir Ogneštšikov</v>
      </c>
      <c r="F117" s="269"/>
      <c r="G117" s="301">
        <v>13</v>
      </c>
      <c r="H117" s="269"/>
      <c r="I117" s="269"/>
    </row>
    <row r="118" spans="1:9" ht="13.5" thickBot="1" x14ac:dyDescent="0.25">
      <c r="A118" s="269"/>
      <c r="B118" s="269"/>
      <c r="C118" s="269"/>
      <c r="D118" s="269"/>
      <c r="E118" s="455"/>
      <c r="F118" s="336"/>
      <c r="G118" s="454"/>
      <c r="H118" s="452" t="str">
        <f>IF(COUNT(G117,G119)=2,IF(G117&gt;G119,E117,E119),"")</f>
        <v>Matti Vinni, Vladimir Ogneštšikov</v>
      </c>
      <c r="I118" s="454"/>
    </row>
    <row r="119" spans="1:9" x14ac:dyDescent="0.2">
      <c r="A119" s="269"/>
      <c r="B119" s="269"/>
      <c r="C119" s="269"/>
      <c r="D119" s="269"/>
      <c r="E119" s="456" t="str">
        <f>IF(COUNT(E111,E115)=2,IF(E111&lt;E115,C111,C115),"")</f>
        <v>Ivar Viljaste, Sirje Viljaste</v>
      </c>
      <c r="F119" s="451"/>
      <c r="G119" s="304">
        <v>10</v>
      </c>
      <c r="H119" s="296" t="s">
        <v>187</v>
      </c>
      <c r="I119" s="287"/>
    </row>
    <row r="120" spans="1:9" x14ac:dyDescent="0.2">
      <c r="A120" s="269"/>
      <c r="B120" s="269"/>
      <c r="C120" s="269"/>
      <c r="D120" s="269"/>
      <c r="E120" s="269"/>
      <c r="F120" s="269"/>
      <c r="G120" s="269"/>
      <c r="H120" s="287"/>
      <c r="I120" s="287"/>
    </row>
    <row r="121" spans="1:9" ht="13.5" thickBot="1" x14ac:dyDescent="0.25">
      <c r="A121" s="269"/>
      <c r="B121" s="269"/>
      <c r="C121" s="269"/>
      <c r="D121" s="269"/>
      <c r="E121" s="287"/>
      <c r="F121" s="287"/>
      <c r="G121" s="269"/>
      <c r="H121" s="452" t="str">
        <f>IF(COUNT(G117,G119)=2,IF(G117&lt;G119,E117,E119),"")</f>
        <v>Ivar Viljaste, Sirje Viljaste</v>
      </c>
      <c r="I121" s="454"/>
    </row>
    <row r="122" spans="1:9" x14ac:dyDescent="0.2">
      <c r="A122" s="269"/>
      <c r="B122" s="269"/>
      <c r="C122" s="269"/>
      <c r="D122" s="269"/>
      <c r="E122" s="269"/>
      <c r="F122" s="269"/>
      <c r="G122" s="269"/>
      <c r="H122" s="268" t="s">
        <v>188</v>
      </c>
      <c r="I122" s="269"/>
    </row>
    <row r="123" spans="1:9" x14ac:dyDescent="0.2">
      <c r="A123" s="269"/>
      <c r="B123" s="269"/>
      <c r="C123" s="456" t="str">
        <f>IF(COUNT(C102,C104)=2,IF(C102&lt;C104,B102,B104),"")</f>
        <v>Andrei Grintšak, Boriss Klubov</v>
      </c>
      <c r="D123" s="269"/>
      <c r="E123" s="301">
        <v>3</v>
      </c>
      <c r="F123" s="301"/>
      <c r="G123" s="301"/>
      <c r="H123" s="269"/>
      <c r="I123" s="269"/>
    </row>
    <row r="124" spans="1:9" x14ac:dyDescent="0.2">
      <c r="A124" s="269"/>
      <c r="B124" s="269"/>
      <c r="C124" s="457"/>
      <c r="D124" s="337"/>
      <c r="E124" s="303" t="str">
        <f>IF(COUNT(E123,E125)=2,IF(E123&gt;E125,C123,C125),"")</f>
        <v>Elmo Lageda, Tõnu Piik</v>
      </c>
      <c r="F124" s="269"/>
      <c r="G124" s="301">
        <v>5</v>
      </c>
      <c r="H124" s="269"/>
      <c r="I124" s="269"/>
    </row>
    <row r="125" spans="1:9" x14ac:dyDescent="0.2">
      <c r="A125" s="269"/>
      <c r="B125" s="269"/>
      <c r="C125" s="456" t="str">
        <f>IF(COUNT(C106,C108)=2,IF(C106&lt;C108,B106,B108),"")</f>
        <v>Elmo Lageda, Tõnu Piik</v>
      </c>
      <c r="D125" s="458"/>
      <c r="E125" s="304">
        <v>13</v>
      </c>
      <c r="F125" s="337"/>
      <c r="G125" s="301"/>
      <c r="H125" s="269"/>
      <c r="I125" s="269"/>
    </row>
    <row r="126" spans="1:9" ht="13.5" thickBot="1" x14ac:dyDescent="0.25">
      <c r="A126" s="269"/>
      <c r="B126" s="269"/>
      <c r="C126" s="301"/>
      <c r="D126" s="301"/>
      <c r="E126" s="269"/>
      <c r="F126" s="309"/>
      <c r="G126" s="301"/>
      <c r="H126" s="452" t="str">
        <f>IF(COUNT(G124,G128)=2,IF(G124&gt;G128,E124,E128),"")</f>
        <v>Kenneth Muusikus, Mait Metsla</v>
      </c>
      <c r="I126" s="269"/>
    </row>
    <row r="127" spans="1:9" x14ac:dyDescent="0.2">
      <c r="A127" s="269"/>
      <c r="B127" s="269"/>
      <c r="C127" s="456" t="str">
        <f>IF(COUNT(C110,C112)=2,IF(C110&lt;C112,B110,B112),"")</f>
        <v>Kenneth Muusikus, Mait Metsla</v>
      </c>
      <c r="D127" s="301"/>
      <c r="E127" s="301">
        <v>13</v>
      </c>
      <c r="F127" s="309"/>
      <c r="G127" s="310"/>
      <c r="H127" s="290" t="s">
        <v>189</v>
      </c>
      <c r="I127" s="453"/>
    </row>
    <row r="128" spans="1:9" x14ac:dyDescent="0.2">
      <c r="A128" s="269"/>
      <c r="B128" s="269"/>
      <c r="C128" s="457"/>
      <c r="D128" s="337"/>
      <c r="E128" s="303" t="str">
        <f>IF(COUNT(E127,E129)=2,IF(E127&gt;E129,C127,C129),"")</f>
        <v>Kenneth Muusikus, Mait Metsla</v>
      </c>
      <c r="F128" s="451"/>
      <c r="G128" s="304">
        <v>13</v>
      </c>
      <c r="H128" s="269"/>
      <c r="I128" s="269"/>
    </row>
    <row r="129" spans="1:9" ht="13.5" thickBot="1" x14ac:dyDescent="0.25">
      <c r="A129" s="269"/>
      <c r="B129" s="269"/>
      <c r="C129" s="456" t="str">
        <f>IF(COUNT(C114,C116)=2,IF(C114&lt;C116,B114,B116),"")</f>
        <v>Karla Purgats, Lemmit Toomra</v>
      </c>
      <c r="D129" s="458"/>
      <c r="E129" s="304">
        <v>8</v>
      </c>
      <c r="F129" s="301"/>
      <c r="G129" s="308"/>
      <c r="H129" s="452" t="str">
        <f>IF(COUNT(G124,G128)=2,IF(G124&lt;G128,E124,E128),"")</f>
        <v>Elmo Lageda, Tõnu Piik</v>
      </c>
      <c r="I129" s="454"/>
    </row>
    <row r="130" spans="1:9" x14ac:dyDescent="0.2">
      <c r="A130" s="269"/>
      <c r="B130" s="269"/>
      <c r="C130" s="301"/>
      <c r="D130" s="301"/>
      <c r="E130" s="301"/>
      <c r="F130" s="301"/>
      <c r="G130" s="308"/>
      <c r="H130" s="290" t="s">
        <v>190</v>
      </c>
      <c r="I130" s="287"/>
    </row>
    <row r="131" spans="1:9" x14ac:dyDescent="0.2">
      <c r="A131" s="269"/>
      <c r="B131" s="269"/>
      <c r="C131" s="301"/>
      <c r="D131" s="308"/>
      <c r="E131" s="284" t="str">
        <f>IF(COUNT(E123,E125)=2,IF(E123&lt;E125,C123,C125),"")</f>
        <v>Andrei Grintšak, Boriss Klubov</v>
      </c>
      <c r="F131" s="269"/>
      <c r="G131" s="301">
        <v>4</v>
      </c>
      <c r="H131" s="287"/>
      <c r="I131" s="287"/>
    </row>
    <row r="132" spans="1:9" ht="13.5" thickBot="1" x14ac:dyDescent="0.25">
      <c r="A132" s="269"/>
      <c r="B132" s="269"/>
      <c r="C132" s="301"/>
      <c r="D132" s="308"/>
      <c r="E132" s="455"/>
      <c r="F132" s="336"/>
      <c r="G132" s="454"/>
      <c r="H132" s="452" t="str">
        <f>IF(COUNT(G131,G133)=2,IF(G131&gt;G133,E131,E133),"")</f>
        <v>Karla Purgats, Lemmit Toomra</v>
      </c>
      <c r="I132" s="454"/>
    </row>
    <row r="133" spans="1:9" x14ac:dyDescent="0.2">
      <c r="A133" s="269"/>
      <c r="B133" s="269"/>
      <c r="C133" s="301"/>
      <c r="D133" s="308"/>
      <c r="E133" s="456" t="str">
        <f>IF(COUNT(E127,E129)=2,IF(E127&lt;E129,C127,C129),"")</f>
        <v>Karla Purgats, Lemmit Toomra</v>
      </c>
      <c r="F133" s="451"/>
      <c r="G133" s="304">
        <v>13</v>
      </c>
      <c r="H133" s="290" t="s">
        <v>201</v>
      </c>
      <c r="I133" s="287"/>
    </row>
    <row r="134" spans="1:9" x14ac:dyDescent="0.2">
      <c r="A134" s="269"/>
      <c r="B134" s="269"/>
      <c r="C134" s="269"/>
      <c r="D134" s="287"/>
      <c r="E134" s="269"/>
      <c r="F134" s="269"/>
      <c r="G134" s="269"/>
      <c r="H134" s="287"/>
      <c r="I134" s="287"/>
    </row>
    <row r="135" spans="1:9" ht="13.5" thickBot="1" x14ac:dyDescent="0.25">
      <c r="A135" s="269"/>
      <c r="B135" s="269"/>
      <c r="C135" s="269"/>
      <c r="D135" s="269"/>
      <c r="E135" s="287"/>
      <c r="F135" s="287"/>
      <c r="G135" s="269"/>
      <c r="H135" s="454" t="str">
        <f>IF(COUNT(G131,G133)=2,IF(G131&lt;G133,E131,E133),"")</f>
        <v>Andrei Grintšak, Boriss Klubov</v>
      </c>
      <c r="I135" s="454"/>
    </row>
    <row r="136" spans="1:9" x14ac:dyDescent="0.2">
      <c r="A136" s="80"/>
      <c r="B136" s="140"/>
      <c r="C136" s="285"/>
      <c r="D136" s="285"/>
      <c r="E136" s="285"/>
      <c r="F136" s="285"/>
      <c r="G136" s="323"/>
      <c r="H136" s="290" t="s">
        <v>202</v>
      </c>
      <c r="I136" s="79"/>
    </row>
    <row r="138" spans="1:9" x14ac:dyDescent="0.2">
      <c r="A138" s="286" t="s">
        <v>379</v>
      </c>
      <c r="B138" s="287"/>
      <c r="C138" s="288"/>
      <c r="D138" s="288"/>
      <c r="E138" s="288"/>
      <c r="F138" s="285"/>
      <c r="G138" s="283"/>
      <c r="H138" s="269"/>
      <c r="I138" s="151"/>
    </row>
    <row r="139" spans="1:9" x14ac:dyDescent="0.2">
      <c r="A139" s="269"/>
      <c r="B139" s="269"/>
      <c r="C139" s="269"/>
      <c r="D139" s="269"/>
      <c r="E139" s="269"/>
      <c r="F139" s="269"/>
      <c r="G139" s="269"/>
      <c r="H139" s="269"/>
      <c r="I139" s="151"/>
    </row>
    <row r="140" spans="1:9" x14ac:dyDescent="0.2">
      <c r="A140" s="300" t="s">
        <v>203</v>
      </c>
      <c r="B140" s="289" t="str">
        <f>IFERROR(INDEX(B$1:B$100,MATCH(A140,I$1:I$100,0)),"")</f>
        <v>Enn Tokman, Liidia Põllu</v>
      </c>
      <c r="C140" s="301">
        <v>13</v>
      </c>
      <c r="D140" s="269"/>
      <c r="E140" s="269"/>
      <c r="F140" s="269"/>
      <c r="G140" s="269"/>
      <c r="H140" s="269"/>
      <c r="I140" s="151"/>
    </row>
    <row r="141" spans="1:9" x14ac:dyDescent="0.2">
      <c r="A141" s="302"/>
      <c r="B141" s="449"/>
      <c r="C141" s="303" t="str">
        <f>IF(COUNT(C140,C142)=2,IF(C140&gt;C142,B140,B142),"")</f>
        <v>Enn Tokman, Liidia Põllu</v>
      </c>
      <c r="D141" s="269"/>
      <c r="E141" s="301">
        <v>4</v>
      </c>
      <c r="F141" s="269"/>
      <c r="G141" s="269"/>
      <c r="H141" s="269"/>
      <c r="I141" s="269"/>
    </row>
    <row r="142" spans="1:9" x14ac:dyDescent="0.2">
      <c r="A142" s="302" t="s">
        <v>266</v>
      </c>
      <c r="B142" s="450" t="str">
        <f>IFERROR(INDEX(B$1:B$100,MATCH(A142,I$1:I$100,0)),"")</f>
        <v>Margus Vasser, Vello Vasser</v>
      </c>
      <c r="C142" s="304">
        <v>2</v>
      </c>
      <c r="D142" s="336"/>
      <c r="E142" s="269"/>
      <c r="F142" s="269"/>
      <c r="G142" s="269"/>
      <c r="H142" s="269"/>
      <c r="I142" s="269"/>
    </row>
    <row r="143" spans="1:9" x14ac:dyDescent="0.2">
      <c r="A143" s="302"/>
      <c r="B143" s="292"/>
      <c r="C143" s="269"/>
      <c r="D143" s="305"/>
      <c r="E143" s="303" t="str">
        <f>IF(COUNT(E141,E145)=2,IF(E141&gt;E145,C141,C145),"")</f>
        <v>Andres Veski, Meelis Luud</v>
      </c>
      <c r="F143" s="269"/>
      <c r="G143" s="301">
        <v>13</v>
      </c>
      <c r="H143" s="269"/>
      <c r="I143" s="269"/>
    </row>
    <row r="144" spans="1:9" x14ac:dyDescent="0.2">
      <c r="A144" s="302" t="s">
        <v>204</v>
      </c>
      <c r="B144" s="289" t="str">
        <f>IFERROR(INDEX(B$1:B$100,MATCH(A144,I$1:I$100,0)),"")</f>
        <v>Andres Veski, Meelis Luud</v>
      </c>
      <c r="C144" s="301">
        <v>13</v>
      </c>
      <c r="D144" s="305"/>
      <c r="E144" s="306"/>
      <c r="F144" s="336"/>
      <c r="G144" s="269"/>
      <c r="H144" s="269"/>
      <c r="I144" s="269"/>
    </row>
    <row r="145" spans="1:9" x14ac:dyDescent="0.2">
      <c r="A145" s="302"/>
      <c r="B145" s="449"/>
      <c r="C145" s="303" t="str">
        <f>IF(COUNT(C144,C146)=2,IF(C144&gt;C146,B144,B146),"")</f>
        <v>Andres Veski, Meelis Luud</v>
      </c>
      <c r="D145" s="451"/>
      <c r="E145" s="304">
        <v>13</v>
      </c>
      <c r="F145" s="305"/>
      <c r="G145" s="269"/>
      <c r="H145" s="269"/>
      <c r="I145" s="269"/>
    </row>
    <row r="146" spans="1:9" x14ac:dyDescent="0.2">
      <c r="A146" s="302" t="s">
        <v>267</v>
      </c>
      <c r="B146" s="450" t="str">
        <f>IFERROR(INDEX(B$1:B$100,MATCH(A146,I$1:I$100,0)),"")</f>
        <v>Olav Türk, Urmas Jõeäär</v>
      </c>
      <c r="C146" s="635">
        <v>1</v>
      </c>
      <c r="D146" s="269"/>
      <c r="E146" s="287"/>
      <c r="F146" s="305"/>
      <c r="G146" s="269"/>
      <c r="H146" s="269"/>
      <c r="I146" s="269"/>
    </row>
    <row r="147" spans="1:9" ht="13.5" thickBot="1" x14ac:dyDescent="0.25">
      <c r="A147" s="268"/>
      <c r="B147" s="292"/>
      <c r="C147" s="269"/>
      <c r="D147" s="269"/>
      <c r="E147" s="287"/>
      <c r="F147" s="305"/>
      <c r="G147" s="269"/>
      <c r="H147" s="452" t="str">
        <f>IF(COUNT(G143,G151)=2,IF(G143&gt;G151,E143,E151),"")</f>
        <v>Andres Veski, Meelis Luud</v>
      </c>
      <c r="I147" s="269"/>
    </row>
    <row r="148" spans="1:9" x14ac:dyDescent="0.2">
      <c r="A148" s="300" t="s">
        <v>206</v>
      </c>
      <c r="B148" s="289" t="str">
        <f>IFERROR(INDEX(B$1:B$100,MATCH(A148,I$1:I$100,0)),"")</f>
        <v>Illar Tõnurist, Klavdia Piik</v>
      </c>
      <c r="C148" s="301">
        <v>5</v>
      </c>
      <c r="D148" s="269"/>
      <c r="E148" s="269"/>
      <c r="F148" s="305"/>
      <c r="G148" s="307"/>
      <c r="H148" s="290" t="s">
        <v>207</v>
      </c>
      <c r="I148" s="453"/>
    </row>
    <row r="149" spans="1:9" x14ac:dyDescent="0.2">
      <c r="A149" s="302"/>
      <c r="B149" s="449"/>
      <c r="C149" s="303" t="str">
        <f>IF(COUNT(C148,C150)=2,IF(C148&gt;C150,B148,B150),"")</f>
        <v>Kaspar Mänd, Urmas Randlaine</v>
      </c>
      <c r="D149" s="269"/>
      <c r="E149" s="301">
        <v>12</v>
      </c>
      <c r="F149" s="305"/>
      <c r="G149" s="287"/>
      <c r="H149" s="269"/>
      <c r="I149" s="269"/>
    </row>
    <row r="150" spans="1:9" x14ac:dyDescent="0.2">
      <c r="A150" s="302" t="s">
        <v>268</v>
      </c>
      <c r="B150" s="450" t="str">
        <f>IFERROR(INDEX(B$1:B$100,MATCH(A150,I$1:I$100,0)),"")</f>
        <v>Kaspar Mänd, Urmas Randlaine</v>
      </c>
      <c r="C150" s="304">
        <v>13</v>
      </c>
      <c r="D150" s="336"/>
      <c r="E150" s="269"/>
      <c r="F150" s="305"/>
      <c r="G150" s="287"/>
      <c r="H150" s="269"/>
      <c r="I150" s="269"/>
    </row>
    <row r="151" spans="1:9" x14ac:dyDescent="0.2">
      <c r="A151" s="302"/>
      <c r="B151" s="292"/>
      <c r="C151" s="269"/>
      <c r="D151" s="305"/>
      <c r="E151" s="303" t="str">
        <f>IF(COUNT(E149,E153)=2,IF(E149&gt;E153,C149,C153),"")</f>
        <v>Ljudmila Varendi, Viktor Švarõgin</v>
      </c>
      <c r="F151" s="451"/>
      <c r="G151" s="304">
        <v>1</v>
      </c>
      <c r="H151" s="269"/>
      <c r="I151" s="269"/>
    </row>
    <row r="152" spans="1:9" ht="13.5" thickBot="1" x14ac:dyDescent="0.25">
      <c r="A152" s="302" t="s">
        <v>208</v>
      </c>
      <c r="B152" s="289" t="str">
        <f>IFERROR(INDEX(B$1:B$100,MATCH(A152,I$1:I$100,0)),"")</f>
        <v>Ljudmila Varendi, Viktor Švarõgin</v>
      </c>
      <c r="C152" s="301">
        <v>13</v>
      </c>
      <c r="D152" s="305"/>
      <c r="E152" s="306"/>
      <c r="F152" s="287"/>
      <c r="G152" s="287"/>
      <c r="H152" s="452" t="str">
        <f>IF(COUNT(G143,G151)=2,IF(G143&lt;G151,E143,E151),"")</f>
        <v>Ljudmila Varendi, Viktor Švarõgin</v>
      </c>
      <c r="I152" s="454"/>
    </row>
    <row r="153" spans="1:9" x14ac:dyDescent="0.2">
      <c r="A153" s="302"/>
      <c r="B153" s="449"/>
      <c r="C153" s="303" t="str">
        <f>IF(COUNT(C152,C154)=2,IF(C152&gt;C154,B152,B154),"")</f>
        <v>Ljudmila Varendi, Viktor Švarõgin</v>
      </c>
      <c r="D153" s="451"/>
      <c r="E153" s="304">
        <v>13</v>
      </c>
      <c r="F153" s="269"/>
      <c r="G153" s="287"/>
      <c r="H153" s="290" t="s">
        <v>209</v>
      </c>
      <c r="I153" s="287"/>
    </row>
    <row r="154" spans="1:9" x14ac:dyDescent="0.2">
      <c r="A154" s="302" t="s">
        <v>269</v>
      </c>
      <c r="B154" s="450" t="s">
        <v>205</v>
      </c>
      <c r="C154" s="304">
        <f>IF(B154="-",0,IF(B152="-",13,""))</f>
        <v>0</v>
      </c>
      <c r="D154" s="269"/>
      <c r="E154" s="287"/>
      <c r="F154" s="287"/>
      <c r="G154" s="287"/>
      <c r="H154" s="269"/>
      <c r="I154" s="269"/>
    </row>
    <row r="155" spans="1:9" x14ac:dyDescent="0.2">
      <c r="A155" s="268"/>
      <c r="B155" s="292"/>
      <c r="C155" s="269"/>
      <c r="D155" s="269"/>
      <c r="E155" s="284" t="str">
        <f>IF(COUNT(E141,E145)=2,IF(E141&lt;E145,C141,C145),"")</f>
        <v>Enn Tokman, Liidia Põllu</v>
      </c>
      <c r="F155" s="269"/>
      <c r="G155" s="301">
        <v>13</v>
      </c>
      <c r="H155" s="269"/>
      <c r="I155" s="269"/>
    </row>
    <row r="156" spans="1:9" ht="13.5" thickBot="1" x14ac:dyDescent="0.25">
      <c r="A156" s="269"/>
      <c r="B156" s="269"/>
      <c r="C156" s="269"/>
      <c r="D156" s="269"/>
      <c r="E156" s="455"/>
      <c r="F156" s="336"/>
      <c r="G156" s="454"/>
      <c r="H156" s="452" t="str">
        <f>IF(COUNT(G155,G157)=2,IF(G155&gt;G157,E155,E157),"")</f>
        <v>Enn Tokman, Liidia Põllu</v>
      </c>
      <c r="I156" s="454"/>
    </row>
    <row r="157" spans="1:9" x14ac:dyDescent="0.2">
      <c r="A157" s="269"/>
      <c r="B157" s="269"/>
      <c r="C157" s="269"/>
      <c r="D157" s="269"/>
      <c r="E157" s="456" t="str">
        <f>IF(COUNT(E149,E153)=2,IF(E149&lt;E153,C149,C153),"")</f>
        <v>Kaspar Mänd, Urmas Randlaine</v>
      </c>
      <c r="F157" s="451"/>
      <c r="G157" s="304">
        <v>3</v>
      </c>
      <c r="H157" s="296" t="s">
        <v>210</v>
      </c>
      <c r="I157" s="287"/>
    </row>
    <row r="158" spans="1:9" x14ac:dyDescent="0.2">
      <c r="A158" s="269"/>
      <c r="B158" s="269"/>
      <c r="C158" s="269"/>
      <c r="D158" s="269"/>
      <c r="E158" s="269"/>
      <c r="F158" s="269"/>
      <c r="G158" s="269"/>
      <c r="H158" s="287"/>
      <c r="I158" s="287"/>
    </row>
    <row r="159" spans="1:9" ht="13.5" thickBot="1" x14ac:dyDescent="0.25">
      <c r="A159" s="269"/>
      <c r="B159" s="269"/>
      <c r="C159" s="269"/>
      <c r="D159" s="269"/>
      <c r="E159" s="287"/>
      <c r="F159" s="287"/>
      <c r="G159" s="269"/>
      <c r="H159" s="452" t="str">
        <f>IF(COUNT(G155,G157)=2,IF(G155&lt;G157,E155,E157),"")</f>
        <v>Kaspar Mänd, Urmas Randlaine</v>
      </c>
      <c r="I159" s="454"/>
    </row>
    <row r="160" spans="1:9" x14ac:dyDescent="0.2">
      <c r="A160" s="269"/>
      <c r="B160" s="269"/>
      <c r="C160" s="269"/>
      <c r="D160" s="269"/>
      <c r="E160" s="269"/>
      <c r="F160" s="269"/>
      <c r="G160" s="269"/>
      <c r="H160" s="268" t="s">
        <v>211</v>
      </c>
      <c r="I160" s="269"/>
    </row>
    <row r="161" spans="1:9" x14ac:dyDescent="0.2">
      <c r="A161" s="269"/>
      <c r="B161" s="269"/>
      <c r="C161" s="456" t="str">
        <f>IF(COUNT(C140,C142)=2,IF(C140&lt;C142,B140,B142),"")</f>
        <v>Margus Vasser, Vello Vasser</v>
      </c>
      <c r="D161" s="269"/>
      <c r="E161" s="301">
        <v>5</v>
      </c>
      <c r="F161" s="301"/>
      <c r="G161" s="301"/>
      <c r="H161" s="269"/>
      <c r="I161" s="269"/>
    </row>
    <row r="162" spans="1:9" x14ac:dyDescent="0.2">
      <c r="A162" s="269"/>
      <c r="B162" s="269"/>
      <c r="C162" s="457"/>
      <c r="D162" s="337"/>
      <c r="E162" s="303" t="str">
        <f>IF(COUNT(E161,E163)=2,IF(E161&gt;E163,C161,C163),"")</f>
        <v>Olav Türk, Urmas Jõeäär</v>
      </c>
      <c r="F162" s="269"/>
      <c r="G162" s="301">
        <v>13</v>
      </c>
      <c r="H162" s="269"/>
      <c r="I162" s="269"/>
    </row>
    <row r="163" spans="1:9" x14ac:dyDescent="0.2">
      <c r="A163" s="269"/>
      <c r="B163" s="269"/>
      <c r="C163" s="456" t="str">
        <f>IF(COUNT(C144,C146)=2,IF(C144&lt;C146,B144,B146),"")</f>
        <v>Olav Türk, Urmas Jõeäär</v>
      </c>
      <c r="D163" s="458"/>
      <c r="E163" s="304">
        <v>13</v>
      </c>
      <c r="F163" s="337"/>
      <c r="G163" s="301"/>
      <c r="H163" s="269"/>
      <c r="I163" s="269"/>
    </row>
    <row r="164" spans="1:9" ht="13.5" thickBot="1" x14ac:dyDescent="0.25">
      <c r="A164" s="269"/>
      <c r="B164" s="269"/>
      <c r="C164" s="301"/>
      <c r="D164" s="301"/>
      <c r="E164" s="269"/>
      <c r="F164" s="309"/>
      <c r="G164" s="301"/>
      <c r="H164" s="452" t="str">
        <f>IF(COUNT(G162,G166)=2,IF(G162&gt;G166,E162,E166),"")</f>
        <v>Olav Türk, Urmas Jõeäär</v>
      </c>
      <c r="I164" s="269"/>
    </row>
    <row r="165" spans="1:9" x14ac:dyDescent="0.2">
      <c r="A165" s="269"/>
      <c r="B165" s="269"/>
      <c r="C165" s="456" t="str">
        <f>IF(COUNT(C148,C150)=2,IF(C148&lt;C150,B148,B150),"")</f>
        <v>Illar Tõnurist, Klavdia Piik</v>
      </c>
      <c r="D165" s="301"/>
      <c r="E165" s="301">
        <f>IF(C165="-",0,IF(C167="-",13,""))</f>
        <v>13</v>
      </c>
      <c r="F165" s="309"/>
      <c r="G165" s="310"/>
      <c r="H165" s="290" t="s">
        <v>212</v>
      </c>
      <c r="I165" s="453"/>
    </row>
    <row r="166" spans="1:9" x14ac:dyDescent="0.2">
      <c r="A166" s="269"/>
      <c r="B166" s="269"/>
      <c r="C166" s="457"/>
      <c r="D166" s="337"/>
      <c r="E166" s="303" t="str">
        <f>IF(COUNT(E165,E167)=2,IF(E165&gt;E167,C165,C167),"")</f>
        <v>Illar Tõnurist, Klavdia Piik</v>
      </c>
      <c r="F166" s="451"/>
      <c r="G166" s="304">
        <v>9</v>
      </c>
      <c r="H166" s="269"/>
      <c r="I166" s="269"/>
    </row>
    <row r="167" spans="1:9" ht="13.5" thickBot="1" x14ac:dyDescent="0.25">
      <c r="A167" s="269"/>
      <c r="B167" s="269"/>
      <c r="C167" s="456" t="str">
        <f>IF(COUNT(C152,C154)=2,IF(C152&lt;C154,B152,B154),"")</f>
        <v>-</v>
      </c>
      <c r="D167" s="458"/>
      <c r="E167" s="304">
        <f>IF(C167="-",0,IF(C165="-",13,""))</f>
        <v>0</v>
      </c>
      <c r="F167" s="301"/>
      <c r="G167" s="308"/>
      <c r="H167" s="452" t="str">
        <f>IF(COUNT(G162,G166)=2,IF(G162&lt;G166,E162,E166),"")</f>
        <v>Illar Tõnurist, Klavdia Piik</v>
      </c>
      <c r="I167" s="454"/>
    </row>
    <row r="168" spans="1:9" x14ac:dyDescent="0.2">
      <c r="A168" s="269"/>
      <c r="B168" s="269"/>
      <c r="C168" s="301"/>
      <c r="D168" s="301"/>
      <c r="E168" s="301"/>
      <c r="F168" s="301"/>
      <c r="G168" s="308"/>
      <c r="H168" s="290" t="s">
        <v>213</v>
      </c>
      <c r="I168" s="287"/>
    </row>
    <row r="169" spans="1:9" x14ac:dyDescent="0.2">
      <c r="A169" s="269"/>
      <c r="B169" s="269"/>
      <c r="C169" s="301"/>
      <c r="D169" s="308"/>
      <c r="E169" s="284" t="str">
        <f>IF(COUNT(E161,E163)=2,IF(E161&lt;E163,C161,C163),"")</f>
        <v>Margus Vasser, Vello Vasser</v>
      </c>
      <c r="F169" s="269"/>
      <c r="G169" s="301">
        <f>IF(E169="-",0,IF(E171="-",13,""))</f>
        <v>13</v>
      </c>
      <c r="H169" s="287"/>
      <c r="I169" s="287"/>
    </row>
    <row r="170" spans="1:9" ht="13.5" thickBot="1" x14ac:dyDescent="0.25">
      <c r="A170" s="269"/>
      <c r="B170" s="269"/>
      <c r="C170" s="301"/>
      <c r="D170" s="308"/>
      <c r="E170" s="455"/>
      <c r="F170" s="336"/>
      <c r="G170" s="454"/>
      <c r="H170" s="452" t="str">
        <f>IF(COUNT(G169,G171)=2,IF(G169&gt;G171,E169,E171),"")</f>
        <v>Margus Vasser, Vello Vasser</v>
      </c>
      <c r="I170" s="454"/>
    </row>
    <row r="171" spans="1:9" x14ac:dyDescent="0.2">
      <c r="A171" s="269"/>
      <c r="B171" s="269"/>
      <c r="C171" s="301"/>
      <c r="D171" s="308"/>
      <c r="E171" s="456" t="str">
        <f>IF(COUNT(E165,E167)=2,IF(E165&lt;E167,C165,C167),"")</f>
        <v>-</v>
      </c>
      <c r="F171" s="451"/>
      <c r="G171" s="304">
        <f>IF(E171="-",0,IF(E169="-",13,""))</f>
        <v>0</v>
      </c>
      <c r="H171" s="290" t="s">
        <v>216</v>
      </c>
      <c r="I171" s="287"/>
    </row>
    <row r="172" spans="1:9" x14ac:dyDescent="0.2">
      <c r="A172" s="269"/>
      <c r="B172" s="269"/>
      <c r="C172" s="269"/>
      <c r="D172" s="287"/>
      <c r="E172" s="269"/>
      <c r="F172" s="269"/>
      <c r="G172" s="269"/>
      <c r="H172" s="287"/>
      <c r="I172" s="287"/>
    </row>
    <row r="173" spans="1:9" ht="13.5" thickBot="1" x14ac:dyDescent="0.25">
      <c r="A173" s="269"/>
      <c r="B173" s="269"/>
      <c r="C173" s="269"/>
      <c r="D173" s="269"/>
      <c r="E173" s="287"/>
      <c r="F173" s="287"/>
      <c r="G173" s="269"/>
      <c r="H173" s="454" t="str">
        <f>IF(COUNT(G169,G171)=2,IF(G169&lt;G171,E169,E171),"")</f>
        <v>-</v>
      </c>
      <c r="I173" s="454"/>
    </row>
    <row r="174" spans="1:9" x14ac:dyDescent="0.2">
      <c r="A174" s="80"/>
      <c r="B174" s="140"/>
      <c r="C174" s="285"/>
      <c r="D174" s="285"/>
      <c r="E174" s="285"/>
      <c r="F174" s="285"/>
      <c r="G174" s="323"/>
      <c r="H174" s="290"/>
      <c r="I174" s="79"/>
    </row>
    <row r="175" spans="1:9" hidden="1" x14ac:dyDescent="0.2"/>
    <row r="176" spans="1:9"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3" hidden="1" x14ac:dyDescent="0.2"/>
    <row r="290" spans="1:3" hidden="1" x14ac:dyDescent="0.2"/>
    <row r="291" spans="1:3" hidden="1" x14ac:dyDescent="0.2"/>
    <row r="292" spans="1:3" hidden="1" x14ac:dyDescent="0.2"/>
    <row r="293" spans="1:3" hidden="1" x14ac:dyDescent="0.2"/>
    <row r="294" spans="1:3" hidden="1" x14ac:dyDescent="0.2"/>
    <row r="295" spans="1:3" hidden="1" x14ac:dyDescent="0.2"/>
    <row r="296" spans="1:3" hidden="1" x14ac:dyDescent="0.2"/>
    <row r="297" spans="1:3" hidden="1" x14ac:dyDescent="0.2"/>
    <row r="299" spans="1:3" x14ac:dyDescent="0.2">
      <c r="A299" s="271"/>
      <c r="B299" s="271"/>
      <c r="C299" s="401" t="s">
        <v>248</v>
      </c>
    </row>
    <row r="300" spans="1:3" x14ac:dyDescent="0.2">
      <c r="A300" s="530">
        <v>1</v>
      </c>
      <c r="B300" s="529" t="str">
        <f t="shared" ref="B300:B314" si="9">IFERROR(INDEX(H$100:H$300,MATCH(A300&amp;". koht",H$101:H$301,0)),"")</f>
        <v>Johannes Neiland, Tõnis Neiland, Ülo Piik</v>
      </c>
      <c r="C300" s="499">
        <f t="shared" ref="C300:C314" si="10">IF(21-A300&gt;0,21-A300,1)</f>
        <v>20</v>
      </c>
    </row>
    <row r="301" spans="1:3" x14ac:dyDescent="0.2">
      <c r="A301" s="530">
        <v>2</v>
      </c>
      <c r="B301" s="529" t="str">
        <f t="shared" si="9"/>
        <v>Jaan Sepp, Oskar Sepp</v>
      </c>
      <c r="C301" s="499">
        <f t="shared" si="10"/>
        <v>19</v>
      </c>
    </row>
    <row r="302" spans="1:3" x14ac:dyDescent="0.2">
      <c r="A302" s="530">
        <v>3</v>
      </c>
      <c r="B302" s="529" t="str">
        <f t="shared" si="9"/>
        <v>Matti Vinni, Vladimir Ogneštšikov</v>
      </c>
      <c r="C302" s="499">
        <f t="shared" si="10"/>
        <v>18</v>
      </c>
    </row>
    <row r="303" spans="1:3" x14ac:dyDescent="0.2">
      <c r="A303" s="530">
        <v>4</v>
      </c>
      <c r="B303" s="529" t="str">
        <f t="shared" si="9"/>
        <v>Ivar Viljaste, Sirje Viljaste</v>
      </c>
      <c r="C303" s="499">
        <f t="shared" si="10"/>
        <v>17</v>
      </c>
    </row>
    <row r="304" spans="1:3" x14ac:dyDescent="0.2">
      <c r="A304" s="530">
        <v>5</v>
      </c>
      <c r="B304" s="529" t="str">
        <f t="shared" si="9"/>
        <v>Kenneth Muusikus, Mait Metsla</v>
      </c>
      <c r="C304" s="499">
        <f t="shared" si="10"/>
        <v>16</v>
      </c>
    </row>
    <row r="305" spans="1:3" x14ac:dyDescent="0.2">
      <c r="A305" s="530">
        <v>6</v>
      </c>
      <c r="B305" s="529" t="str">
        <f t="shared" si="9"/>
        <v>Elmo Lageda, Tõnu Piik</v>
      </c>
      <c r="C305" s="499">
        <f t="shared" si="10"/>
        <v>15</v>
      </c>
    </row>
    <row r="306" spans="1:3" x14ac:dyDescent="0.2">
      <c r="A306" s="530">
        <v>7</v>
      </c>
      <c r="B306" s="529" t="str">
        <f t="shared" si="9"/>
        <v>Karla Purgats, Lemmit Toomra</v>
      </c>
      <c r="C306" s="499">
        <f t="shared" si="10"/>
        <v>14</v>
      </c>
    </row>
    <row r="307" spans="1:3" x14ac:dyDescent="0.2">
      <c r="A307" s="530">
        <v>8</v>
      </c>
      <c r="B307" s="529" t="str">
        <f t="shared" si="9"/>
        <v>Andrei Grintšak, Boriss Klubov</v>
      </c>
      <c r="C307" s="499">
        <f t="shared" si="10"/>
        <v>13</v>
      </c>
    </row>
    <row r="308" spans="1:3" x14ac:dyDescent="0.2">
      <c r="A308" s="530">
        <v>9</v>
      </c>
      <c r="B308" s="529" t="str">
        <f t="shared" si="9"/>
        <v>Andres Veski, Meelis Luud</v>
      </c>
      <c r="C308" s="499">
        <f t="shared" si="10"/>
        <v>12</v>
      </c>
    </row>
    <row r="309" spans="1:3" x14ac:dyDescent="0.2">
      <c r="A309" s="530">
        <v>10</v>
      </c>
      <c r="B309" s="529" t="str">
        <f t="shared" si="9"/>
        <v>Ljudmila Varendi, Viktor Švarõgin</v>
      </c>
      <c r="C309" s="499">
        <f t="shared" si="10"/>
        <v>11</v>
      </c>
    </row>
    <row r="310" spans="1:3" x14ac:dyDescent="0.2">
      <c r="A310" s="530">
        <v>11</v>
      </c>
      <c r="B310" s="529" t="str">
        <f t="shared" si="9"/>
        <v>Enn Tokman, Liidia Põllu</v>
      </c>
      <c r="C310" s="499">
        <f t="shared" si="10"/>
        <v>10</v>
      </c>
    </row>
    <row r="311" spans="1:3" x14ac:dyDescent="0.2">
      <c r="A311" s="530">
        <v>12</v>
      </c>
      <c r="B311" s="529" t="str">
        <f t="shared" si="9"/>
        <v>Kaspar Mänd, Urmas Randlaine</v>
      </c>
      <c r="C311" s="499">
        <f t="shared" si="10"/>
        <v>9</v>
      </c>
    </row>
    <row r="312" spans="1:3" x14ac:dyDescent="0.2">
      <c r="A312" s="530">
        <v>13</v>
      </c>
      <c r="B312" s="529" t="str">
        <f t="shared" si="9"/>
        <v>Olav Türk, Urmas Jõeäär</v>
      </c>
      <c r="C312" s="499">
        <f t="shared" si="10"/>
        <v>8</v>
      </c>
    </row>
    <row r="313" spans="1:3" x14ac:dyDescent="0.2">
      <c r="A313" s="530">
        <v>14</v>
      </c>
      <c r="B313" s="529" t="str">
        <f t="shared" si="9"/>
        <v>Illar Tõnurist, Klavdia Piik</v>
      </c>
      <c r="C313" s="499">
        <f t="shared" si="10"/>
        <v>7</v>
      </c>
    </row>
    <row r="314" spans="1:3" x14ac:dyDescent="0.2">
      <c r="A314" s="530">
        <v>15</v>
      </c>
      <c r="B314" s="529" t="str">
        <f t="shared" si="9"/>
        <v>Margus Vasser, Vello Vasser</v>
      </c>
      <c r="C314" s="499">
        <f t="shared" si="10"/>
        <v>6</v>
      </c>
    </row>
    <row r="315" spans="1:3" x14ac:dyDescent="0.2">
      <c r="B315" s="62"/>
    </row>
  </sheetData>
  <conditionalFormatting sqref="D7 C8">
    <cfRule type="aboveAverage" dxfId="4079" priority="542"/>
  </conditionalFormatting>
  <conditionalFormatting sqref="E7 C9">
    <cfRule type="aboveAverage" dxfId="4078" priority="541"/>
  </conditionalFormatting>
  <conditionalFormatting sqref="F7 C10">
    <cfRule type="aboveAverage" dxfId="4077" priority="540"/>
  </conditionalFormatting>
  <conditionalFormatting sqref="E8 D9">
    <cfRule type="aboveAverage" dxfId="4076" priority="539"/>
  </conditionalFormatting>
  <conditionalFormatting sqref="G7 C11">
    <cfRule type="aboveAverage" dxfId="4075" priority="538"/>
  </conditionalFormatting>
  <conditionalFormatting sqref="F8 D10">
    <cfRule type="aboveAverage" dxfId="4074" priority="537"/>
  </conditionalFormatting>
  <conditionalFormatting sqref="G8 D11">
    <cfRule type="aboveAverage" dxfId="4073" priority="536"/>
  </conditionalFormatting>
  <conditionalFormatting sqref="F9 E10">
    <cfRule type="aboveAverage" dxfId="4072" priority="535"/>
  </conditionalFormatting>
  <conditionalFormatting sqref="G9 E11">
    <cfRule type="aboveAverage" dxfId="4071" priority="534"/>
  </conditionalFormatting>
  <conditionalFormatting sqref="F11 G10">
    <cfRule type="aboveAverage" dxfId="4070" priority="533"/>
  </conditionalFormatting>
  <conditionalFormatting sqref="D14 C15">
    <cfRule type="aboveAverage" dxfId="4069" priority="532"/>
  </conditionalFormatting>
  <conditionalFormatting sqref="E14 C16">
    <cfRule type="aboveAverage" dxfId="4068" priority="531"/>
  </conditionalFormatting>
  <conditionalFormatting sqref="F14 C17">
    <cfRule type="aboveAverage" dxfId="4067" priority="530"/>
  </conditionalFormatting>
  <conditionalFormatting sqref="E15 D16">
    <cfRule type="aboveAverage" dxfId="4066" priority="529"/>
  </conditionalFormatting>
  <conditionalFormatting sqref="G14 C18">
    <cfRule type="aboveAverage" dxfId="4065" priority="528"/>
  </conditionalFormatting>
  <conditionalFormatting sqref="F15 D17">
    <cfRule type="aboveAverage" dxfId="4064" priority="527"/>
  </conditionalFormatting>
  <conditionalFormatting sqref="G15 D18">
    <cfRule type="aboveAverage" dxfId="4063" priority="526"/>
  </conditionalFormatting>
  <conditionalFormatting sqref="F16 E17">
    <cfRule type="aboveAverage" dxfId="4062" priority="525"/>
  </conditionalFormatting>
  <conditionalFormatting sqref="G16 E18">
    <cfRule type="aboveAverage" dxfId="4061" priority="524"/>
  </conditionalFormatting>
  <conditionalFormatting sqref="F18 G17">
    <cfRule type="aboveAverage" dxfId="4060" priority="523"/>
  </conditionalFormatting>
  <conditionalFormatting sqref="D21 C22">
    <cfRule type="aboveAverage" dxfId="4059" priority="522"/>
  </conditionalFormatting>
  <conditionalFormatting sqref="E21 C23">
    <cfRule type="aboveAverage" dxfId="4058" priority="521"/>
  </conditionalFormatting>
  <conditionalFormatting sqref="F21 C24">
    <cfRule type="aboveAverage" dxfId="4057" priority="520"/>
  </conditionalFormatting>
  <conditionalFormatting sqref="E22 D23">
    <cfRule type="aboveAverage" dxfId="4056" priority="519"/>
  </conditionalFormatting>
  <conditionalFormatting sqref="G21 C25">
    <cfRule type="aboveAverage" dxfId="4055" priority="518"/>
  </conditionalFormatting>
  <conditionalFormatting sqref="F22 D24">
    <cfRule type="aboveAverage" dxfId="4054" priority="517"/>
  </conditionalFormatting>
  <conditionalFormatting sqref="G22 D25">
    <cfRule type="aboveAverage" dxfId="4053" priority="516"/>
  </conditionalFormatting>
  <conditionalFormatting sqref="F23 E24">
    <cfRule type="aboveAverage" dxfId="4052" priority="515"/>
  </conditionalFormatting>
  <conditionalFormatting sqref="G23 E25">
    <cfRule type="aboveAverage" dxfId="4051" priority="514"/>
  </conditionalFormatting>
  <conditionalFormatting sqref="F25 G24">
    <cfRule type="aboveAverage" dxfId="4050" priority="513"/>
  </conditionalFormatting>
  <conditionalFormatting sqref="D28 C29">
    <cfRule type="aboveAverage" dxfId="4049" priority="512"/>
  </conditionalFormatting>
  <conditionalFormatting sqref="E28 C30">
    <cfRule type="aboveAverage" dxfId="4048" priority="511"/>
  </conditionalFormatting>
  <conditionalFormatting sqref="F28 C31">
    <cfRule type="aboveAverage" dxfId="4047" priority="510"/>
  </conditionalFormatting>
  <conditionalFormatting sqref="E29 D30">
    <cfRule type="aboveAverage" dxfId="4046" priority="509"/>
  </conditionalFormatting>
  <conditionalFormatting sqref="G28 C32">
    <cfRule type="aboveAverage" dxfId="4045" priority="508"/>
  </conditionalFormatting>
  <conditionalFormatting sqref="F29 D31">
    <cfRule type="aboveAverage" dxfId="4044" priority="507"/>
  </conditionalFormatting>
  <conditionalFormatting sqref="G29 D32">
    <cfRule type="aboveAverage" dxfId="4043" priority="506"/>
  </conditionalFormatting>
  <conditionalFormatting sqref="F30 E31">
    <cfRule type="aboveAverage" dxfId="4042" priority="505"/>
  </conditionalFormatting>
  <conditionalFormatting sqref="G30 E32">
    <cfRule type="aboveAverage" dxfId="4041" priority="504"/>
  </conditionalFormatting>
  <conditionalFormatting sqref="F32 G31">
    <cfRule type="aboveAverage" dxfId="4040" priority="503"/>
  </conditionalFormatting>
  <conditionalFormatting sqref="H14:H18">
    <cfRule type="expression" dxfId="4039" priority="393">
      <formula>AND(Q14=4,IF(COUNTIF(Q$14:Q$18,"=4")&gt;=2,TRUE))</formula>
    </cfRule>
    <cfRule type="expression" dxfId="4038" priority="543">
      <formula>AND(Q14=3,IF(COUNTIF(Q$14:Q$18,"=3")&gt;=2,TRUE))</formula>
    </cfRule>
    <cfRule type="expression" dxfId="4037" priority="544">
      <formula>AND(Q14=2,IF(COUNTIF(Q$14:Q$18,"=2")&gt;=2,TRUE))</formula>
    </cfRule>
    <cfRule type="expression" dxfId="4036" priority="545">
      <formula>AND(Q14=1,IF(COUNTIF(Q$14:Q$18,"=1")&gt;=2,TRUE))</formula>
    </cfRule>
  </conditionalFormatting>
  <conditionalFormatting sqref="B7:B33">
    <cfRule type="duplicateValues" dxfId="4035" priority="448"/>
  </conditionalFormatting>
  <conditionalFormatting sqref="L7:L11">
    <cfRule type="expression" dxfId="4034" priority="431">
      <formula>K7=0</formula>
    </cfRule>
    <cfRule type="expression" dxfId="4033" priority="440">
      <formula>IF(COUNTIF(J$7:J$11,"=2")=2,TRUE)</formula>
    </cfRule>
    <cfRule type="expression" dxfId="4032" priority="441">
      <formula>IF(COUNTIF(J$7:J$11,"=1")=2,TRUE)</formula>
    </cfRule>
    <cfRule type="expression" dxfId="4031" priority="442">
      <formula>AND(IF(COUNTIF(Q$7:Q$11,"=1")=2,TRUE),IF(COUNTIF(Q$7:Q$11,"=2")=2,TRUE))</formula>
    </cfRule>
    <cfRule type="expression" dxfId="4030" priority="443">
      <formula>AND(Q7=4,IF(COUNTIF(Q$7:Q$11,"=4")=1,TRUE))</formula>
    </cfRule>
    <cfRule type="expression" dxfId="4029" priority="444">
      <formula>AND(Q7=3,IF(COUNTIF(Q$7:Q$11,"=3")=1,TRUE))</formula>
    </cfRule>
    <cfRule type="expression" dxfId="4028" priority="445">
      <formula>AND(Q7=2,IF(COUNTIF(Q$7:Q$11,"=2")=1,TRUE))</formula>
    </cfRule>
    <cfRule type="expression" dxfId="4027" priority="446">
      <formula>AND(Q7=1,IF(COUNTIF(Q$7:Q$11,"=1")=1,TRUE))</formula>
    </cfRule>
    <cfRule type="expression" dxfId="4026" priority="447">
      <formula>OR(Q7=0,Q7=5)</formula>
    </cfRule>
  </conditionalFormatting>
  <conditionalFormatting sqref="O7:O11">
    <cfRule type="expression" dxfId="4025" priority="439">
      <formula>OR(AND(J7=1,K7=1,L7=0,M7=1),AND(J7=2,K7=2,L7=0,M7=2))</formula>
    </cfRule>
  </conditionalFormatting>
  <conditionalFormatting sqref="M7:M11">
    <cfRule type="expression" dxfId="4024" priority="432">
      <formula>AND(L7&gt;0,IF(COUNTIF(L$7:L$11,L7)&gt;1,TRUE,FALSE))</formula>
    </cfRule>
    <cfRule type="expression" dxfId="4023" priority="433">
      <formula>AND(IF(COUNTIF(R$7:R$11,"=1")=2,TRUE),IF(COUNTIF(R$7:R$11,"=2")=2,TRUE))</formula>
    </cfRule>
    <cfRule type="expression" dxfId="4022" priority="434">
      <formula>AND(R7=4,IF(COUNTIF(R$7:R$11,"=4")=1,TRUE))</formula>
    </cfRule>
    <cfRule type="expression" dxfId="4021" priority="435">
      <formula>AND(R7=3,IF(COUNTIF(R$7:R$11,"=3")=1,TRUE))</formula>
    </cfRule>
    <cfRule type="expression" dxfId="4020" priority="436">
      <formula>AND(R7=2,IF(COUNTIF(R$7:R$11,"=2")=1,TRUE))</formula>
    </cfRule>
    <cfRule type="expression" dxfId="4019" priority="437">
      <formula>AND(R7=1,IF(COUNTIF(R$7:R$11,"=1")=1,TRUE))</formula>
    </cfRule>
    <cfRule type="expression" dxfId="4018" priority="438">
      <formula>OR(R7=0,R7=5)</formula>
    </cfRule>
  </conditionalFormatting>
  <conditionalFormatting sqref="J7:J11">
    <cfRule type="expression" dxfId="4017" priority="427">
      <formula>AND(Q7=4,IF(COUNTIF(Q$7:Q$11,"=4")&gt;=2,TRUE))</formula>
    </cfRule>
    <cfRule type="expression" dxfId="4016" priority="428">
      <formula>AND(Q7=3,IF(COUNTIF(Q$7:Q$11,"=3")&gt;=2,TRUE))</formula>
    </cfRule>
    <cfRule type="expression" dxfId="4015" priority="429">
      <formula>AND(Q7=2,IF(COUNTIF(Q$7:Q$11,"=2")&gt;=2,TRUE))</formula>
    </cfRule>
    <cfRule type="expression" dxfId="4014" priority="430">
      <formula>AND(Q7=1,IF(COUNTIF(Q$7:Q$11,"=1")&gt;=2,TRUE))</formula>
    </cfRule>
  </conditionalFormatting>
  <conditionalFormatting sqref="H7:H11">
    <cfRule type="expression" dxfId="4013" priority="394">
      <formula>AND(Q7=4,IF(COUNTIF(Q$7:Q$11,"=4")&gt;=2,TRUE))</formula>
    </cfRule>
    <cfRule type="expression" dxfId="4012" priority="546">
      <formula>AND(Q7=3,IF(COUNTIF(Q$7:Q$11,"=3")&gt;=2,TRUE))</formula>
    </cfRule>
    <cfRule type="expression" dxfId="4011" priority="547">
      <formula>AND(Q7=2,IF(COUNTIF(Q$7:Q$11,"=2")&gt;=2,TRUE))</formula>
    </cfRule>
    <cfRule type="expression" dxfId="4010" priority="548">
      <formula>AND(Q7=1,IF(COUNTIF(Q$7:Q$11,"=1")&gt;=2,TRUE))</formula>
    </cfRule>
  </conditionalFormatting>
  <conditionalFormatting sqref="K7:K11">
    <cfRule type="expression" dxfId="4009" priority="549">
      <formula>AND(J7&gt;0,IF(COUNTIF(J$7:J$11,"=1")=2,TRUE),IF(COUNTIF(J$7:J$11,"=2")=2,TRUE))</formula>
    </cfRule>
    <cfRule type="expression" dxfId="4008" priority="550">
      <formula>IF(COUNTIF(L$7:L$11,"=2")=2,TRUE)</formula>
    </cfRule>
    <cfRule type="expression" dxfId="4007" priority="551">
      <formula>IF(COUNTIF(L$7:L$11,"=1")=2,TRUE)</formula>
    </cfRule>
    <cfRule type="expression" dxfId="4006" priority="552">
      <formula>AND(IF(COUNTIF(R$7:R$11,"=1")=2,TRUE),IF(COUNTIF(S$7:S$11,"=2")=2,TRUE))</formula>
    </cfRule>
    <cfRule type="expression" dxfId="4005" priority="553">
      <formula>AND(R7=4,IF(COUNTIF(R$7:R$11,"=4")=1,TRUE))</formula>
    </cfRule>
    <cfRule type="expression" dxfId="4004" priority="554">
      <formula>AND(R7=3,IF(COUNTIF(R$7:R$11,"=3")=1,TRUE))</formula>
    </cfRule>
    <cfRule type="expression" dxfId="4003" priority="555">
      <formula>AND(R7=2,IF(COUNTIF(R$7:R$11,"=2")=1,TRUE))</formula>
    </cfRule>
    <cfRule type="expression" dxfId="4002" priority="556">
      <formula>AND(R7=1,IF(COUNTIF(R$7:R$11,"=1")=1,TRUE))</formula>
    </cfRule>
    <cfRule type="expression" dxfId="4001" priority="557">
      <formula>OR(R7=0,R7=5)</formula>
    </cfRule>
  </conditionalFormatting>
  <conditionalFormatting sqref="L14:L18">
    <cfRule type="expression" dxfId="4000" priority="399">
      <formula>K14=0</formula>
    </cfRule>
    <cfRule type="expression" dxfId="3999" priority="408">
      <formula>IF(COUNTIF(J$14:J$18,"=2")=2,TRUE)</formula>
    </cfRule>
    <cfRule type="expression" dxfId="3998" priority="409">
      <formula>IF(COUNTIF(J$14:J$18,"=1")=2,TRUE)</formula>
    </cfRule>
    <cfRule type="expression" dxfId="3997" priority="410">
      <formula>AND(IF(COUNTIF(Q$14:Q$18,"=1")=2,TRUE),IF(COUNTIF(Q$14:Q$18,"=2")=2,TRUE))</formula>
    </cfRule>
    <cfRule type="expression" dxfId="3996" priority="411">
      <formula>AND(Q14=4,IF(COUNTIF(Q$14:Q$18,"=4")=1,TRUE))</formula>
    </cfRule>
    <cfRule type="expression" dxfId="3995" priority="412">
      <formula>AND(Q14=3,IF(COUNTIF(Q$14:Q$18,"=3")=1,TRUE))</formula>
    </cfRule>
    <cfRule type="expression" dxfId="3994" priority="413">
      <formula>AND(Q14=2,IF(COUNTIF(Q$14:Q$18,"=2")=1,TRUE))</formula>
    </cfRule>
    <cfRule type="expression" dxfId="3993" priority="414">
      <formula>AND(Q14=1,IF(COUNTIF(Q$14:Q$18,"=1")=1,TRUE))</formula>
    </cfRule>
    <cfRule type="expression" dxfId="3992" priority="415">
      <formula>OR(Q14=0,Q14=5)</formula>
    </cfRule>
  </conditionalFormatting>
  <conditionalFormatting sqref="O14:O18">
    <cfRule type="expression" dxfId="3991" priority="407">
      <formula>OR(AND(J14=1,K14=1,L14=0,M14=1),AND(J14=2,K14=2,L14=0,M14=2))</formula>
    </cfRule>
  </conditionalFormatting>
  <conditionalFormatting sqref="M14:M18">
    <cfRule type="expression" dxfId="3990" priority="400">
      <formula>AND(L14&gt;0,IF(COUNTIF(L$14:L$18,L14)&gt;1,TRUE,FALSE))</formula>
    </cfRule>
    <cfRule type="expression" dxfId="3989" priority="401">
      <formula>AND(IF(COUNTIF(R$14:R$18,"=1")=2,TRUE),IF(COUNTIF(R$14:R$18,"=2")=2,TRUE))</formula>
    </cfRule>
    <cfRule type="expression" dxfId="3988" priority="402">
      <formula>AND(R14=4,IF(COUNTIF(R$14:R$18,"=4")=1,TRUE))</formula>
    </cfRule>
    <cfRule type="expression" dxfId="3987" priority="403">
      <formula>AND(R14=3,IF(COUNTIF(R$14:R$18,"=3")=1,TRUE))</formula>
    </cfRule>
    <cfRule type="expression" dxfId="3986" priority="404">
      <formula>AND(R14=2,IF(COUNTIF(R$14:R$18,"=2")=1,TRUE))</formula>
    </cfRule>
    <cfRule type="expression" dxfId="3985" priority="405">
      <formula>AND(R14=1,IF(COUNTIF(R$14:R$18,"=1")=1,TRUE))</formula>
    </cfRule>
    <cfRule type="expression" dxfId="3984" priority="406">
      <formula>OR(R14=0,R14=5)</formula>
    </cfRule>
  </conditionalFormatting>
  <conditionalFormatting sqref="J14:J18">
    <cfRule type="expression" dxfId="3983" priority="395">
      <formula>AND(Q14=4,IF(COUNTIF(Q$14:Q$18,"=4")&gt;=2,TRUE))</formula>
    </cfRule>
    <cfRule type="expression" dxfId="3982" priority="396">
      <formula>AND(Q14=3,IF(COUNTIF(Q$14:Q$18,"=3")&gt;=2,TRUE))</formula>
    </cfRule>
    <cfRule type="expression" dxfId="3981" priority="397">
      <formula>AND(Q14=2,IF(COUNTIF(Q$14:Q$18,"=2")&gt;=2,TRUE))</formula>
    </cfRule>
    <cfRule type="expression" dxfId="3980" priority="398">
      <formula>AND(Q14=1,IF(COUNTIF(Q$14:Q$18,"=1")&gt;=2,TRUE))</formula>
    </cfRule>
  </conditionalFormatting>
  <conditionalFormatting sqref="K14:K18">
    <cfRule type="expression" dxfId="3979" priority="418">
      <formula>AND(J14&gt;0,IF(COUNTIF(J$14:J$18,"=1")=2,TRUE),IF(COUNTIF(J$14:J$18,"=2")=2,TRUE))</formula>
    </cfRule>
    <cfRule type="expression" dxfId="3978" priority="419">
      <formula>IF(COUNTIF(L$14:L$18,"=2")=2,TRUE)</formula>
    </cfRule>
    <cfRule type="expression" dxfId="3977" priority="420">
      <formula>IF(COUNTIF(L$14:L$18,"=1")=2,TRUE)</formula>
    </cfRule>
    <cfRule type="expression" dxfId="3976" priority="421">
      <formula>AND(IF(COUNTIF(R$14:R$18,"=1")=2,TRUE),IF(COUNTIF(S$14:S$18,"=2")=2,TRUE))</formula>
    </cfRule>
    <cfRule type="expression" dxfId="3975" priority="422">
      <formula>AND(R14=4,IF(COUNTIF(R$14:R$18,"=4")=1,TRUE))</formula>
    </cfRule>
    <cfRule type="expression" dxfId="3974" priority="423">
      <formula>AND(R14=3,IF(COUNTIF(R$14:R$18,"=3")=1,TRUE))</formula>
    </cfRule>
    <cfRule type="expression" dxfId="3973" priority="424">
      <formula>AND(R14=2,IF(COUNTIF(R$14:R$18,"=2")=1,TRUE))</formula>
    </cfRule>
    <cfRule type="expression" dxfId="3972" priority="425">
      <formula>AND(R14=1,IF(COUNTIF(R$14:R$18,"=1")=1,TRUE))</formula>
    </cfRule>
    <cfRule type="expression" dxfId="3971" priority="426">
      <formula>OR(R14=0,R14=5)</formula>
    </cfRule>
  </conditionalFormatting>
  <conditionalFormatting sqref="L21:L25">
    <cfRule type="expression" dxfId="3970" priority="367">
      <formula>K21=0</formula>
    </cfRule>
    <cfRule type="expression" dxfId="3969" priority="376">
      <formula>IF(COUNTIF(J$21:J$25,"=2")=2,TRUE)</formula>
    </cfRule>
    <cfRule type="expression" dxfId="3968" priority="377">
      <formula>IF(COUNTIF(J$21:J$25,"=1")=2,TRUE)</formula>
    </cfRule>
    <cfRule type="expression" dxfId="3967" priority="378">
      <formula>AND(IF(COUNTIF(Q$21:Q$25,"=1")=2,TRUE),IF(COUNTIF(Q$21:Q$25,"=2")=2,TRUE))</formula>
    </cfRule>
    <cfRule type="expression" dxfId="3966" priority="379">
      <formula>AND(Q21=4,IF(COUNTIF(Q$21:Q$25,"=4")=1,TRUE))</formula>
    </cfRule>
    <cfRule type="expression" dxfId="3965" priority="380">
      <formula>AND(Q21=3,IF(COUNTIF(Q$21:Q$25,"=3")=1,TRUE))</formula>
    </cfRule>
    <cfRule type="expression" dxfId="3964" priority="381">
      <formula>AND(Q21=2,IF(COUNTIF(Q$21:Q$25,"=2")=1,TRUE))</formula>
    </cfRule>
    <cfRule type="expression" dxfId="3963" priority="382">
      <formula>AND(Q21=1,IF(COUNTIF(Q$21:Q$25,"=1")=1,TRUE))</formula>
    </cfRule>
    <cfRule type="expression" dxfId="3962" priority="383">
      <formula>OR(Q21=0,Q21=5)</formula>
    </cfRule>
  </conditionalFormatting>
  <conditionalFormatting sqref="O21:O25">
    <cfRule type="expression" dxfId="3961" priority="375">
      <formula>OR(AND(J21=1,K21=1,L21=0,M21=1),AND(J21=2,K21=2,L21=0,M21=2))</formula>
    </cfRule>
  </conditionalFormatting>
  <conditionalFormatting sqref="M21:M25">
    <cfRule type="expression" dxfId="3960" priority="368">
      <formula>AND(L21&gt;0,IF(COUNTIF(L$21:L$25,L21)&gt;1,TRUE,FALSE))</formula>
    </cfRule>
    <cfRule type="expression" dxfId="3959" priority="369">
      <formula>AND(IF(COUNTIF(R$21:R$25,"=1")=2,TRUE),IF(COUNTIF(R$21:R$25,"=2")=2,TRUE))</formula>
    </cfRule>
    <cfRule type="expression" dxfId="3958" priority="370">
      <formula>AND(R21=4,IF(COUNTIF(R$21:R$25,"=4")=1,TRUE))</formula>
    </cfRule>
    <cfRule type="expression" dxfId="3957" priority="371">
      <formula>AND(R21=3,IF(COUNTIF(R$21:R$25,"=3")=1,TRUE))</formula>
    </cfRule>
    <cfRule type="expression" dxfId="3956" priority="372">
      <formula>AND(R21=2,IF(COUNTIF(R$21:R$25,"=2")=1,TRUE))</formula>
    </cfRule>
    <cfRule type="expression" dxfId="3955" priority="373">
      <formula>AND(R21=1,IF(COUNTIF(R$21:R$25,"=1")=1,TRUE))</formula>
    </cfRule>
    <cfRule type="expression" dxfId="3954" priority="374">
      <formula>OR(R21=0,R21=5)</formula>
    </cfRule>
  </conditionalFormatting>
  <conditionalFormatting sqref="J21:J25">
    <cfRule type="expression" dxfId="3953" priority="363">
      <formula>AND(Q21=4,IF(COUNTIF(Q$21:Q$25,"=4")&gt;=2,TRUE))</formula>
    </cfRule>
    <cfRule type="expression" dxfId="3952" priority="364">
      <formula>AND(Q21=3,IF(COUNTIF(Q$21:Q$25,"=3")&gt;=2,TRUE))</formula>
    </cfRule>
    <cfRule type="expression" dxfId="3951" priority="365">
      <formula>AND(Q21=2,IF(COUNTIF(Q$21:Q$25,"=2")&gt;=2,TRUE))</formula>
    </cfRule>
    <cfRule type="expression" dxfId="3950" priority="366">
      <formula>AND(Q21=1,IF(COUNTIF(Q$21:Q$25,"=1")&gt;=2,TRUE))</formula>
    </cfRule>
  </conditionalFormatting>
  <conditionalFormatting sqref="K21:K25">
    <cfRule type="expression" dxfId="3949" priority="384">
      <formula>AND(J21&gt;0,IF(COUNTIF(J$21:J$25,"=1")=2,TRUE),IF(COUNTIF(J$21:J$25,"=2")=2,TRUE))</formula>
    </cfRule>
    <cfRule type="expression" dxfId="3948" priority="385">
      <formula>IF(COUNTIF(L$21:L$25,"=2")=2,TRUE)</formula>
    </cfRule>
    <cfRule type="expression" dxfId="3947" priority="386">
      <formula>IF(COUNTIF(L$21:L$25,"=1")=2,TRUE)</formula>
    </cfRule>
    <cfRule type="expression" dxfId="3946" priority="387">
      <formula>AND(IF(COUNTIF(R$21:R$25,"=1")=2,TRUE),IF(COUNTIF(S$21:S$25,"=2")=2,TRUE))</formula>
    </cfRule>
    <cfRule type="expression" dxfId="3945" priority="388">
      <formula>AND(R21=4,IF(COUNTIF(R$21:R$25,"=4")=1,TRUE))</formula>
    </cfRule>
    <cfRule type="expression" dxfId="3944" priority="389">
      <formula>AND(R21=3,IF(COUNTIF(R$21:R$25,"=3")=1,TRUE))</formula>
    </cfRule>
    <cfRule type="expression" dxfId="3943" priority="390">
      <formula>AND(R21=2,IF(COUNTIF(R$21:R$25,"=2")=1,TRUE))</formula>
    </cfRule>
    <cfRule type="expression" dxfId="3942" priority="391">
      <formula>AND(R21=1,IF(COUNTIF(R$21:R$25,"=1")=1,TRUE))</formula>
    </cfRule>
    <cfRule type="expression" dxfId="3941" priority="392">
      <formula>OR(R21=0,R21=5)</formula>
    </cfRule>
  </conditionalFormatting>
  <conditionalFormatting sqref="H21:H25">
    <cfRule type="expression" dxfId="3940" priority="359">
      <formula>AND(Q21=4,IF(COUNTIF(Q$21:Q$25,"=4")&gt;=2,TRUE))</formula>
    </cfRule>
    <cfRule type="expression" dxfId="3939" priority="360">
      <formula>AND(Q21=3,IF(COUNTIF(Q$21:Q$25,"=3")&gt;=2,TRUE))</formula>
    </cfRule>
    <cfRule type="expression" dxfId="3938" priority="361">
      <formula>AND(Q21=2,IF(COUNTIF(Q$21:Q$25,"=2")&gt;=2,TRUE))</formula>
    </cfRule>
    <cfRule type="expression" dxfId="3937" priority="362">
      <formula>AND(Q21=1,IF(COUNTIF(Q$21:Q$25,"=1")&gt;=2,TRUE))</formula>
    </cfRule>
  </conditionalFormatting>
  <conditionalFormatting sqref="L28:L32">
    <cfRule type="expression" dxfId="3936" priority="333">
      <formula>K28=0</formula>
    </cfRule>
    <cfRule type="expression" dxfId="3935" priority="342">
      <formula>IF(COUNTIF(J$28:J$32,"=2")=2,TRUE)</formula>
    </cfRule>
    <cfRule type="expression" dxfId="3934" priority="343">
      <formula>IF(COUNTIF(J$28:J$32,"=1")=2,TRUE)</formula>
    </cfRule>
    <cfRule type="expression" dxfId="3933" priority="344">
      <formula>AND(IF(COUNTIF(Q$28:Q$32,"=1")=2,TRUE),IF(COUNTIF(Q$28:Q$32,"=2")=2,TRUE))</formula>
    </cfRule>
    <cfRule type="expression" dxfId="3932" priority="345">
      <formula>AND(Q28=4,IF(COUNTIF(Q$28:Q$32,"=4")=1,TRUE))</formula>
    </cfRule>
    <cfRule type="expression" dxfId="3931" priority="346">
      <formula>AND(Q28=3,IF(COUNTIF(Q$28:Q$32,"=3")=1,TRUE))</formula>
    </cfRule>
    <cfRule type="expression" dxfId="3930" priority="347">
      <formula>AND(Q28=2,IF(COUNTIF(Q$28:Q$32,"=2")=1,TRUE))</formula>
    </cfRule>
    <cfRule type="expression" dxfId="3929" priority="348">
      <formula>AND(Q28=1,IF(COUNTIF(Q$28:Q$32,"=1")=1,TRUE))</formula>
    </cfRule>
    <cfRule type="expression" dxfId="3928" priority="349">
      <formula>OR(Q28=0,Q28=5)</formula>
    </cfRule>
  </conditionalFormatting>
  <conditionalFormatting sqref="O28:O32">
    <cfRule type="expression" dxfId="3927" priority="341">
      <formula>OR(AND(J28=1,K28=1,L28=0,M28=1),AND(J28=2,K28=2,L28=0,M28=2))</formula>
    </cfRule>
  </conditionalFormatting>
  <conditionalFormatting sqref="M28:M32">
    <cfRule type="expression" dxfId="3926" priority="334">
      <formula>AND(L28&gt;0,IF(COUNTIF(L$28:L$32,L28)&gt;1,TRUE,FALSE))</formula>
    </cfRule>
    <cfRule type="expression" dxfId="3925" priority="335">
      <formula>AND(IF(COUNTIF(R$28:R$32,"=1")=2,TRUE),IF(COUNTIF(R$28:R$32,"=2")=2,TRUE))</formula>
    </cfRule>
    <cfRule type="expression" dxfId="3924" priority="336">
      <formula>AND(R28=4,IF(COUNTIF(R$28:R$32,"=4")=1,TRUE))</formula>
    </cfRule>
    <cfRule type="expression" dxfId="3923" priority="337">
      <formula>AND(R28=3,IF(COUNTIF(R$28:R$32,"=3")=1,TRUE))</formula>
    </cfRule>
    <cfRule type="expression" dxfId="3922" priority="338">
      <formula>AND(R28=2,IF(COUNTIF(R$28:R$32,"=2")=1,TRUE))</formula>
    </cfRule>
    <cfRule type="expression" dxfId="3921" priority="339">
      <formula>AND(R28=1,IF(COUNTIF(R$28:R$32,"=1")=1,TRUE))</formula>
    </cfRule>
    <cfRule type="expression" dxfId="3920" priority="340">
      <formula>OR(R28=0,R28=5)</formula>
    </cfRule>
  </conditionalFormatting>
  <conditionalFormatting sqref="J28:J32">
    <cfRule type="expression" dxfId="3919" priority="329">
      <formula>AND(Q28=4,IF(COUNTIF(Q$28:Q$32,"=4")&gt;=2,TRUE))</formula>
    </cfRule>
    <cfRule type="expression" dxfId="3918" priority="330">
      <formula>AND(Q28=3,IF(COUNTIF(Q$28:Q$32,"=3")&gt;=2,TRUE))</formula>
    </cfRule>
    <cfRule type="expression" dxfId="3917" priority="331">
      <formula>AND(Q28=2,IF(COUNTIF(Q$28:Q$32,"=2")&gt;=2,TRUE))</formula>
    </cfRule>
    <cfRule type="expression" dxfId="3916" priority="332">
      <formula>AND(Q28=1,IF(COUNTIF(Q$28:Q$32,"=1")&gt;=2,TRUE))</formula>
    </cfRule>
  </conditionalFormatting>
  <conditionalFormatting sqref="K28:K32">
    <cfRule type="expression" dxfId="3915" priority="350">
      <formula>AND(J28&gt;0,IF(COUNTIF(J$28:J$32,"=1")=2,TRUE),IF(COUNTIF(J$28:J$32,"=2")=2,TRUE))</formula>
    </cfRule>
    <cfRule type="expression" dxfId="3914" priority="351">
      <formula>IF(COUNTIF(L$28:L$32,"=2")=2,TRUE)</formula>
    </cfRule>
    <cfRule type="expression" dxfId="3913" priority="352">
      <formula>IF(COUNTIF(L$28:L$32,"=1")=2,TRUE)</formula>
    </cfRule>
    <cfRule type="expression" dxfId="3912" priority="353">
      <formula>AND(IF(COUNTIF(R$28:R$32,"=1")=2,TRUE),IF(COUNTIF(S$28:S$32,"=2")=2,TRUE))</formula>
    </cfRule>
    <cfRule type="expression" dxfId="3911" priority="354">
      <formula>AND(R28=4,IF(COUNTIF(R$28:R$32,"=4")=1,TRUE))</formula>
    </cfRule>
    <cfRule type="expression" dxfId="3910" priority="355">
      <formula>AND(R28=3,IF(COUNTIF(R$28:R$32,"=3")=1,TRUE))</formula>
    </cfRule>
    <cfRule type="expression" dxfId="3909" priority="356">
      <formula>AND(R28=2,IF(COUNTIF(R$28:R$32,"=2")=1,TRUE))</formula>
    </cfRule>
    <cfRule type="expression" dxfId="3908" priority="357">
      <formula>AND(R28=1,IF(COUNTIF(R$28:R$32,"=1")=1,TRUE))</formula>
    </cfRule>
    <cfRule type="expression" dxfId="3907" priority="358">
      <formula>OR(R28=0,R28=5)</formula>
    </cfRule>
  </conditionalFormatting>
  <conditionalFormatting sqref="H28:H32">
    <cfRule type="expression" dxfId="3906" priority="325">
      <formula>AND(Q28=4,IF(COUNTIF(Q$28:Q$32,"=4")&gt;=2,TRUE))</formula>
    </cfRule>
    <cfRule type="expression" dxfId="3905" priority="326">
      <formula>AND(Q28=3,IF(COUNTIF(Q$28:Q$32,"=3")&gt;=2,TRUE))</formula>
    </cfRule>
    <cfRule type="expression" dxfId="3904" priority="327">
      <formula>AND(Q28=2,IF(COUNTIF(Q$28:Q$32,"=2")&gt;=2,TRUE))</formula>
    </cfRule>
    <cfRule type="expression" dxfId="3903" priority="328">
      <formula>AND(Q28=1,IF(COUNTIF(Q$28:Q$32,"=1")&gt;=2,TRUE))</formula>
    </cfRule>
  </conditionalFormatting>
  <conditionalFormatting sqref="G124 G128 G131 G133">
    <cfRule type="containsBlanks" dxfId="3902" priority="110">
      <formula>LEN(TRIM(G124))=0</formula>
    </cfRule>
  </conditionalFormatting>
  <conditionalFormatting sqref="E123 E125">
    <cfRule type="containsBlanks" dxfId="3901" priority="102">
      <formula>LEN(TRIM(E123))=0</formula>
    </cfRule>
  </conditionalFormatting>
  <conditionalFormatting sqref="E127 E129">
    <cfRule type="containsBlanks" dxfId="3900" priority="100">
      <formula>LEN(TRIM(E127))=0</formula>
    </cfRule>
  </conditionalFormatting>
  <conditionalFormatting sqref="G162 G166 G169 G171">
    <cfRule type="containsBlanks" dxfId="3899" priority="81">
      <formula>LEN(TRIM(G162))=0</formula>
    </cfRule>
  </conditionalFormatting>
  <conditionalFormatting sqref="G143 G151">
    <cfRule type="containsBlanks" dxfId="3898" priority="67">
      <formula>LEN(TRIM(G143))=0</formula>
    </cfRule>
    <cfRule type="aboveAverage" dxfId="3897" priority="68"/>
  </conditionalFormatting>
  <conditionalFormatting sqref="A102:A116">
    <cfRule type="cellIs" dxfId="3896" priority="113" operator="equal">
      <formula>"-"</formula>
    </cfRule>
    <cfRule type="duplicateValues" dxfId="3895" priority="114"/>
  </conditionalFormatting>
  <conditionalFormatting sqref="G124 G128">
    <cfRule type="aboveAverage" dxfId="3894" priority="112"/>
  </conditionalFormatting>
  <conditionalFormatting sqref="G131 G133">
    <cfRule type="aboveAverage" dxfId="3893" priority="111"/>
  </conditionalFormatting>
  <conditionalFormatting sqref="E123 E125">
    <cfRule type="aboveAverage" dxfId="3892" priority="103"/>
  </conditionalFormatting>
  <conditionalFormatting sqref="E127 E129">
    <cfRule type="aboveAverage" dxfId="3891" priority="101"/>
  </conditionalFormatting>
  <conditionalFormatting sqref="G117 G119">
    <cfRule type="aboveAverage" dxfId="3890" priority="99"/>
  </conditionalFormatting>
  <conditionalFormatting sqref="G117 G119">
    <cfRule type="containsBlanks" dxfId="3889" priority="98">
      <formula>LEN(TRIM(G117))=0</formula>
    </cfRule>
  </conditionalFormatting>
  <conditionalFormatting sqref="E103 E107">
    <cfRule type="containsBlanks" dxfId="3888" priority="92">
      <formula>LEN(TRIM(E103))=0</formula>
    </cfRule>
    <cfRule type="aboveAverage" dxfId="3887" priority="93"/>
  </conditionalFormatting>
  <conditionalFormatting sqref="A140:A154">
    <cfRule type="cellIs" dxfId="3886" priority="84" operator="equal">
      <formula>"-"</formula>
    </cfRule>
    <cfRule type="duplicateValues" dxfId="3885" priority="85"/>
  </conditionalFormatting>
  <conditionalFormatting sqref="G162 G166">
    <cfRule type="aboveAverage" dxfId="3884" priority="83"/>
  </conditionalFormatting>
  <conditionalFormatting sqref="G169 G171">
    <cfRule type="aboveAverage" dxfId="3883" priority="82"/>
  </conditionalFormatting>
  <conditionalFormatting sqref="E161 E163">
    <cfRule type="aboveAverage" dxfId="3882" priority="74"/>
  </conditionalFormatting>
  <conditionalFormatting sqref="E161 E163">
    <cfRule type="containsBlanks" dxfId="3881" priority="73">
      <formula>LEN(TRIM(E161))=0</formula>
    </cfRule>
  </conditionalFormatting>
  <conditionalFormatting sqref="E165 E167">
    <cfRule type="aboveAverage" dxfId="3880" priority="72"/>
  </conditionalFormatting>
  <conditionalFormatting sqref="E165 E167">
    <cfRule type="containsBlanks" dxfId="3879" priority="71">
      <formula>LEN(TRIM(E165))=0</formula>
    </cfRule>
  </conditionalFormatting>
  <conditionalFormatting sqref="G155 G157">
    <cfRule type="aboveAverage" dxfId="3878" priority="70"/>
  </conditionalFormatting>
  <conditionalFormatting sqref="G155 G157">
    <cfRule type="containsBlanks" dxfId="3877" priority="69">
      <formula>LEN(TRIM(G155))=0</formula>
    </cfRule>
  </conditionalFormatting>
  <conditionalFormatting sqref="C106 C108">
    <cfRule type="aboveAverage" dxfId="3876" priority="55"/>
  </conditionalFormatting>
  <conditionalFormatting sqref="C110 C112">
    <cfRule type="aboveAverage" dxfId="3875" priority="54"/>
  </conditionalFormatting>
  <conditionalFormatting sqref="C114 C116">
    <cfRule type="aboveAverage" dxfId="3874" priority="53"/>
  </conditionalFormatting>
  <conditionalFormatting sqref="C106 C108 C110 C112 C114 C116">
    <cfRule type="containsBlanks" dxfId="3873" priority="52">
      <formula>LEN(TRIM(C106))=0</formula>
    </cfRule>
  </conditionalFormatting>
  <conditionalFormatting sqref="C102 C104">
    <cfRule type="aboveAverage" dxfId="3872" priority="51"/>
  </conditionalFormatting>
  <conditionalFormatting sqref="C102 C104">
    <cfRule type="containsBlanks" dxfId="3871" priority="50">
      <formula>LEN(TRIM(C102))=0</formula>
    </cfRule>
  </conditionalFormatting>
  <conditionalFormatting sqref="C144 C146">
    <cfRule type="aboveAverage" dxfId="3870" priority="48"/>
  </conditionalFormatting>
  <conditionalFormatting sqref="C148 C150">
    <cfRule type="aboveAverage" dxfId="3869" priority="47"/>
  </conditionalFormatting>
  <conditionalFormatting sqref="C152">
    <cfRule type="aboveAverage" dxfId="3868" priority="46"/>
  </conditionalFormatting>
  <conditionalFormatting sqref="C144 C146 C148 C150 C152">
    <cfRule type="containsBlanks" dxfId="3867" priority="45">
      <formula>LEN(TRIM(C144))=0</formula>
    </cfRule>
  </conditionalFormatting>
  <conditionalFormatting sqref="C140 C142">
    <cfRule type="aboveAverage" dxfId="3866" priority="44"/>
  </conditionalFormatting>
  <conditionalFormatting sqref="C140 C142">
    <cfRule type="containsBlanks" dxfId="3865" priority="43">
      <formula>LEN(TRIM(C140))=0</formula>
    </cfRule>
  </conditionalFormatting>
  <conditionalFormatting sqref="C154">
    <cfRule type="aboveAverage" dxfId="3864" priority="36"/>
  </conditionalFormatting>
  <conditionalFormatting sqref="C154">
    <cfRule type="containsBlanks" dxfId="3863" priority="35">
      <formula>LEN(TRIM(C154))=0</formula>
    </cfRule>
  </conditionalFormatting>
  <conditionalFormatting sqref="C154">
    <cfRule type="aboveAverage" dxfId="3862" priority="34"/>
  </conditionalFormatting>
  <conditionalFormatting sqref="C154">
    <cfRule type="containsBlanks" dxfId="3861" priority="33">
      <formula>LEN(TRIM(C154))=0</formula>
    </cfRule>
  </conditionalFormatting>
  <conditionalFormatting sqref="E111 E115">
    <cfRule type="containsBlanks" dxfId="3860" priority="31">
      <formula>LEN(TRIM(E111))=0</formula>
    </cfRule>
    <cfRule type="aboveAverage" dxfId="3859" priority="32"/>
  </conditionalFormatting>
  <conditionalFormatting sqref="E141 E145">
    <cfRule type="containsBlanks" dxfId="3858" priority="29">
      <formula>LEN(TRIM(E141))=0</formula>
    </cfRule>
    <cfRule type="aboveAverage" dxfId="3857" priority="30"/>
  </conditionalFormatting>
  <conditionalFormatting sqref="E149 E153">
    <cfRule type="containsBlanks" dxfId="3856" priority="27">
      <formula>LEN(TRIM(E149))=0</formula>
    </cfRule>
    <cfRule type="aboveAverage" dxfId="3855" priority="28"/>
  </conditionalFormatting>
  <conditionalFormatting sqref="G105 G113">
    <cfRule type="containsBlanks" dxfId="3854" priority="25">
      <formula>LEN(TRIM(G105))=0</formula>
    </cfRule>
    <cfRule type="aboveAverage" dxfId="3853" priority="26"/>
  </conditionalFormatting>
  <conditionalFormatting sqref="B300:B314">
    <cfRule type="expression" dxfId="3852" priority="20">
      <formula>A300=3</formula>
    </cfRule>
    <cfRule type="expression" dxfId="3851" priority="21">
      <formula>A300=2</formula>
    </cfRule>
    <cfRule type="expression" dxfId="3850" priority="22">
      <formula>A300=1</formula>
    </cfRule>
    <cfRule type="containsBlanks" dxfId="3849" priority="23">
      <formula>LEN(TRIM(B300))=0</formula>
    </cfRule>
    <cfRule type="duplicateValues" dxfId="3848" priority="24"/>
  </conditionalFormatting>
  <conditionalFormatting sqref="AJ7:AJ31">
    <cfRule type="expression" dxfId="3847" priority="13">
      <formula>AND(AI7="",FIND(",",AJ7))</formula>
    </cfRule>
    <cfRule type="expression" dxfId="3846" priority="15">
      <formula>AND(AI7="",COUNTIF(AJ7,"*,*")=0)</formula>
    </cfRule>
  </conditionalFormatting>
  <conditionalFormatting sqref="AH7:AH31">
    <cfRule type="expression" dxfId="3845" priority="16">
      <formula>AND(AG7="",FIND(",",AH7))</formula>
    </cfRule>
    <cfRule type="expression" dxfId="3844" priority="17">
      <formula>AND(AG7="",COUNTIF(AH7,"*,*")=0)</formula>
    </cfRule>
  </conditionalFormatting>
  <conditionalFormatting sqref="AL7:AL31">
    <cfRule type="expression" dxfId="3843" priority="18">
      <formula>AND(AK7="",FIND(",",AL7))</formula>
    </cfRule>
    <cfRule type="expression" dxfId="3842" priority="19">
      <formula>AND(AK7="",COUNTIF(AL7,"*,*")=0)</formula>
    </cfRule>
  </conditionalFormatting>
  <conditionalFormatting sqref="AF7:AF31">
    <cfRule type="expression" dxfId="3841" priority="14">
      <formula>AND(AE7="",COUNTIF(AF7,"*,*")=0)</formula>
    </cfRule>
  </conditionalFormatting>
  <conditionalFormatting sqref="AN7:AN31">
    <cfRule type="expression" dxfId="3840" priority="10">
      <formula>AND(AM7="",COUNTIF(AN7,"*,*")=0)</formula>
    </cfRule>
    <cfRule type="expression" dxfId="3839" priority="12">
      <formula>AND(AM7="",FIND(",",AN7))</formula>
    </cfRule>
  </conditionalFormatting>
  <conditionalFormatting sqref="AP7:AP31">
    <cfRule type="expression" dxfId="3838" priority="9">
      <formula>AND(AO7="",COUNTIF(AP7,"*,*")=0)</formula>
    </cfRule>
    <cfRule type="expression" dxfId="3837" priority="11">
      <formula>AND(AO7="",FIND(",",AP7))</formula>
    </cfRule>
  </conditionalFormatting>
  <conditionalFormatting sqref="I28:I32">
    <cfRule type="expression" dxfId="3836" priority="3">
      <formula>FIND(2,I28,1)</formula>
    </cfRule>
    <cfRule type="expression" dxfId="3835" priority="4">
      <formula>FIND(1,I28,1)</formula>
    </cfRule>
  </conditionalFormatting>
  <conditionalFormatting sqref="I21:I25">
    <cfRule type="expression" dxfId="3834" priority="5">
      <formula>FIND(2,I21,1)</formula>
    </cfRule>
    <cfRule type="expression" dxfId="3833" priority="6">
      <formula>FIND(1,I21,1)</formula>
    </cfRule>
  </conditionalFormatting>
  <conditionalFormatting sqref="I7:I11">
    <cfRule type="expression" dxfId="3832" priority="7">
      <formula>FIND(2,I7,1)</formula>
    </cfRule>
    <cfRule type="expression" dxfId="3831" priority="8">
      <formula>FIND(1,I7,1)</formula>
    </cfRule>
  </conditionalFormatting>
  <conditionalFormatting sqref="I14:I18">
    <cfRule type="expression" dxfId="3830" priority="1">
      <formula>FIND(2,I14,1)</formula>
    </cfRule>
    <cfRule type="expression" dxfId="3829" priority="2">
      <formula>FIND(1,I14,1)</formula>
    </cfRule>
  </conditionalFormatting>
  <pageMargins left="0.78740157480314965" right="0.39370078740157483" top="0.78740157480314965" bottom="0.39370078740157483" header="0.78740157480314965" footer="0"/>
  <pageSetup paperSize="9" fitToHeight="0" orientation="landscape" verticalDpi="1200" r:id="rId1"/>
  <headerFooter>
    <oddHeader>&amp;R&amp;P. leht &amp;N&amp; -st</oddHeader>
  </headerFooter>
  <rowBreaks count="3" manualBreakCount="3">
    <brk id="98" max="16383" man="1"/>
    <brk id="136" max="16383" man="1"/>
    <brk id="297"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pageSetUpPr fitToPage="1"/>
  </sheetPr>
  <dimension ref="A1:AP315"/>
  <sheetViews>
    <sheetView showGridLines="0" showRowColHeaders="0" workbookViewId="0">
      <pane ySplit="1" topLeftCell="A2" activePane="bottomLeft" state="frozen"/>
      <selection pane="bottomLeft" activeCell="A5" sqref="A5"/>
    </sheetView>
  </sheetViews>
  <sheetFormatPr defaultRowHeight="12.75" x14ac:dyDescent="0.2"/>
  <cols>
    <col min="1" max="1" width="3.28515625" style="1" customWidth="1"/>
    <col min="2" max="2" width="30.85546875" style="1" bestFit="1" customWidth="1"/>
    <col min="3" max="7" width="7.7109375" style="1" customWidth="1"/>
    <col min="8" max="9" width="6.7109375" style="1" customWidth="1"/>
    <col min="10" max="15" width="5.5703125" style="1" customWidth="1"/>
    <col min="16" max="20" width="0" style="1" hidden="1" customWidth="1"/>
    <col min="21" max="21" width="9.140625" style="1"/>
    <col min="22" max="28" width="0" style="1" hidden="1" customWidth="1"/>
    <col min="29" max="29" width="9.140625" style="1"/>
    <col min="30" max="31" width="9.140625" style="1" hidden="1" customWidth="1"/>
    <col min="32" max="32" width="18.140625" style="1" hidden="1" customWidth="1"/>
    <col min="33" max="33" width="9.140625" style="1" hidden="1" customWidth="1"/>
    <col min="34" max="34" width="18.7109375" style="1" hidden="1" customWidth="1"/>
    <col min="35" max="35" width="9.140625" style="1" hidden="1" customWidth="1"/>
    <col min="36" max="36" width="17.28515625" style="1" hidden="1" customWidth="1"/>
    <col min="37" max="37" width="9.140625" style="1" hidden="1" customWidth="1"/>
    <col min="38" max="38" width="13.85546875" style="1" hidden="1" customWidth="1"/>
    <col min="39" max="39" width="9.140625" style="1" hidden="1" customWidth="1"/>
    <col min="40" max="40" width="17.28515625" style="1" hidden="1" customWidth="1"/>
    <col min="41" max="41" width="9.140625" style="1" hidden="1" customWidth="1"/>
    <col min="42" max="42" width="13.85546875" style="1" hidden="1" customWidth="1"/>
    <col min="43" max="16384" width="9.140625" style="1"/>
  </cols>
  <sheetData>
    <row r="1" spans="1:42" x14ac:dyDescent="0.2">
      <c r="A1" s="400" t="str">
        <f>UPPER((Kalend!E12)&amp;" - "&amp;(Kalend!C12))&amp;" - "&amp;LOWER(Kalend!D12)&amp;" - "&amp;(Kalend!A12)&amp;" kell "&amp;(Kalend!B12)&amp;" - "&amp;(Kalend!F12)</f>
        <v>V5 - VOKA III SISE-KV 5. ETAPP - duo - L. 07.12.2019 kell 11:00 - Voka petangihall</v>
      </c>
      <c r="D1" s="477"/>
      <c r="E1" s="477"/>
      <c r="F1" s="477"/>
      <c r="G1" s="477"/>
      <c r="H1" s="477"/>
      <c r="I1" s="477"/>
      <c r="J1" s="477"/>
      <c r="K1" s="477"/>
      <c r="L1" s="477"/>
      <c r="M1" s="477"/>
      <c r="N1" s="477"/>
      <c r="P1" s="447" t="s">
        <v>94</v>
      </c>
      <c r="Q1" s="448"/>
      <c r="R1" s="448"/>
      <c r="S1" s="448"/>
      <c r="T1" s="448"/>
      <c r="U1" s="70"/>
      <c r="V1" s="70"/>
      <c r="W1" s="271"/>
      <c r="X1" s="291"/>
      <c r="Y1" s="271"/>
      <c r="Z1" s="271"/>
      <c r="AA1" s="271"/>
      <c r="AD1" s="152" t="s">
        <v>94</v>
      </c>
      <c r="AE1" s="402"/>
      <c r="AF1" s="402"/>
      <c r="AG1" s="402"/>
      <c r="AH1" s="402"/>
      <c r="AI1" s="402"/>
      <c r="AJ1" s="402"/>
      <c r="AK1" s="402"/>
      <c r="AL1" s="402"/>
      <c r="AM1" s="402"/>
      <c r="AN1" s="402"/>
      <c r="AO1" s="532"/>
      <c r="AP1" s="532"/>
    </row>
    <row r="2" spans="1:42" hidden="1" x14ac:dyDescent="0.2">
      <c r="A2" s="477"/>
      <c r="D2" s="477"/>
      <c r="E2" s="477"/>
      <c r="F2" s="477"/>
      <c r="G2" s="477"/>
      <c r="H2" s="477"/>
      <c r="I2" s="477"/>
      <c r="J2" s="477"/>
      <c r="K2" s="477"/>
      <c r="L2" s="477"/>
      <c r="M2" s="477"/>
      <c r="N2" s="477"/>
      <c r="O2" s="477"/>
      <c r="P2" s="271"/>
      <c r="Q2" s="271"/>
      <c r="R2" s="271"/>
      <c r="S2" s="271"/>
      <c r="T2" s="409"/>
      <c r="U2" s="409"/>
      <c r="V2" s="409"/>
      <c r="W2" s="271"/>
      <c r="X2" s="271"/>
      <c r="Y2" s="271"/>
      <c r="Z2" s="271"/>
      <c r="AD2" s="271"/>
      <c r="AE2" s="271"/>
      <c r="AF2" s="271"/>
      <c r="AG2" s="271"/>
      <c r="AH2" s="271"/>
      <c r="AI2" s="271"/>
      <c r="AJ2" s="412"/>
      <c r="AK2" s="271"/>
      <c r="AL2" s="271"/>
      <c r="AM2" s="271"/>
      <c r="AN2" s="271"/>
    </row>
    <row r="3" spans="1:42" hidden="1" x14ac:dyDescent="0.2">
      <c r="A3" s="477"/>
      <c r="D3" s="477"/>
      <c r="E3" s="477"/>
      <c r="F3" s="477"/>
      <c r="G3" s="477"/>
      <c r="H3" s="477"/>
      <c r="I3" s="477"/>
      <c r="J3" s="477"/>
      <c r="K3" s="477"/>
      <c r="L3" s="477"/>
      <c r="M3" s="477"/>
      <c r="N3" s="477"/>
      <c r="O3" s="477"/>
      <c r="P3" s="271"/>
      <c r="Q3" s="271"/>
      <c r="R3" s="271"/>
      <c r="S3" s="271"/>
      <c r="T3" s="409"/>
      <c r="U3" s="409"/>
      <c r="V3" s="409"/>
      <c r="W3" s="271"/>
      <c r="X3" s="271"/>
      <c r="Y3" s="271"/>
      <c r="Z3" s="271"/>
      <c r="AA3" s="271"/>
      <c r="AE3" s="271"/>
      <c r="AG3" s="271"/>
      <c r="AH3" s="271"/>
      <c r="AI3" s="271"/>
      <c r="AJ3" s="271"/>
      <c r="AK3" s="271"/>
      <c r="AL3" s="271"/>
      <c r="AM3" s="271"/>
      <c r="AN3" s="271"/>
    </row>
    <row r="4" spans="1:42" hidden="1" x14ac:dyDescent="0.2">
      <c r="A4" s="477"/>
      <c r="D4" s="477"/>
      <c r="E4" s="477"/>
      <c r="F4" s="477"/>
      <c r="G4" s="477"/>
      <c r="H4" s="477"/>
      <c r="I4" s="477"/>
      <c r="J4" s="477"/>
      <c r="K4" s="477"/>
      <c r="L4" s="477"/>
      <c r="M4" s="477"/>
      <c r="N4" s="477"/>
      <c r="O4" s="477"/>
      <c r="P4" s="271"/>
      <c r="Q4" s="271"/>
      <c r="R4" s="271"/>
      <c r="S4" s="271"/>
      <c r="T4" s="271"/>
      <c r="U4" s="271"/>
      <c r="V4" s="271"/>
      <c r="W4" s="271"/>
      <c r="X4" s="271"/>
      <c r="Y4" s="271"/>
      <c r="Z4" s="271"/>
      <c r="AA4" s="271"/>
      <c r="AE4" s="409"/>
      <c r="AF4" s="409"/>
      <c r="AG4" s="409"/>
      <c r="AH4" s="376"/>
      <c r="AI4" s="409"/>
      <c r="AJ4" s="409"/>
      <c r="AK4" s="409"/>
      <c r="AL4" s="409"/>
      <c r="AM4" s="409"/>
      <c r="AN4" s="409"/>
      <c r="AO4" s="409"/>
      <c r="AP4" s="409"/>
    </row>
    <row r="5" spans="1:42" x14ac:dyDescent="0.2">
      <c r="F5" s="271"/>
      <c r="G5" s="53"/>
      <c r="H5" s="53"/>
      <c r="I5" s="53"/>
      <c r="J5" s="53"/>
      <c r="K5" s="53"/>
      <c r="L5" s="312"/>
      <c r="M5" s="271"/>
      <c r="N5" s="967" t="s">
        <v>476</v>
      </c>
      <c r="O5" s="271"/>
      <c r="P5" s="271"/>
      <c r="Q5" s="271"/>
      <c r="R5" s="271"/>
      <c r="S5" s="271"/>
      <c r="T5" s="271"/>
      <c r="U5" s="271"/>
      <c r="V5" s="271"/>
      <c r="W5" s="271"/>
      <c r="X5" s="271"/>
      <c r="Y5" s="271"/>
      <c r="Z5" s="271"/>
      <c r="AA5" s="271"/>
      <c r="AC5" s="271"/>
      <c r="AD5" s="964" t="s">
        <v>214</v>
      </c>
    </row>
    <row r="6" spans="1:42" x14ac:dyDescent="0.2">
      <c r="A6" s="316" t="s">
        <v>0</v>
      </c>
      <c r="B6" s="466"/>
      <c r="C6" s="467">
        <v>1</v>
      </c>
      <c r="D6" s="467">
        <v>2</v>
      </c>
      <c r="E6" s="467">
        <v>3</v>
      </c>
      <c r="F6" s="467">
        <v>4</v>
      </c>
      <c r="G6" s="467"/>
      <c r="H6" s="467" t="s">
        <v>168</v>
      </c>
      <c r="I6" s="275" t="s">
        <v>169</v>
      </c>
      <c r="J6" s="469" t="s">
        <v>257</v>
      </c>
      <c r="K6" s="470" t="s">
        <v>258</v>
      </c>
      <c r="L6" s="471" t="s">
        <v>259</v>
      </c>
      <c r="M6" s="471" t="s">
        <v>260</v>
      </c>
      <c r="N6" s="472" t="s">
        <v>170</v>
      </c>
      <c r="O6" s="472" t="s">
        <v>170</v>
      </c>
      <c r="P6" s="473" t="s">
        <v>261</v>
      </c>
      <c r="Q6" s="474" t="s">
        <v>21</v>
      </c>
      <c r="R6" s="474" t="b">
        <f>OR(AND(COUNTA(B7:B11)=3,COUNTA(C7:G11)=6),AND(COUNTA(B7:B11)=4,COUNTA(C7:G11)=12),AND(COUNTA(B7:B11)=5,COUNTA(C7:G11)=20))</f>
        <v>1</v>
      </c>
      <c r="S6" s="475" t="s">
        <v>262</v>
      </c>
      <c r="T6" s="476" t="s">
        <v>263</v>
      </c>
      <c r="U6" s="477"/>
      <c r="V6" s="477"/>
      <c r="W6" s="477"/>
      <c r="X6" s="477"/>
      <c r="Y6" s="477"/>
      <c r="Z6" s="477"/>
      <c r="AA6" s="477"/>
      <c r="AB6" s="477"/>
      <c r="AC6" s="478"/>
      <c r="AD6" s="272" t="s">
        <v>370</v>
      </c>
      <c r="AE6" s="273"/>
      <c r="AF6" s="273" t="s">
        <v>249</v>
      </c>
      <c r="AG6" s="273"/>
      <c r="AH6" s="403" t="s">
        <v>250</v>
      </c>
      <c r="AI6" s="273"/>
      <c r="AJ6" s="273" t="s">
        <v>251</v>
      </c>
      <c r="AK6" s="274"/>
      <c r="AL6" s="273" t="s">
        <v>252</v>
      </c>
      <c r="AM6" s="274"/>
      <c r="AN6" s="274" t="s">
        <v>472</v>
      </c>
      <c r="AO6" s="945"/>
      <c r="AP6" s="274" t="s">
        <v>473</v>
      </c>
    </row>
    <row r="7" spans="1:42" x14ac:dyDescent="0.2">
      <c r="A7" s="316">
        <v>1</v>
      </c>
      <c r="B7" s="479" t="s">
        <v>272</v>
      </c>
      <c r="C7" s="319"/>
      <c r="D7" s="318">
        <v>9</v>
      </c>
      <c r="E7" s="318">
        <v>13</v>
      </c>
      <c r="F7" s="318">
        <v>13</v>
      </c>
      <c r="G7" s="318"/>
      <c r="H7" s="317" t="str">
        <f>(IF(D7-C8&gt;0,1)+IF(E7-C9&gt;0,1)+IF(F7-C10&gt;0,1)+IF(G7-C11&gt;0,1))&amp;"-"&amp;(IF(D7-C8&lt;0,1)+IF(E7-C9&lt;0,1)+IF(F7-C10&lt;0,1)+IF(G7-C11&lt;0,1))</f>
        <v>2-1</v>
      </c>
      <c r="I7" s="318" t="str">
        <f>IF(AND(B7&lt;&gt;"",R$6=TRUE),A$6&amp;RANK(S7,S$7:S$11,0)," ")</f>
        <v>A2</v>
      </c>
      <c r="J7" s="480">
        <f>IF(AND(Q7=1,Q8=1,D7&gt;C8),1)+IF(AND(Q7=1,Q9=1,E7&gt;C9),1)+IF(AND(Q7=1,Q10=1,F7&gt;C10),1)+IF(AND(Q7=1,Q11=1,G7&gt;C11),1)+IF(AND(Q7=2,Q8=2,D7&gt;C8),1)+IF(AND(Q7=2,Q9=2,E7&gt;C9),1)+IF(AND(Q7=2,Q10=2,F7&gt;C10),1)+IF(AND(Q7=2,Q11=2,G7&gt;C11),1)+IF(AND(Q7=3,Q8=3,D7&gt;C8),1)+IF(AND(Q7=3,Q9=3,E7&gt;C9),1)+IF(AND(Q7=3,Q10=3,F7&gt;C10),1)+IF(AND(Q7=3,Q11=3,G7&gt;C11),1)</f>
        <v>0</v>
      </c>
      <c r="K7" s="481">
        <f>SUM(AND(T7=T8,D7&gt;C8),AND(T7=T9,E7&gt;C9),AND(T7=T10,F7&gt;C10),AND(T7=T11,G7&gt;C11))</f>
        <v>0</v>
      </c>
      <c r="L7" s="482">
        <f>IF(AND(Q7=1,Q8=1),D7-C8)+IF(AND(Q7=1,Q9=1),E7-C9)+IF(AND(Q7=1,Q10=1),F7-C10)+IF(AND(Q7=1,Q11=1),G7-C11)+IF(AND(Q7=2,Q8=2),D7-C8)+IF(AND(Q7=2,Q9=2),E7-C9)+IF(AND(Q7=2,Q10=2),F7-C10)+IF(AND(Q7=2,Q11=2),G7-C11)+IF(AND(Q7=3,Q8=3),D7-C8)+IF(AND(Q7=3,Q9=3),E7-C9)+IF(AND(Q7=3,Q10=3),F7-C10)+IF(AND(Q7=3,Q11=3),G7-C11)+IF(AND(Q7=4,Q8=4),D7-C8)+IF(AND(Q7=4,Q9=4),E7-C9)+IF(AND(Q7=4,Q10=4),F7-C10)+IF(AND(Q7=4,Q11=4),G7-C11)</f>
        <v>0</v>
      </c>
      <c r="M7" s="483">
        <f>SUM(AND(R7=R8,D7&gt;C8),AND(R7=R9,E7&gt;C9),AND(R7=R10,F7&gt;C10),AND(R7=R11,G7&gt;C11))</f>
        <v>0</v>
      </c>
      <c r="N7" s="537" t="str">
        <f>SUM(C7:G7)&amp;"-"&amp;SUM(C7:C11)</f>
        <v>35-19</v>
      </c>
      <c r="O7" s="538">
        <f>D7+E7+F7+G7-C8-C9-C10-C11</f>
        <v>16</v>
      </c>
      <c r="P7" s="485">
        <f>SUM(C7:G7,C7:C11)/SUM(C7:C11)</f>
        <v>2.8421052631578947</v>
      </c>
      <c r="Q7" s="320">
        <f>VALUE(LEFT(H7,1))</f>
        <v>2</v>
      </c>
      <c r="R7" s="321">
        <f>Q7*100000+J7*10000+K7*1000+100*L7</f>
        <v>200000</v>
      </c>
      <c r="S7" s="486">
        <f>R7+M7*0.1+IF(ISNONTEXT(B7),0,0.01)+0.0001*O7</f>
        <v>200000.0116</v>
      </c>
      <c r="T7" s="487" t="str">
        <f>Q7&amp;J7</f>
        <v>20</v>
      </c>
      <c r="U7" s="477"/>
      <c r="V7" s="477"/>
      <c r="W7" s="477"/>
      <c r="X7" s="477"/>
      <c r="Y7" s="477"/>
      <c r="Z7" s="477"/>
      <c r="AA7" s="477"/>
      <c r="AB7" s="477"/>
      <c r="AC7" s="477"/>
      <c r="AD7" s="405">
        <f>SUM(AE7:AP7)</f>
        <v>272</v>
      </c>
      <c r="AE7" s="406">
        <f>IFERROR(INDEX(V!$R:$R,MATCH(AF7,V!$L:$L,0)),"")</f>
        <v>148</v>
      </c>
      <c r="AF7" s="407" t="str">
        <f>IFERROR(LEFT($B7,(FIND(",",$B7,1)-1)),"")</f>
        <v>Andrei Grintšak</v>
      </c>
      <c r="AG7" s="406">
        <f>IFERROR(INDEX(V!$R:$R,MATCH(AH7,V!$L:$L,0)),"")</f>
        <v>124</v>
      </c>
      <c r="AH7" s="407" t="str">
        <f>IFERROR(MID($B7,FIND(", ",$B7)+2,256),"")</f>
        <v>Boriss Klubov</v>
      </c>
      <c r="AI7" s="406" t="str">
        <f>IFERROR(INDEX(V!$R:$R,MATCH(AJ7,V!$L:$L,0)),"")</f>
        <v/>
      </c>
      <c r="AJ7" s="407" t="str">
        <f>IFERROR(MID($B7,FIND("^",SUBSTITUTE($B7,", ","^",1))+2,FIND("^",SUBSTITUTE($B7,", ","^",2))-FIND("^",SUBSTITUTE($B7,", ","^",1))-2),"")</f>
        <v/>
      </c>
      <c r="AK7" s="406" t="str">
        <f>IFERROR(INDEX(V!$R:$R,MATCH(AL7,V!$L:$L,0)),"")</f>
        <v/>
      </c>
      <c r="AL7" s="407" t="str">
        <f>IFERROR(MID($B7,FIND(", ",$B7,FIND(", ",$B7,FIND(", ",$B7))+1)+2,30000),"")</f>
        <v/>
      </c>
      <c r="AM7" s="406" t="str">
        <f>IFERROR(INDEX(V!$R:$R,MATCH(AN7,V!$L:$L,0)),"")</f>
        <v/>
      </c>
      <c r="AN7" s="407" t="str">
        <f>IFERROR(MID($B7,FIND(", ",$B7,FIND(", ",$B7)+1)+2,FIND(", ",$B7,FIND(", ",$B7,FIND(", ",$B7)+1)+1)-FIND(", ",$B7,FIND(", ",$B7)+1)-2),"")</f>
        <v/>
      </c>
      <c r="AO7" s="406" t="str">
        <f>IFERROR(INDEX(V!$R:$R,MATCH(AP7,V!$L:$L,0)),"")</f>
        <v/>
      </c>
      <c r="AP7" s="407" t="str">
        <f>IFERROR(MID($B7,FIND(", ",$B7,FIND(", ",$B7,FIND(", ",$B7)+1)+1)+2,30000),"")</f>
        <v/>
      </c>
    </row>
    <row r="8" spans="1:42" x14ac:dyDescent="0.2">
      <c r="A8" s="316">
        <v>2</v>
      </c>
      <c r="B8" s="488" t="s">
        <v>404</v>
      </c>
      <c r="C8" s="318">
        <v>13</v>
      </c>
      <c r="D8" s="319"/>
      <c r="E8" s="318">
        <v>13</v>
      </c>
      <c r="F8" s="318">
        <v>13</v>
      </c>
      <c r="G8" s="318"/>
      <c r="H8" s="317" t="str">
        <f>(IF(C8-D7&gt;0,1)+IF(E8-D9&gt;0,1)+IF(F8-D10&gt;0,1)+IF(G8-D11&gt;0,1))&amp;"-"&amp;(IF(C8-D7&lt;0,1)+IF(E8-D9&lt;0,1)+IF(F8-D10&lt;0,1)+IF(G8-D11&lt;0,1))</f>
        <v>3-0</v>
      </c>
      <c r="I8" s="318" t="str">
        <f>IF(AND(B8&lt;&gt;"",R$6=TRUE),A$6&amp;RANK(S8,S$7:S$11,0)," ")</f>
        <v>A1</v>
      </c>
      <c r="J8" s="489">
        <f>IF(AND(Q8=1,Q7=1,C8&gt;D7),1)+IF(AND(Q8=1,Q9=1,E8&gt;D9),1)+IF(AND(Q8=1,Q10=1,F8&gt;D10),1)+IF(AND(Q8=1,Q11=1,G8&gt;D11),1)+IF(AND(Q8=2,Q7=2,C8&gt;D7),1)+IF(AND(Q8=2,Q9=2,E8&gt;D9),1)+IF(AND(Q8=2,Q10=2,F8&gt;D10),1)+IF(AND(Q8=2,Q11=2,G8&gt;D11),1)+IF(AND(Q8=3,Q7=3,C8&gt;D7),1)+IF(AND(Q8=3,Q9=3,E8&gt;D9),1)+IF(AND(Q8=3,Q10=3,F8&gt;D10),1)+IF(AND(Q8=3,Q11=3,G8&gt;D11),1)</f>
        <v>0</v>
      </c>
      <c r="K8" s="483">
        <f>SUM(AND(T8=T7,C8&gt;D7),AND(T8=T9,E8&gt;D9),AND(T8=T10,F8&gt;D10),AND(T8=T11,G8&gt;D11))</f>
        <v>0</v>
      </c>
      <c r="L8" s="490">
        <f>IF(AND(Q8=1,Q7=1),C8-D7)+IF(AND(Q8=1,Q9=1),E8-D9)+IF(AND(Q8=1,Q10=1),F8-D10)+IF(AND(Q8=1,Q11=1),G8-D11)+IF(AND(Q8=2,Q7=2),C8-D7)+IF(AND(Q8=2,Q9=2),E8-D9)+IF(AND(Q8=2,Q10=2),F8-D10)+IF(AND(Q8=2,Q11=2),G8-D11)+IF(AND(Q8=3,Q7=3),C8-D7)+IF(AND(Q8=3,Q9=3),E8-D9)+IF(AND(Q8=3,Q10=3),F8-D10)+IF(AND(Q8=3,Q11=3),G8-D11)+IF(AND(Q8=4,Q7=4),C8-D7)+IF(AND(Q8=4,Q9=4),E8-D9)+IF(AND(Q8=4,Q10=4),F8-D10)+IF(AND(Q8=4,Q11=4),G8-D11)</f>
        <v>0</v>
      </c>
      <c r="M8" s="483">
        <f>SUM(AND(R8=R7,C8&gt;D7),AND(R8=R9,E8&gt;D9),AND(R8=R10,F8&gt;D10),AND(R8=R11,G8&gt;D11))</f>
        <v>0</v>
      </c>
      <c r="N8" s="537" t="str">
        <f>SUM(C8:G8)&amp;"-"&amp;SUM(D7:D11)</f>
        <v>39-23</v>
      </c>
      <c r="O8" s="538">
        <f>C8+E8+F8+G8-D7-D9-D10-D11</f>
        <v>16</v>
      </c>
      <c r="P8" s="485">
        <f>SUM(C8:G8,D7:D11)/SUM(D7:D11)</f>
        <v>2.6956521739130435</v>
      </c>
      <c r="Q8" s="491">
        <f>VALUE(LEFT(H8,1))</f>
        <v>3</v>
      </c>
      <c r="R8" s="321">
        <f>Q8*100000+J8*10000+K8*1000+100*L8</f>
        <v>300000</v>
      </c>
      <c r="S8" s="486">
        <f>R8+M8*0.1+IF(ISNONTEXT(B8),0,0.01)+0.0001*O8</f>
        <v>300000.01160000003</v>
      </c>
      <c r="T8" s="487" t="str">
        <f>Q8&amp;J8</f>
        <v>30</v>
      </c>
      <c r="U8" s="477"/>
      <c r="V8" s="477"/>
      <c r="W8" s="477"/>
      <c r="X8" s="477"/>
      <c r="Y8" s="477"/>
      <c r="Z8" s="477"/>
      <c r="AA8" s="477"/>
      <c r="AB8" s="477"/>
      <c r="AC8" s="485"/>
      <c r="AD8" s="405">
        <f t="shared" ref="AD8:AD31" si="0">SUM(AE8:AP8)</f>
        <v>201.5</v>
      </c>
      <c r="AE8" s="406">
        <f>IFERROR(INDEX(V!$R:$R,MATCH(AF8,V!$L:$L,0)),"")</f>
        <v>68</v>
      </c>
      <c r="AF8" s="407" t="str">
        <f t="shared" ref="AF8:AF31" si="1">IFERROR(LEFT($B8,(FIND(",",$B8,1)-1)),"")</f>
        <v>Peep Peenema</v>
      </c>
      <c r="AG8" s="406">
        <f>IFERROR(INDEX(V!$R:$R,MATCH(AH8,V!$L:$L,0)),"")</f>
        <v>133.5</v>
      </c>
      <c r="AH8" s="407" t="str">
        <f t="shared" ref="AH8:AH31" si="2">IFERROR(MID($B8,FIND(", ",$B8)+2,256),"")</f>
        <v>Tõnu Piik</v>
      </c>
      <c r="AI8" s="406" t="str">
        <f>IFERROR(INDEX(V!$R:$R,MATCH(AJ8,V!$L:$L,0)),"")</f>
        <v/>
      </c>
      <c r="AJ8" s="407" t="str">
        <f t="shared" ref="AJ8:AJ31" si="3">IFERROR(MID($B8,FIND("^",SUBSTITUTE($B8,", ","^",1))+2,FIND("^",SUBSTITUTE($B8,", ","^",2))-FIND("^",SUBSTITUTE($B8,", ","^",1))-2),"")</f>
        <v/>
      </c>
      <c r="AK8" s="406" t="str">
        <f>IFERROR(INDEX(V!$R:$R,MATCH(AL8,V!$L:$L,0)),"")</f>
        <v/>
      </c>
      <c r="AL8" s="407" t="str">
        <f t="shared" ref="AL8:AL31" si="4">IFERROR(MID($B8,FIND(", ",$B8,FIND(", ",$B8,FIND(", ",$B8))+1)+2,30000),"")</f>
        <v/>
      </c>
      <c r="AM8" s="406" t="str">
        <f>IFERROR(INDEX(V!$R:$R,MATCH(AN8,V!$L:$L,0)),"")</f>
        <v/>
      </c>
      <c r="AN8" s="407" t="str">
        <f t="shared" ref="AN8:AN31" si="5">IFERROR(MID($B8,FIND(", ",$B8,FIND(", ",$B8)+1)+2,FIND(", ",$B8,FIND(", ",$B8,FIND(", ",$B8)+1)+1)-FIND(", ",$B8,FIND(", ",$B8)+1)-2),"")</f>
        <v/>
      </c>
      <c r="AO8" s="406" t="str">
        <f>IFERROR(INDEX(V!$R:$R,MATCH(AP8,V!$L:$L,0)),"")</f>
        <v/>
      </c>
      <c r="AP8" s="407" t="str">
        <f t="shared" ref="AP8:AP31" si="6">IFERROR(MID($B8,FIND(", ",$B8,FIND(", ",$B8,FIND(", ",$B8)+1)+1)+2,30000),"")</f>
        <v/>
      </c>
    </row>
    <row r="9" spans="1:42" x14ac:dyDescent="0.2">
      <c r="A9" s="316">
        <v>3</v>
      </c>
      <c r="B9" s="488" t="s">
        <v>279</v>
      </c>
      <c r="C9" s="318">
        <v>4</v>
      </c>
      <c r="D9" s="492">
        <v>7</v>
      </c>
      <c r="E9" s="319"/>
      <c r="F9" s="318">
        <v>13</v>
      </c>
      <c r="G9" s="318"/>
      <c r="H9" s="317" t="str">
        <f>(IF(C9-E7&gt;0,1)+IF(D9-E8&gt;0,1)+IF(F9-E10&gt;0,1)+IF(G9-E11&gt;0,1))&amp;"-"&amp;(IF(C9-E7&lt;0,1)+IF(D9-E8&lt;0,1)+IF(F9-E10&lt;0,1)+IF(G9-E11&lt;0,1))</f>
        <v>1-2</v>
      </c>
      <c r="I9" s="318" t="str">
        <f>IF(AND(B9&lt;&gt;"",R$6=TRUE),A$6&amp;RANK(S9,S$7:S$11,0)," ")</f>
        <v>A3</v>
      </c>
      <c r="J9" s="489">
        <f>IF(AND(Q9=1,Q7=1,C9&gt;E7),1)+IF(AND(Q9=1,Q8=1,D9&gt;E8),1)+IF(AND(Q9=1,Q10=1,F9&gt;E10),1)+IF(AND(Q9=1,Q11=1,G9&gt;E11),1)+IF(AND(Q9=2,Q7=2,C9&gt;E7),1)+IF(AND(Q9=2,Q8=2,D9&gt;E8),1)+IF(AND(Q9=2,Q10=2,F9&gt;E10),1)+IF(AND(Q9=2,Q11=2,G9&gt;E11),1)+IF(AND(Q9=3,Q7=3,C9&gt;E7),1)+IF(AND(Q9=3,Q8=3,D9&gt;E8),1)+IF(AND(Q9=3,Q10=3,F9&gt;E10),1)+IF(AND(Q9=3,Q11=3,G9&gt;E11),1)</f>
        <v>0</v>
      </c>
      <c r="K9" s="483">
        <f>SUM(AND(T9=T7,C9&gt;E7),AND(T9=T8,D9&gt;E8),AND(T9=T10,F9&gt;E10),AND(T9=T11,G9&gt;E11))</f>
        <v>0</v>
      </c>
      <c r="L9" s="490">
        <f>IF(AND(Q9=1,Q7=1),C9-E7)+IF(AND(Q9=1,Q8=1),D9-E8)+IF(AND(Q9=1,Q10=1),F9-E10)+IF(AND(Q9=1,Q11=1),G9-E11)+IF(AND(Q9=2,Q7=2),C9-E7)+IF(AND(Q9=2,Q8=2),D9-E8)+IF(AND(Q9=2,Q10=2),F9-E10)+IF(AND(Q9=2,Q11=2),G9-E11)+IF(AND(Q9=3,Q7=3),C9-E7)+IF(AND(Q9=3,Q8=3),D9-E8)+IF(AND(Q9=3,Q10=3),F9-E10)+IF(AND(Q9=3,Q11=3),G9-E11)+IF(AND(Q9=4,Q7=4),C9-E7)+IF(AND(Q9=4,Q8=4),D9-E8)+IF(AND(Q9=4,Q10=4),F9-E10)+IF(AND(Q9=4,Q11=4),G9-E11)</f>
        <v>0</v>
      </c>
      <c r="M9" s="483">
        <f>SUM(AND(R9=R7,C9&gt;E7),AND(R9=R8,D9&gt;E8),AND(R9=R10,F9&gt;E10),AND(R9=R11,G9&gt;E11))</f>
        <v>0</v>
      </c>
      <c r="N9" s="537" t="str">
        <f>SUM(C9:G9)&amp;"-"&amp;SUM(E7:E11)</f>
        <v>24-36</v>
      </c>
      <c r="O9" s="538">
        <f>C9+D9+F9+G9-E7-E8-E10-E11</f>
        <v>-12</v>
      </c>
      <c r="P9" s="485">
        <f>SUM(C9:G9,E7:E11)/SUM(E7:E11)</f>
        <v>1.6666666666666667</v>
      </c>
      <c r="Q9" s="491">
        <f>VALUE(LEFT(H9,1))</f>
        <v>1</v>
      </c>
      <c r="R9" s="321">
        <f>Q9*100000+J9*10000+K9*1000+100*L9</f>
        <v>100000</v>
      </c>
      <c r="S9" s="486">
        <f>R9+M9*0.1+IF(ISNONTEXT(B9),0,0.01)+0.0001*O9</f>
        <v>100000.0088</v>
      </c>
      <c r="T9" s="487" t="str">
        <f>Q9&amp;J9</f>
        <v>10</v>
      </c>
      <c r="U9" s="477"/>
      <c r="V9" s="477"/>
      <c r="W9" s="477"/>
      <c r="X9" s="477"/>
      <c r="Y9" s="477"/>
      <c r="Z9" s="477"/>
      <c r="AA9" s="477"/>
      <c r="AB9" s="477"/>
      <c r="AC9" s="485"/>
      <c r="AD9" s="405">
        <f t="shared" si="0"/>
        <v>160</v>
      </c>
      <c r="AE9" s="406">
        <f>IFERROR(INDEX(V!$R:$R,MATCH(AF9,V!$L:$L,0)),"")</f>
        <v>81</v>
      </c>
      <c r="AF9" s="407" t="str">
        <f t="shared" si="1"/>
        <v>Jaan Saar</v>
      </c>
      <c r="AG9" s="406">
        <f>IFERROR(INDEX(V!$R:$R,MATCH(AH9,V!$L:$L,0)),"")</f>
        <v>79</v>
      </c>
      <c r="AH9" s="407" t="str">
        <f t="shared" si="2"/>
        <v>Liidia Põllu</v>
      </c>
      <c r="AI9" s="406" t="str">
        <f>IFERROR(INDEX(V!$R:$R,MATCH(AJ9,V!$L:$L,0)),"")</f>
        <v/>
      </c>
      <c r="AJ9" s="407" t="str">
        <f t="shared" si="3"/>
        <v/>
      </c>
      <c r="AK9" s="406" t="str">
        <f>IFERROR(INDEX(V!$R:$R,MATCH(AL9,V!$L:$L,0)),"")</f>
        <v/>
      </c>
      <c r="AL9" s="407" t="str">
        <f t="shared" si="4"/>
        <v/>
      </c>
      <c r="AM9" s="406" t="str">
        <f>IFERROR(INDEX(V!$R:$R,MATCH(AN9,V!$L:$L,0)),"")</f>
        <v/>
      </c>
      <c r="AN9" s="407" t="str">
        <f t="shared" si="5"/>
        <v/>
      </c>
      <c r="AO9" s="406" t="str">
        <f>IFERROR(INDEX(V!$R:$R,MATCH(AP9,V!$L:$L,0)),"")</f>
        <v/>
      </c>
      <c r="AP9" s="407" t="str">
        <f t="shared" si="6"/>
        <v/>
      </c>
    </row>
    <row r="10" spans="1:42" x14ac:dyDescent="0.2">
      <c r="A10" s="316">
        <v>4</v>
      </c>
      <c r="B10" s="493" t="s">
        <v>405</v>
      </c>
      <c r="C10" s="318">
        <v>2</v>
      </c>
      <c r="D10" s="492">
        <v>7</v>
      </c>
      <c r="E10" s="318">
        <v>10</v>
      </c>
      <c r="F10" s="319"/>
      <c r="G10" s="318"/>
      <c r="H10" s="317" t="str">
        <f>(IF(C10-F7&gt;0,1)+IF(D10-F8&gt;0,1)+IF(E10-F9&gt;0,1)+IF(G10-F11&gt;0,1))&amp;"-"&amp;(IF(C10-F7&lt;0,1)+IF(D10-F8&lt;0,1)+IF(E10-F9&lt;0,1)+IF(G10-F11&lt;0,1))</f>
        <v>0-3</v>
      </c>
      <c r="I10" s="318" t="str">
        <f>IF(AND(B10&lt;&gt;"",R$6=TRUE),A$6&amp;RANK(S10,S$7:S$11,0)," ")</f>
        <v>A4</v>
      </c>
      <c r="J10" s="489">
        <f>IF(AND(Q10=1,Q7=1,C10&gt;F7),1)+IF(AND(Q10=1,Q8=1,D10&gt;F8),1)+IF(AND(Q10=1,Q9=1,E10&gt;F9),1)+IF(AND(Q10=1,Q11=1,G10&gt;F11),1)+IF(AND(Q10=2,Q7=2,C10&gt;F7),1)+IF(AND(Q10=2,Q8=2,D10&gt;F8),1)+IF(AND(Q10=2,Q9=2,E10&gt;F9),1)+IF(AND(Q10=2,Q11=2,G10&gt;F11),1)+IF(AND(Q10=3,Q7=3,C10&gt;F7),1)+IF(AND(Q10=3,Q8=3,D10&gt;F8),1)+IF(AND(Q10=3,Q9=3,E10&gt;F9),1)+IF(AND(Q10=3,Q11=3,G10&gt;F11),1)</f>
        <v>0</v>
      </c>
      <c r="K10" s="483">
        <f>SUM(AND(T10=T7,C10&gt;F7),AND(T10=T8,D10&gt;F8),AND(T10=T9,E10&gt;F9),AND(T10=T11,G10&gt;F11))</f>
        <v>0</v>
      </c>
      <c r="L10" s="490">
        <f>IF(AND(Q10=1,Q7=1),C10-F7)+IF(AND(Q10=1,Q8=1),D10-F8)+IF(AND(Q10=1,Q9=1),E10-F9)+IF(AND(Q10=1,Q11=1),G10-F11)+IF(AND(Q10=2,Q7=2),C10-F7)+IF(AND(Q10=2,Q8=2),D10-F8)+IF(AND(Q10=2,Q9=2),E10-F9)+IF(AND(Q10=2,Q11=2),G10-F11)+IF(AND(Q10=3,Q7=3),C10-F7)+IF(AND(Q10=3,Q8=3),D10-F8)+IF(AND(Q10=3,Q9=3),E10-F9)+IF(AND(Q10=3,Q11=3),G10-F11)+IF(AND(Q10=4,Q7=4),C10-F7)+IF(AND(Q10=4,Q8=4),D10-F8)+IF(AND(Q10=4,Q9=4),E10-F9)+IF(AND(Q10=4,Q11=4),G10-F11)</f>
        <v>0</v>
      </c>
      <c r="M10" s="483">
        <f>SUM(AND(R10=R7,C10&gt;F7),AND(R10=R8,D10&gt;F8),AND(R10=R9,E10&gt;F9),AND(R10=R11,G10&gt;F11))</f>
        <v>0</v>
      </c>
      <c r="N10" s="537" t="str">
        <f>SUM(C10:G10)&amp;"-"&amp;SUM(F7:F11)</f>
        <v>19-39</v>
      </c>
      <c r="O10" s="538">
        <f>C10+D10+E10+G10-F7-F8-F9-F11</f>
        <v>-20</v>
      </c>
      <c r="P10" s="485">
        <f>SUM(C10:G10,F7:F11)/SUM(F7:F11)</f>
        <v>1.4871794871794872</v>
      </c>
      <c r="Q10" s="491">
        <f>VALUE(LEFT(H10,1))</f>
        <v>0</v>
      </c>
      <c r="R10" s="321">
        <f>Q10*100000+J10*10000+K10*1000+100*L10</f>
        <v>0</v>
      </c>
      <c r="S10" s="486">
        <f>R10+M10*0.1+IF(ISNONTEXT(B10),0,0.01)+0.0001*O10</f>
        <v>8.0000000000000002E-3</v>
      </c>
      <c r="T10" s="487" t="str">
        <f>Q10&amp;J10</f>
        <v>00</v>
      </c>
      <c r="U10" s="477"/>
      <c r="V10" s="477"/>
      <c r="W10" s="477"/>
      <c r="X10" s="477"/>
      <c r="Y10" s="477"/>
      <c r="Z10" s="477"/>
      <c r="AA10" s="477"/>
      <c r="AB10" s="477"/>
      <c r="AC10" s="485"/>
      <c r="AD10" s="405">
        <f t="shared" si="0"/>
        <v>60</v>
      </c>
      <c r="AE10" s="406">
        <f>IFERROR(INDEX(V!$R:$R,MATCH(AF10,V!$L:$L,0)),"")</f>
        <v>53</v>
      </c>
      <c r="AF10" s="407" t="str">
        <f t="shared" si="1"/>
        <v>Aurelia Meldre</v>
      </c>
      <c r="AG10" s="406">
        <f>IFERROR(INDEX(V!$R:$R,MATCH(AH10,V!$L:$L,0)),"")</f>
        <v>7</v>
      </c>
      <c r="AH10" s="407" t="str">
        <f t="shared" si="2"/>
        <v>Veroonika Mendes</v>
      </c>
      <c r="AI10" s="406" t="str">
        <f>IFERROR(INDEX(V!$R:$R,MATCH(AJ10,V!$L:$L,0)),"")</f>
        <v/>
      </c>
      <c r="AJ10" s="407" t="str">
        <f t="shared" si="3"/>
        <v/>
      </c>
      <c r="AK10" s="406" t="str">
        <f>IFERROR(INDEX(V!$R:$R,MATCH(AL10,V!$L:$L,0)),"")</f>
        <v/>
      </c>
      <c r="AL10" s="407" t="str">
        <f t="shared" si="4"/>
        <v/>
      </c>
      <c r="AM10" s="406" t="str">
        <f>IFERROR(INDEX(V!$R:$R,MATCH(AN10,V!$L:$L,0)),"")</f>
        <v/>
      </c>
      <c r="AN10" s="407" t="str">
        <f t="shared" si="5"/>
        <v/>
      </c>
      <c r="AO10" s="406" t="str">
        <f>IFERROR(INDEX(V!$R:$R,MATCH(AP10,V!$L:$L,0)),"")</f>
        <v/>
      </c>
      <c r="AP10" s="407" t="str">
        <f t="shared" si="6"/>
        <v/>
      </c>
    </row>
    <row r="11" spans="1:42" hidden="1" x14ac:dyDescent="0.2">
      <c r="A11" s="316">
        <v>5</v>
      </c>
      <c r="B11" s="493"/>
      <c r="C11" s="318"/>
      <c r="D11" s="318"/>
      <c r="E11" s="318"/>
      <c r="F11" s="318"/>
      <c r="G11" s="319"/>
      <c r="H11" s="317" t="str">
        <f>(IF(C11-G7&gt;0,1)+IF(D11-G8&gt;0,1)+IF(E11-G9&gt;0,1)+IF(F11-G10&gt;0,1))&amp;"-"&amp;(IF(C11-G7&lt;0,1)+IF(D11-G8&lt;0,1)+IF(E11-G9&lt;0,1)+IF(F11-G10&lt;0,1))</f>
        <v>0-0</v>
      </c>
      <c r="I11" s="318" t="str">
        <f>IF(AND(B11&lt;&gt;"",R$6=TRUE),A$6&amp;RANK(S11,S$7:S$11,0)," ")</f>
        <v xml:space="preserve"> </v>
      </c>
      <c r="J11" s="489">
        <f>IF(AND(Q11=1,Q7=1,C11&gt;G7),1)+IF(AND(Q11=1,Q8=1,D11&gt;G8),1)+IF(AND(Q11=1,Q9=1,E11&gt;G9),1)+IF(AND(Q11=1,Q10=1,F11&gt;G10),1)+IF(AND(Q11=2,Q7=2,C11&gt;G7),1)+IF(AND(Q11=2,Q8=2,D11&gt;G8),1)+IF(AND(Q11=2,Q9=2,E11&gt;G9),1)+IF(AND(Q11=2,Q10=2,F11&gt;G10),1)+IF(AND(Q11=3,Q7=3,C11&gt;G7),1)+IF(AND(Q11=3,Q8=3,D11&gt;G8),1)+IF(AND(Q11=3,Q9=3,E11&gt;G9),1)+IF(AND(Q11=3,Q10=3,F11&gt;G10),1)</f>
        <v>0</v>
      </c>
      <c r="K11" s="483">
        <f>SUM(AND(T11=T7,C11&gt;G7),AND(T11=T8,D11&gt;G8),AND(T11=T9,E11&gt;G9),AND(T11=T10,F11&gt;G10))</f>
        <v>0</v>
      </c>
      <c r="L11" s="490">
        <f>IF(AND(Q11=1,Q7=1),C11-G7)+IF(AND(Q11=1,Q8=1),D11-G8)+IF(AND(Q11=1,Q9=1),E11-G9)+IF(AND(Q11=1,Q10=1),F11-G10)+IF(AND(Q11=2,Q7=2),C11-G7)+IF(AND(Q11=2,Q8=2),D11-G8)+IF(AND(Q11=2,Q9=2),E11-G9)+IF(AND(Q11=2,Q10=2),F11-G10)+IF(AND(Q11=3,Q7=3),C11-G7)+IF(AND(Q11=3,Q8=3),D11-G8)+IF(AND(Q11=3,Q9=3),E11-G9)+IF(AND(Q11=3,Q10=3),F11-G10)+IF(AND(Q11=4,Q7=4),C11-G7)+IF(AND(Q11=4,Q8=4),D11-G8)+IF(AND(Q11=4,Q9=4),E11-G9)+IF(AND(Q11=4,Q10=4),F11-G10)</f>
        <v>0</v>
      </c>
      <c r="M11" s="483">
        <f>SUM(AND(R11=R7,C11&gt;G7),AND(R11=R8,D11&gt;G8),AND(R11=R9,E11&gt;G9),AND(R11=R10,F11&gt;G10))</f>
        <v>0</v>
      </c>
      <c r="N11" s="537" t="str">
        <f>SUM(C11:G11)&amp;"-"&amp;SUM(G7:G11)</f>
        <v>0-0</v>
      </c>
      <c r="O11" s="538">
        <f>C11+D11+E11+F11-G7-G8-G9-G10</f>
        <v>0</v>
      </c>
      <c r="P11" s="485" t="e">
        <f>SUM(C11:G11,G7:G11)/SUM(G7:G11)</f>
        <v>#DIV/0!</v>
      </c>
      <c r="Q11" s="491">
        <f>VALUE(LEFT(H11,1))</f>
        <v>0</v>
      </c>
      <c r="R11" s="321">
        <f>Q11*100000+J11*10000+K11*1000+100*L11</f>
        <v>0</v>
      </c>
      <c r="S11" s="486">
        <f>R11+M11*0.1+IF(ISNONTEXT(B11),0,0.01)+0.0001*O11</f>
        <v>0</v>
      </c>
      <c r="T11" s="487" t="str">
        <f>Q11&amp;J11</f>
        <v>00</v>
      </c>
      <c r="U11" s="477"/>
      <c r="V11" s="477"/>
      <c r="W11" s="477"/>
      <c r="X11" s="477"/>
      <c r="Y11" s="477"/>
      <c r="Z11" s="477"/>
      <c r="AA11" s="477"/>
      <c r="AB11" s="477"/>
      <c r="AC11" s="485"/>
      <c r="AD11" s="405">
        <f t="shared" si="0"/>
        <v>0</v>
      </c>
      <c r="AE11" s="406" t="str">
        <f>IFERROR(INDEX(V!$R:$R,MATCH(AF11,V!$L:$L,0)),"")</f>
        <v/>
      </c>
      <c r="AF11" s="407" t="str">
        <f t="shared" si="1"/>
        <v/>
      </c>
      <c r="AG11" s="406" t="str">
        <f>IFERROR(INDEX(V!$R:$R,MATCH(AH11,V!$L:$L,0)),"")</f>
        <v/>
      </c>
      <c r="AH11" s="407" t="str">
        <f t="shared" si="2"/>
        <v/>
      </c>
      <c r="AI11" s="406" t="str">
        <f>IFERROR(INDEX(V!$R:$R,MATCH(AJ11,V!$L:$L,0)),"")</f>
        <v/>
      </c>
      <c r="AJ11" s="407" t="str">
        <f t="shared" si="3"/>
        <v/>
      </c>
      <c r="AK11" s="406" t="str">
        <f>IFERROR(INDEX(V!$R:$R,MATCH(AL11,V!$L:$L,0)),"")</f>
        <v/>
      </c>
      <c r="AL11" s="407" t="str">
        <f t="shared" si="4"/>
        <v/>
      </c>
      <c r="AM11" s="406" t="str">
        <f>IFERROR(INDEX(V!$R:$R,MATCH(AN11,V!$L:$L,0)),"")</f>
        <v/>
      </c>
      <c r="AN11" s="407" t="str">
        <f t="shared" si="5"/>
        <v/>
      </c>
      <c r="AO11" s="406" t="str">
        <f>IFERROR(INDEX(V!$R:$R,MATCH(AP11,V!$L:$L,0)),"")</f>
        <v/>
      </c>
      <c r="AP11" s="407" t="str">
        <f t="shared" si="6"/>
        <v/>
      </c>
    </row>
    <row r="12" spans="1:42" x14ac:dyDescent="0.2">
      <c r="A12" s="494"/>
      <c r="B12" s="495"/>
      <c r="C12" s="496"/>
      <c r="D12" s="497"/>
      <c r="E12" s="498"/>
      <c r="F12" s="498"/>
      <c r="G12" s="499"/>
      <c r="H12" s="500"/>
      <c r="I12" s="501"/>
      <c r="J12" s="477"/>
      <c r="K12" s="477"/>
      <c r="L12" s="477"/>
      <c r="M12" s="477"/>
      <c r="N12" s="539"/>
      <c r="O12" s="539"/>
      <c r="P12" s="477"/>
      <c r="Q12" s="477"/>
      <c r="R12" s="502" t="s">
        <v>264</v>
      </c>
      <c r="S12" s="477"/>
      <c r="T12" s="477"/>
      <c r="U12" s="477"/>
      <c r="V12" s="477"/>
      <c r="W12" s="477"/>
      <c r="X12" s="477"/>
      <c r="Y12" s="477"/>
      <c r="Z12" s="477"/>
      <c r="AA12" s="477"/>
      <c r="AB12" s="477"/>
      <c r="AC12" s="485"/>
      <c r="AD12" s="405">
        <f t="shared" si="0"/>
        <v>0</v>
      </c>
      <c r="AE12" s="406" t="str">
        <f>IFERROR(INDEX(V!$R:$R,MATCH(AF12,V!$L:$L,0)),"")</f>
        <v/>
      </c>
      <c r="AF12" s="407" t="str">
        <f t="shared" si="1"/>
        <v/>
      </c>
      <c r="AG12" s="406" t="str">
        <f>IFERROR(INDEX(V!$R:$R,MATCH(AH12,V!$L:$L,0)),"")</f>
        <v/>
      </c>
      <c r="AH12" s="407" t="str">
        <f t="shared" si="2"/>
        <v/>
      </c>
      <c r="AI12" s="406" t="str">
        <f>IFERROR(INDEX(V!$R:$R,MATCH(AJ12,V!$L:$L,0)),"")</f>
        <v/>
      </c>
      <c r="AJ12" s="407" t="str">
        <f t="shared" si="3"/>
        <v/>
      </c>
      <c r="AK12" s="406" t="str">
        <f>IFERROR(INDEX(V!$R:$R,MATCH(AL12,V!$L:$L,0)),"")</f>
        <v/>
      </c>
      <c r="AL12" s="407" t="str">
        <f t="shared" si="4"/>
        <v/>
      </c>
      <c r="AM12" s="406" t="str">
        <f>IFERROR(INDEX(V!$R:$R,MATCH(AN12,V!$L:$L,0)),"")</f>
        <v/>
      </c>
      <c r="AN12" s="407" t="str">
        <f t="shared" si="5"/>
        <v/>
      </c>
      <c r="AO12" s="406" t="str">
        <f>IFERROR(INDEX(V!$R:$R,MATCH(AP12,V!$L:$L,0)),"")</f>
        <v/>
      </c>
      <c r="AP12" s="407" t="str">
        <f t="shared" si="6"/>
        <v/>
      </c>
    </row>
    <row r="13" spans="1:42" x14ac:dyDescent="0.2">
      <c r="A13" s="316" t="s">
        <v>1</v>
      </c>
      <c r="B13" s="503"/>
      <c r="C13" s="467">
        <v>1</v>
      </c>
      <c r="D13" s="467">
        <v>2</v>
      </c>
      <c r="E13" s="467">
        <v>3</v>
      </c>
      <c r="F13" s="467">
        <v>4</v>
      </c>
      <c r="G13" s="467"/>
      <c r="H13" s="468" t="s">
        <v>168</v>
      </c>
      <c r="I13" s="468" t="s">
        <v>169</v>
      </c>
      <c r="J13" s="504" t="s">
        <v>257</v>
      </c>
      <c r="K13" s="505" t="s">
        <v>258</v>
      </c>
      <c r="L13" s="506" t="s">
        <v>259</v>
      </c>
      <c r="M13" s="506" t="s">
        <v>260</v>
      </c>
      <c r="N13" s="472" t="s">
        <v>170</v>
      </c>
      <c r="O13" s="472" t="s">
        <v>170</v>
      </c>
      <c r="P13" s="473" t="s">
        <v>261</v>
      </c>
      <c r="Q13" s="507" t="s">
        <v>21</v>
      </c>
      <c r="R13" s="507" t="b">
        <f>OR(AND(COUNTA(B14:B18)=3,COUNTA(C14:G18)=6),AND(COUNTA(B14:B18)=4,COUNTA(C14:G18)=12),AND(COUNTA(B14:B18)=5,COUNTA(C14:G18)=20))</f>
        <v>1</v>
      </c>
      <c r="S13" s="508" t="s">
        <v>262</v>
      </c>
      <c r="T13" s="509" t="s">
        <v>263</v>
      </c>
      <c r="U13" s="477"/>
      <c r="V13" s="477"/>
      <c r="W13" s="477"/>
      <c r="X13" s="477"/>
      <c r="Y13" s="477"/>
      <c r="Z13" s="477"/>
      <c r="AA13" s="477"/>
      <c r="AB13" s="477"/>
      <c r="AC13" s="485"/>
      <c r="AD13" s="405">
        <f t="shared" si="0"/>
        <v>0</v>
      </c>
      <c r="AE13" s="406" t="str">
        <f>IFERROR(INDEX(V!$R:$R,MATCH(AF13,V!$L:$L,0)),"")</f>
        <v/>
      </c>
      <c r="AF13" s="407" t="str">
        <f t="shared" si="1"/>
        <v/>
      </c>
      <c r="AG13" s="406" t="str">
        <f>IFERROR(INDEX(V!$R:$R,MATCH(AH13,V!$L:$L,0)),"")</f>
        <v/>
      </c>
      <c r="AH13" s="407" t="str">
        <f t="shared" si="2"/>
        <v/>
      </c>
      <c r="AI13" s="406" t="str">
        <f>IFERROR(INDEX(V!$R:$R,MATCH(AJ13,V!$L:$L,0)),"")</f>
        <v/>
      </c>
      <c r="AJ13" s="407" t="str">
        <f t="shared" si="3"/>
        <v/>
      </c>
      <c r="AK13" s="406" t="str">
        <f>IFERROR(INDEX(V!$R:$R,MATCH(AL13,V!$L:$L,0)),"")</f>
        <v/>
      </c>
      <c r="AL13" s="407" t="str">
        <f t="shared" si="4"/>
        <v/>
      </c>
      <c r="AM13" s="406" t="str">
        <f>IFERROR(INDEX(V!$R:$R,MATCH(AN13,V!$L:$L,0)),"")</f>
        <v/>
      </c>
      <c r="AN13" s="407" t="str">
        <f t="shared" si="5"/>
        <v/>
      </c>
      <c r="AO13" s="406" t="str">
        <f>IFERROR(INDEX(V!$R:$R,MATCH(AP13,V!$L:$L,0)),"")</f>
        <v/>
      </c>
      <c r="AP13" s="407" t="str">
        <f t="shared" si="6"/>
        <v/>
      </c>
    </row>
    <row r="14" spans="1:42" x14ac:dyDescent="0.2">
      <c r="A14" s="316">
        <v>1</v>
      </c>
      <c r="B14" s="510" t="s">
        <v>282</v>
      </c>
      <c r="C14" s="319"/>
      <c r="D14" s="318">
        <v>13</v>
      </c>
      <c r="E14" s="318">
        <v>13</v>
      </c>
      <c r="F14" s="318">
        <v>13</v>
      </c>
      <c r="G14" s="318"/>
      <c r="H14" s="317" t="str">
        <f>(IF(D14-C15&gt;0,1)+IF(E14-C16&gt;0,1)+IF(F14-C17&gt;0,1)+IF(G14-C18&gt;0,1))&amp;"-"&amp;(IF(D14-C15&lt;0,1)+IF(E14-C16&lt;0,1)+IF(F14-C17&lt;0,1)+IF(G14-C18&lt;0,1))</f>
        <v>3-0</v>
      </c>
      <c r="I14" s="318" t="str">
        <f>IF(AND(B14&lt;&gt;"",R$6=TRUE),A$13&amp;RANK(S14,S$14:S$18,0)," ")</f>
        <v>B1</v>
      </c>
      <c r="J14" s="480">
        <f>IF(AND(Q14=1,Q15=1,D14&gt;C15),1)+IF(AND(Q14=1,Q16=1,E14&gt;C16),1)+IF(AND(Q14=1,Q17=1,F14&gt;C17),1)+IF(AND(Q14=1,Q18=1,G14&gt;C18),1)+IF(AND(Q14=2,Q15=2,D14&gt;C15),1)+IF(AND(Q14=2,Q16=2,E14&gt;C16),1)+IF(AND(Q14=2,Q17=2,F14&gt;C17),1)+IF(AND(Q14=2,Q18=2,G14&gt;C18),1)+IF(AND(Q14=3,Q15=3,D14&gt;C15),1)+IF(AND(Q14=3,Q16=3,E14&gt;C16),1)+IF(AND(Q14=3,Q17=3,F14&gt;C17),1)+IF(AND(Q14=3,Q18=3,G14&gt;C18),1)</f>
        <v>0</v>
      </c>
      <c r="K14" s="481">
        <f>SUM(AND(T14=T15,D14&gt;C15),AND(T14=T16,E14&gt;C16),AND(T14=T17,F14&gt;C17),AND(T14=T18,G14&gt;C18))</f>
        <v>0</v>
      </c>
      <c r="L14" s="482">
        <f>IF(AND(Q14=1,Q15=1),D14-C15)+IF(AND(Q14=1,Q16=1),E14-C16)+IF(AND(Q14=1,Q17=1),F14-C17)+IF(AND(Q14=1,Q18=1),G14-C18)+IF(AND(Q14=2,Q15=2),D14-C15)+IF(AND(Q14=2,Q16=2),E14-C16)+IF(AND(Q14=2,Q17=2),F14-C17)+IF(AND(Q14=2,Q18=2),G14-C18)+IF(AND(Q14=3,Q15=3),D14-C15)+IF(AND(Q14=3,Q16=3),E14-C16)+IF(AND(Q14=3,Q17=3),F14-C17)+IF(AND(Q14=3,Q18=3),G14-C18)+IF(AND(Q14=4,Q15=4),D14-C15)+IF(AND(Q14=4,Q16=4),E14-C16)+IF(AND(Q14=4,Q17=4),F14-C17)+IF(AND(Q14=4,Q18=4),G14-C18)</f>
        <v>0</v>
      </c>
      <c r="M14" s="483">
        <f>SUM(AND(R14=R15,D14&gt;C15),AND(R14=R16,E14&gt;C16),AND(R14=R17,F14&gt;C17),AND(R14=R18,G14&gt;C18))</f>
        <v>0</v>
      </c>
      <c r="N14" s="537" t="str">
        <f>SUM(C14:G14)&amp;"-"&amp;SUM(C14:C18)</f>
        <v>39-17</v>
      </c>
      <c r="O14" s="538">
        <f>D14+E14+F14+G14-C15-C16-C17-C18</f>
        <v>22</v>
      </c>
      <c r="P14" s="485">
        <f>SUM(C14:G14,C14:C18)/SUM(C14:C18)</f>
        <v>3.2941176470588234</v>
      </c>
      <c r="Q14" s="320">
        <f>VALUE(LEFT(H14,1))</f>
        <v>3</v>
      </c>
      <c r="R14" s="321">
        <f>Q14*100000+J14*10000+K14*1000+100*L14</f>
        <v>300000</v>
      </c>
      <c r="S14" s="486">
        <f>R14+M14*0.1+IF(ISNONTEXT(B14),0,0.01)+0.0001*O14</f>
        <v>300000.0122</v>
      </c>
      <c r="T14" s="487" t="str">
        <f>Q14&amp;J14</f>
        <v>30</v>
      </c>
      <c r="U14" s="477"/>
      <c r="V14" s="477"/>
      <c r="W14" s="477"/>
      <c r="X14" s="477"/>
      <c r="Y14" s="477"/>
      <c r="Z14" s="477"/>
      <c r="AA14" s="477"/>
      <c r="AB14" s="477"/>
      <c r="AC14" s="485"/>
      <c r="AD14" s="405">
        <f t="shared" si="0"/>
        <v>320</v>
      </c>
      <c r="AE14" s="406">
        <f>IFERROR(INDEX(V!$R:$R,MATCH(AF14,V!$L:$L,0)),"")</f>
        <v>168</v>
      </c>
      <c r="AF14" s="407" t="str">
        <f t="shared" si="1"/>
        <v>Matti Vinni</v>
      </c>
      <c r="AG14" s="406">
        <f>IFERROR(INDEX(V!$R:$R,MATCH(AH14,V!$L:$L,0)),"")</f>
        <v>152</v>
      </c>
      <c r="AH14" s="407" t="str">
        <f t="shared" si="2"/>
        <v>Vladimir Ogneštšikov</v>
      </c>
      <c r="AI14" s="406" t="str">
        <f>IFERROR(INDEX(V!$R:$R,MATCH(AJ14,V!$L:$L,0)),"")</f>
        <v/>
      </c>
      <c r="AJ14" s="407" t="str">
        <f t="shared" si="3"/>
        <v/>
      </c>
      <c r="AK14" s="406" t="str">
        <f>IFERROR(INDEX(V!$R:$R,MATCH(AL14,V!$L:$L,0)),"")</f>
        <v/>
      </c>
      <c r="AL14" s="407" t="str">
        <f t="shared" si="4"/>
        <v/>
      </c>
      <c r="AM14" s="406" t="str">
        <f>IFERROR(INDEX(V!$R:$R,MATCH(AN14,V!$L:$L,0)),"")</f>
        <v/>
      </c>
      <c r="AN14" s="407" t="str">
        <f t="shared" si="5"/>
        <v/>
      </c>
      <c r="AO14" s="406" t="str">
        <f>IFERROR(INDEX(V!$R:$R,MATCH(AP14,V!$L:$L,0)),"")</f>
        <v/>
      </c>
      <c r="AP14" s="407" t="str">
        <f t="shared" si="6"/>
        <v/>
      </c>
    </row>
    <row r="15" spans="1:42" x14ac:dyDescent="0.2">
      <c r="A15" s="316">
        <v>2</v>
      </c>
      <c r="B15" s="479" t="s">
        <v>381</v>
      </c>
      <c r="C15" s="318">
        <v>6</v>
      </c>
      <c r="D15" s="319"/>
      <c r="E15" s="318">
        <v>13</v>
      </c>
      <c r="F15" s="318">
        <v>13</v>
      </c>
      <c r="G15" s="318"/>
      <c r="H15" s="317" t="str">
        <f>(IF(C15-D14&gt;0,1)+IF(E15-D16&gt;0,1)+IF(F15-D17&gt;0,1)+IF(G15-D18&gt;0,1))&amp;"-"&amp;(IF(C15-D14&lt;0,1)+IF(E15-D16&lt;0,1)+IF(F15-D17&lt;0,1)+IF(G15-D18&lt;0,1))</f>
        <v>2-1</v>
      </c>
      <c r="I15" s="318" t="str">
        <f>IF(AND(B15&lt;&gt;"",R$6=TRUE),A$13&amp;RANK(S15,S$14:S$18,0)," ")</f>
        <v>B2</v>
      </c>
      <c r="J15" s="489">
        <f>IF(AND(Q15=1,Q14=1,C15&gt;D14),1)+IF(AND(Q15=1,Q16=1,E15&gt;D16),1)+IF(AND(Q15=1,Q17=1,F15&gt;D17),1)+IF(AND(Q15=1,Q18=1,G15&gt;D18),1)+IF(AND(Q15=2,Q14=2,C15&gt;D14),1)+IF(AND(Q15=2,Q16=2,E15&gt;D16),1)+IF(AND(Q15=2,Q17=2,F15&gt;D17),1)+IF(AND(Q15=2,Q18=2,G15&gt;D18),1)+IF(AND(Q15=3,Q14=3,C15&gt;D14),1)+IF(AND(Q15=3,Q16=3,E15&gt;D16),1)+IF(AND(Q15=3,Q17=3,F15&gt;D17),1)+IF(AND(Q15=3,Q18=3,G15&gt;D18),1)</f>
        <v>0</v>
      </c>
      <c r="K15" s="483">
        <f>SUM(AND(T15=T14,C15&gt;D14),AND(T15=T16,E15&gt;D16),AND(T15=T17,F15&gt;D17),AND(T15=T18,G15&gt;D18))</f>
        <v>0</v>
      </c>
      <c r="L15" s="490">
        <f>IF(AND(Q15=1,Q14=1),C15-D14)+IF(AND(Q15=1,Q16=1),E15-D16)+IF(AND(Q15=1,Q17=1),F15-D17)+IF(AND(Q15=1,Q18=1),G15-D18)+IF(AND(Q15=2,Q14=2),C15-D14)+IF(AND(Q15=2,Q16=2),E15-D16)+IF(AND(Q15=2,Q17=2),F15-D17)+IF(AND(Q15=2,Q18=2),G15-D18)+IF(AND(Q15=3,Q14=3),C15-D14)+IF(AND(Q15=3,Q16=3),E15-D16)+IF(AND(Q15=3,Q17=3),F15-D17)+IF(AND(Q15=3,Q18=3),G15-D18)+IF(AND(Q15=4,Q14=4),C15-D14)+IF(AND(Q15=4,Q16=4),E15-D16)+IF(AND(Q15=4,Q17=4),F15-D17)+IF(AND(Q15=4,Q18=4),G15-D18)</f>
        <v>0</v>
      </c>
      <c r="M15" s="483">
        <f>SUM(AND(R15=R14,C15&gt;D14),AND(R15=R16,E15&gt;D16),AND(R15=R17,F15&gt;D17),AND(R15=R18,G15&gt;D18))</f>
        <v>0</v>
      </c>
      <c r="N15" s="537" t="str">
        <f>SUM(C15:G15)&amp;"-"&amp;SUM(D14:D18)</f>
        <v>32-30</v>
      </c>
      <c r="O15" s="538">
        <f>C15+E15+F15+G15-D14-D16-D17-D18</f>
        <v>2</v>
      </c>
      <c r="P15" s="485">
        <f>SUM(C15:G15,D14:D18)/SUM(D14:D18)</f>
        <v>2.0666666666666669</v>
      </c>
      <c r="Q15" s="491">
        <f>VALUE(LEFT(H15,1))</f>
        <v>2</v>
      </c>
      <c r="R15" s="321">
        <f>Q15*100000+J15*10000+K15*1000+100*L15</f>
        <v>200000</v>
      </c>
      <c r="S15" s="486">
        <f>R15+M15*0.1+IF(ISNONTEXT(B15),0,0.01)+0.0001*O15</f>
        <v>200000.01020000002</v>
      </c>
      <c r="T15" s="487" t="str">
        <f>Q15&amp;J15</f>
        <v>20</v>
      </c>
      <c r="U15" s="477"/>
      <c r="V15" s="477"/>
      <c r="W15" s="477"/>
      <c r="X15" s="477"/>
      <c r="Y15" s="477"/>
      <c r="Z15" s="477"/>
      <c r="AA15" s="477"/>
      <c r="AB15" s="477"/>
      <c r="AC15" s="485"/>
      <c r="AD15" s="405">
        <f t="shared" si="0"/>
        <v>190</v>
      </c>
      <c r="AE15" s="406">
        <f>IFERROR(INDEX(V!$R:$R,MATCH(AF15,V!$L:$L,0)),"")</f>
        <v>104</v>
      </c>
      <c r="AF15" s="407" t="str">
        <f t="shared" si="1"/>
        <v>Andres Veski</v>
      </c>
      <c r="AG15" s="406">
        <f>IFERROR(INDEX(V!$R:$R,MATCH(AH15,V!$L:$L,0)),"")</f>
        <v>86</v>
      </c>
      <c r="AH15" s="407" t="str">
        <f t="shared" si="2"/>
        <v>Meelis Luud</v>
      </c>
      <c r="AI15" s="406" t="str">
        <f>IFERROR(INDEX(V!$R:$R,MATCH(AJ15,V!$L:$L,0)),"")</f>
        <v/>
      </c>
      <c r="AJ15" s="407" t="str">
        <f t="shared" si="3"/>
        <v/>
      </c>
      <c r="AK15" s="406" t="str">
        <f>IFERROR(INDEX(V!$R:$R,MATCH(AL15,V!$L:$L,0)),"")</f>
        <v/>
      </c>
      <c r="AL15" s="407" t="str">
        <f t="shared" si="4"/>
        <v/>
      </c>
      <c r="AM15" s="406" t="str">
        <f>IFERROR(INDEX(V!$R:$R,MATCH(AN15,V!$L:$L,0)),"")</f>
        <v/>
      </c>
      <c r="AN15" s="407" t="str">
        <f t="shared" si="5"/>
        <v/>
      </c>
      <c r="AO15" s="406" t="str">
        <f>IFERROR(INDEX(V!$R:$R,MATCH(AP15,V!$L:$L,0)),"")</f>
        <v/>
      </c>
      <c r="AP15" s="407" t="str">
        <f t="shared" si="6"/>
        <v/>
      </c>
    </row>
    <row r="16" spans="1:42" x14ac:dyDescent="0.2">
      <c r="A16" s="316">
        <v>3</v>
      </c>
      <c r="B16" s="488" t="s">
        <v>280</v>
      </c>
      <c r="C16" s="318">
        <v>9</v>
      </c>
      <c r="D16" s="492">
        <v>9</v>
      </c>
      <c r="E16" s="319"/>
      <c r="F16" s="318">
        <v>13</v>
      </c>
      <c r="G16" s="318"/>
      <c r="H16" s="317" t="str">
        <f>(IF(C16-E14&gt;0,1)+IF(D16-E15&gt;0,1)+IF(F16-E17&gt;0,1)+IF(G16-E18&gt;0,1))&amp;"-"&amp;(IF(C16-E14&lt;0,1)+IF(D16-E15&lt;0,1)+IF(F16-E17&lt;0,1)+IF(G16-E18&lt;0,1))</f>
        <v>1-2</v>
      </c>
      <c r="I16" s="318" t="str">
        <f>IF(AND(B16&lt;&gt;"",R$6=TRUE),A$13&amp;RANK(S16,S$14:S$18,0)," ")</f>
        <v>B3</v>
      </c>
      <c r="J16" s="489">
        <f>IF(AND(Q16=1,Q14=1,C16&gt;E14),1)+IF(AND(Q16=1,Q15=1,D16&gt;E15),1)+IF(AND(Q16=1,Q17=1,F16&gt;E17),1)+IF(AND(Q16=1,Q18=1,G16&gt;E18),1)+IF(AND(Q16=2,Q14=2,C16&gt;E14),1)+IF(AND(Q16=2,Q15=2,D16&gt;E15),1)+IF(AND(Q16=2,Q17=2,F16&gt;E17),1)+IF(AND(Q16=2,Q18=2,G16&gt;E18),1)+IF(AND(Q16=3,Q14=3,C16&gt;E14),1)+IF(AND(Q16=3,Q15=3,D16&gt;E15),1)+IF(AND(Q16=3,Q17=3,F16&gt;E17),1)+IF(AND(Q16=3,Q18=3,G16&gt;E18),1)</f>
        <v>0</v>
      </c>
      <c r="K16" s="483">
        <f>SUM(AND(T16=T14,C16&gt;E14),AND(T16=T15,D16&gt;E15),AND(T16=T17,F16&gt;E17),AND(T16=T18,G16&gt;E18))</f>
        <v>0</v>
      </c>
      <c r="L16" s="490">
        <f>IF(AND(Q16=1,Q14=1),C16-E14)+IF(AND(Q16=1,Q15=1),D16-E15)+IF(AND(Q16=1,Q17=1),F16-E17)+IF(AND(Q16=1,Q18=1),G16-E18)+IF(AND(Q16=2,Q14=2),C16-E14)+IF(AND(Q16=2,Q15=2),D16-E15)+IF(AND(Q16=2,Q17=2),F16-E17)+IF(AND(Q16=2,Q18=2),G16-E18)+IF(AND(Q16=3,Q14=3),C16-E14)+IF(AND(Q16=3,Q15=3),D16-E15)+IF(AND(Q16=3,Q17=3),F16-E17)+IF(AND(Q16=3,Q18=3),G16-E18)+IF(AND(Q16=4,Q14=4),C16-E14)+IF(AND(Q16=4,Q15=4),D16-E15)+IF(AND(Q16=4,Q17=4),F16-E17)+IF(AND(Q16=4,Q18=4),G16-E18)</f>
        <v>0</v>
      </c>
      <c r="M16" s="483">
        <f>SUM(AND(R16=R14,C16&gt;E14),AND(R16=R15,D16&gt;E15),AND(R16=R17,F16&gt;E17),AND(R16=R18,G16&gt;E18))</f>
        <v>0</v>
      </c>
      <c r="N16" s="537" t="str">
        <f>SUM(C16:G16)&amp;"-"&amp;SUM(E14:E18)</f>
        <v>31-35</v>
      </c>
      <c r="O16" s="538">
        <f>C16+D16+F16+G16-E14-E15-E17-E18</f>
        <v>-4</v>
      </c>
      <c r="P16" s="485">
        <f>SUM(C16:G16,E14:E18)/SUM(E14:E18)</f>
        <v>1.8857142857142857</v>
      </c>
      <c r="Q16" s="491">
        <f>VALUE(LEFT(H16,1))</f>
        <v>1</v>
      </c>
      <c r="R16" s="321">
        <f>Q16*100000+J16*10000+K16*1000+100*L16</f>
        <v>100000</v>
      </c>
      <c r="S16" s="486">
        <f>R16+M16*0.1+IF(ISNONTEXT(B16),0,0.01)+0.0001*O16</f>
        <v>100000.00959999999</v>
      </c>
      <c r="T16" s="487" t="str">
        <f>Q16&amp;J16</f>
        <v>10</v>
      </c>
      <c r="U16" s="477"/>
      <c r="V16" s="477"/>
      <c r="W16" s="477"/>
      <c r="X16" s="477"/>
      <c r="Y16" s="477"/>
      <c r="Z16" s="477"/>
      <c r="AA16" s="477"/>
      <c r="AB16" s="477"/>
      <c r="AC16" s="485"/>
      <c r="AD16" s="405">
        <f t="shared" si="0"/>
        <v>223</v>
      </c>
      <c r="AE16" s="406">
        <f>IFERROR(INDEX(V!$R:$R,MATCH(AF16,V!$L:$L,0)),"")</f>
        <v>118</v>
      </c>
      <c r="AF16" s="407" t="str">
        <f t="shared" si="1"/>
        <v>Enn Tokman</v>
      </c>
      <c r="AG16" s="406">
        <f>IFERROR(INDEX(V!$R:$R,MATCH(AH16,V!$L:$L,0)),"")</f>
        <v>105</v>
      </c>
      <c r="AH16" s="407" t="str">
        <f t="shared" si="2"/>
        <v>Tarmo Bombe</v>
      </c>
      <c r="AI16" s="406" t="str">
        <f>IFERROR(INDEX(V!$R:$R,MATCH(AJ16,V!$L:$L,0)),"")</f>
        <v/>
      </c>
      <c r="AJ16" s="407" t="str">
        <f t="shared" si="3"/>
        <v/>
      </c>
      <c r="AK16" s="406" t="str">
        <f>IFERROR(INDEX(V!$R:$R,MATCH(AL16,V!$L:$L,0)),"")</f>
        <v/>
      </c>
      <c r="AL16" s="407" t="str">
        <f t="shared" si="4"/>
        <v/>
      </c>
      <c r="AM16" s="406" t="str">
        <f>IFERROR(INDEX(V!$R:$R,MATCH(AN16,V!$L:$L,0)),"")</f>
        <v/>
      </c>
      <c r="AN16" s="407" t="str">
        <f t="shared" si="5"/>
        <v/>
      </c>
      <c r="AO16" s="406" t="str">
        <f>IFERROR(INDEX(V!$R:$R,MATCH(AP16,V!$L:$L,0)),"")</f>
        <v/>
      </c>
      <c r="AP16" s="407" t="str">
        <f t="shared" si="6"/>
        <v/>
      </c>
    </row>
    <row r="17" spans="1:42" x14ac:dyDescent="0.2">
      <c r="A17" s="316">
        <v>4</v>
      </c>
      <c r="B17" s="493" t="s">
        <v>406</v>
      </c>
      <c r="C17" s="318">
        <v>2</v>
      </c>
      <c r="D17" s="492">
        <v>8</v>
      </c>
      <c r="E17" s="318">
        <v>9</v>
      </c>
      <c r="F17" s="319"/>
      <c r="G17" s="511"/>
      <c r="H17" s="317" t="str">
        <f>(IF(C17-F14&gt;0,1)+IF(D17-F15&gt;0,1)+IF(E17-F16&gt;0,1)+IF(G17-F18&gt;0,1))&amp;"-"&amp;(IF(C17-F14&lt;0,1)+IF(D17-F15&lt;0,1)+IF(E17-F16&lt;0,1)+IF(G17-F18&lt;0,1))</f>
        <v>0-3</v>
      </c>
      <c r="I17" s="318" t="str">
        <f>IF(AND(B17&lt;&gt;"",R$6=TRUE),A$13&amp;RANK(S17,S$14:S$18,0)," ")</f>
        <v>B4</v>
      </c>
      <c r="J17" s="489">
        <f>IF(AND(Q17=1,Q14=1,C17&gt;F14),1)+IF(AND(Q17=1,Q15=1,D17&gt;F15),1)+IF(AND(Q17=1,Q16=1,E17&gt;F16),1)+IF(AND(Q17=1,Q18=1,G17&gt;F18),1)+IF(AND(Q17=2,Q14=2,C17&gt;F14),1)+IF(AND(Q17=2,Q15=2,D17&gt;F15),1)+IF(AND(Q17=2,Q16=2,E17&gt;F16),1)+IF(AND(Q17=2,Q18=2,G17&gt;F18),1)+IF(AND(Q17=3,Q14=3,C17&gt;F14),1)+IF(AND(Q17=3,Q15=3,D17&gt;F15),1)+IF(AND(Q17=3,Q16=3,E17&gt;F16),1)+IF(AND(Q17=3,Q18=3,G17&gt;F18),1)</f>
        <v>0</v>
      </c>
      <c r="K17" s="483">
        <f>SUM(AND(T17=T14,C17&gt;F14),AND(T17=T15,D17&gt;F15),AND(T17=T16,E17&gt;F16),AND(T17=T18,G17&gt;F18))</f>
        <v>0</v>
      </c>
      <c r="L17" s="490">
        <f>IF(AND(Q17=1,Q14=1),C17-F14)+IF(AND(Q17=1,Q15=1),D17-F15)+IF(AND(Q17=1,Q16=1),E17-F16)+IF(AND(Q17=1,Q18=1),G17-F18)+IF(AND(Q17=2,Q14=2),C17-F14)+IF(AND(Q17=2,Q15=2),D17-F15)+IF(AND(Q17=2,Q16=2),E17-F16)+IF(AND(Q17=2,Q18=2),G17-F18)+IF(AND(Q17=3,Q14=3),C17-F14)+IF(AND(Q17=3,Q15=3),D17-F15)+IF(AND(Q17=3,Q16=3),E17-F16)+IF(AND(Q17=3,Q18=3),G17-F18)+IF(AND(Q17=4,Q14=4),C17-F14)+IF(AND(Q17=4,Q15=4),D17-F15)+IF(AND(Q17=4,Q16=4),E17-F16)+IF(AND(Q17=4,Q18=4),G17-F18)</f>
        <v>0</v>
      </c>
      <c r="M17" s="483">
        <f>SUM(AND(R17=R14,C17&gt;F14),AND(R17=R15,D17&gt;F15),AND(R17=R16,E17&gt;F16),AND(R17=R18,G17&gt;F18))</f>
        <v>0</v>
      </c>
      <c r="N17" s="537" t="str">
        <f>SUM(C17:G17)&amp;"-"&amp;SUM(F14:F18)</f>
        <v>19-39</v>
      </c>
      <c r="O17" s="538">
        <f>C17+D17+E17+G17-F14-F15-F16-F18</f>
        <v>-20</v>
      </c>
      <c r="P17" s="485">
        <f>SUM(C17:G17,F14:F18)/SUM(F14:F18)</f>
        <v>1.4871794871794872</v>
      </c>
      <c r="Q17" s="491">
        <f>VALUE(LEFT(H17,1))</f>
        <v>0</v>
      </c>
      <c r="R17" s="321">
        <f>Q17*100000+J17*10000+K17*1000+100*L17</f>
        <v>0</v>
      </c>
      <c r="S17" s="486">
        <f>R17+M17*0.1+IF(ISNONTEXT(B17),0,0.01)+0.0001*O17</f>
        <v>8.0000000000000002E-3</v>
      </c>
      <c r="T17" s="487" t="str">
        <f>Q17&amp;J17</f>
        <v>00</v>
      </c>
      <c r="U17" s="477"/>
      <c r="V17" s="477"/>
      <c r="W17" s="477"/>
      <c r="X17" s="477"/>
      <c r="Y17" s="477"/>
      <c r="Z17" s="477"/>
      <c r="AA17" s="477"/>
      <c r="AB17" s="477"/>
      <c r="AC17" s="485"/>
      <c r="AD17" s="405">
        <f t="shared" si="0"/>
        <v>26</v>
      </c>
      <c r="AE17" s="406">
        <f>IFERROR(INDEX(V!$R:$R,MATCH(AF17,V!$L:$L,0)),"")</f>
        <v>12</v>
      </c>
      <c r="AF17" s="407" t="str">
        <f t="shared" si="1"/>
        <v>Sander Skrabutenas</v>
      </c>
      <c r="AG17" s="406">
        <f>IFERROR(INDEX(V!$R:$R,MATCH(AH17,V!$L:$L,0)),"")</f>
        <v>14</v>
      </c>
      <c r="AH17" s="407" t="str">
        <f t="shared" si="2"/>
        <v>Veronika Pirk</v>
      </c>
      <c r="AI17" s="406" t="str">
        <f>IFERROR(INDEX(V!$R:$R,MATCH(AJ17,V!$L:$L,0)),"")</f>
        <v/>
      </c>
      <c r="AJ17" s="407" t="str">
        <f t="shared" si="3"/>
        <v/>
      </c>
      <c r="AK17" s="406" t="str">
        <f>IFERROR(INDEX(V!$R:$R,MATCH(AL17,V!$L:$L,0)),"")</f>
        <v/>
      </c>
      <c r="AL17" s="407" t="str">
        <f t="shared" si="4"/>
        <v/>
      </c>
      <c r="AM17" s="406" t="str">
        <f>IFERROR(INDEX(V!$R:$R,MATCH(AN17,V!$L:$L,0)),"")</f>
        <v/>
      </c>
      <c r="AN17" s="407" t="str">
        <f t="shared" si="5"/>
        <v/>
      </c>
      <c r="AO17" s="406" t="str">
        <f>IFERROR(INDEX(V!$R:$R,MATCH(AP17,V!$L:$L,0)),"")</f>
        <v/>
      </c>
      <c r="AP17" s="407" t="str">
        <f t="shared" si="6"/>
        <v/>
      </c>
    </row>
    <row r="18" spans="1:42" hidden="1" x14ac:dyDescent="0.2">
      <c r="A18" s="316">
        <v>5</v>
      </c>
      <c r="B18" s="493"/>
      <c r="C18" s="318"/>
      <c r="D18" s="318"/>
      <c r="E18" s="318"/>
      <c r="F18" s="318"/>
      <c r="G18" s="319"/>
      <c r="H18" s="317" t="str">
        <f>(IF(C18-G14&gt;0,1)+IF(D18-G15&gt;0,1)+IF(E18-G16&gt;0,1)+IF(F18-G17&gt;0,1))&amp;"-"&amp;(IF(C18-G14&lt;0,1)+IF(D18-G15&lt;0,1)+IF(E18-G16&lt;0,1)+IF(F18-G17&lt;0,1))</f>
        <v>0-0</v>
      </c>
      <c r="I18" s="318" t="str">
        <f>IF(AND(B18&lt;&gt;"",R$6=TRUE),A$13&amp;RANK(S18,S$14:S$18,0)," ")</f>
        <v xml:space="preserve"> </v>
      </c>
      <c r="J18" s="489">
        <f>IF(AND(Q18=1,Q14=1,C18&gt;G14),1)+IF(AND(Q18=1,Q15=1,D18&gt;G15),1)+IF(AND(Q18=1,Q16=1,E18&gt;G16),1)+IF(AND(Q18=1,Q17=1,F18&gt;G17),1)+IF(AND(Q18=2,Q14=2,C18&gt;G14),1)+IF(AND(Q18=2,Q15=2,D18&gt;G15),1)+IF(AND(Q18=2,Q16=2,E18&gt;G16),1)+IF(AND(Q18=2,Q17=2,F18&gt;G17),1)+IF(AND(Q18=3,Q14=3,C18&gt;G14),1)+IF(AND(Q18=3,Q15=3,D18&gt;G15),1)+IF(AND(Q18=3,Q16=3,E18&gt;G16),1)+IF(AND(Q18=3,Q17=3,F18&gt;G17),1)</f>
        <v>0</v>
      </c>
      <c r="K18" s="483">
        <f>SUM(AND(T18=T14,C18&gt;G14),AND(T18=T15,D18&gt;G15),AND(T18=T16,E18&gt;G16),AND(T18=T17,F18&gt;G17))</f>
        <v>0</v>
      </c>
      <c r="L18" s="490">
        <f>IF(AND(Q18=1,Q14=1),C18-G14)+IF(AND(Q18=1,Q15=1),D18-G15)+IF(AND(Q18=1,Q16=1),E18-G16)+IF(AND(Q18=1,Q17=1),F18-G17)+IF(AND(Q18=2,Q14=2),C18-G14)+IF(AND(Q18=2,Q15=2),D18-G15)+IF(AND(Q18=2,Q16=2),E18-G16)+IF(AND(Q18=2,Q17=2),F18-G17)+IF(AND(Q18=3,Q14=3),C18-G14)+IF(AND(Q18=3,Q15=3),D18-G15)+IF(AND(Q18=3,Q16=3),E18-G16)+IF(AND(Q18=3,Q17=3),F18-G17)+IF(AND(Q18=4,Q14=4),C18-G14)+IF(AND(Q18=4,Q15=4),D18-G15)+IF(AND(Q18=4,Q16=4),E18-G16)+IF(AND(Q18=4,Q17=4),F18-G17)</f>
        <v>0</v>
      </c>
      <c r="M18" s="483">
        <f>SUM(AND(R18=R14,C18&gt;G14),AND(R18=R15,D18&gt;G15),AND(R18=R16,E18&gt;G16),AND(R18=R17,F18&gt;G17))</f>
        <v>0</v>
      </c>
      <c r="N18" s="537" t="str">
        <f>SUM(C18:G18)&amp;"-"&amp;SUM(G14:G18)</f>
        <v>0-0</v>
      </c>
      <c r="O18" s="538">
        <f>C18+D18+E18+F18-G14-G15-G16-G17</f>
        <v>0</v>
      </c>
      <c r="P18" s="485" t="e">
        <f>SUM(C18:G18,G14:G18)/SUM(G14:G18)</f>
        <v>#DIV/0!</v>
      </c>
      <c r="Q18" s="491">
        <f>VALUE(LEFT(H18,1))</f>
        <v>0</v>
      </c>
      <c r="R18" s="321">
        <f>Q18*100000+J18*10000+K18*1000+100*L18</f>
        <v>0</v>
      </c>
      <c r="S18" s="486">
        <f>R18+M18*0.1+IF(ISNONTEXT(B18),0,0.01)+0.0001*O18</f>
        <v>0</v>
      </c>
      <c r="T18" s="487" t="str">
        <f>Q18&amp;J18</f>
        <v>00</v>
      </c>
      <c r="U18" s="477"/>
      <c r="V18" s="477"/>
      <c r="W18" s="477"/>
      <c r="X18" s="477"/>
      <c r="Y18" s="477"/>
      <c r="Z18" s="477"/>
      <c r="AA18" s="477"/>
      <c r="AB18" s="477"/>
      <c r="AC18" s="485"/>
      <c r="AD18" s="405">
        <f t="shared" si="0"/>
        <v>0</v>
      </c>
      <c r="AE18" s="406" t="str">
        <f>IFERROR(INDEX(V!$R:$R,MATCH(AF18,V!$L:$L,0)),"")</f>
        <v/>
      </c>
      <c r="AF18" s="407" t="str">
        <f t="shared" si="1"/>
        <v/>
      </c>
      <c r="AG18" s="406" t="str">
        <f>IFERROR(INDEX(V!$R:$R,MATCH(AH18,V!$L:$L,0)),"")</f>
        <v/>
      </c>
      <c r="AH18" s="407" t="str">
        <f t="shared" si="2"/>
        <v/>
      </c>
      <c r="AI18" s="406" t="str">
        <f>IFERROR(INDEX(V!$R:$R,MATCH(AJ18,V!$L:$L,0)),"")</f>
        <v/>
      </c>
      <c r="AJ18" s="407" t="str">
        <f t="shared" si="3"/>
        <v/>
      </c>
      <c r="AK18" s="406" t="str">
        <f>IFERROR(INDEX(V!$R:$R,MATCH(AL18,V!$L:$L,0)),"")</f>
        <v/>
      </c>
      <c r="AL18" s="407" t="str">
        <f t="shared" si="4"/>
        <v/>
      </c>
      <c r="AM18" s="406" t="str">
        <f>IFERROR(INDEX(V!$R:$R,MATCH(AN18,V!$L:$L,0)),"")</f>
        <v/>
      </c>
      <c r="AN18" s="407" t="str">
        <f t="shared" si="5"/>
        <v/>
      </c>
      <c r="AO18" s="406" t="str">
        <f>IFERROR(INDEX(V!$R:$R,MATCH(AP18,V!$L:$L,0)),"")</f>
        <v/>
      </c>
      <c r="AP18" s="407" t="str">
        <f t="shared" si="6"/>
        <v/>
      </c>
    </row>
    <row r="19" spans="1:42" x14ac:dyDescent="0.2">
      <c r="A19" s="494"/>
      <c r="B19" s="495"/>
      <c r="C19" s="496"/>
      <c r="D19" s="497"/>
      <c r="E19" s="496"/>
      <c r="F19" s="498"/>
      <c r="G19" s="499"/>
      <c r="H19" s="500"/>
      <c r="I19" s="512"/>
      <c r="J19" s="477"/>
      <c r="K19" s="477"/>
      <c r="L19" s="477"/>
      <c r="M19" s="477"/>
      <c r="N19" s="539"/>
      <c r="O19" s="539"/>
      <c r="P19" s="477"/>
      <c r="Q19" s="477"/>
      <c r="R19" s="502" t="s">
        <v>264</v>
      </c>
      <c r="S19" s="477"/>
      <c r="T19" s="477"/>
      <c r="U19" s="477"/>
      <c r="V19" s="477"/>
      <c r="W19" s="477"/>
      <c r="X19" s="477"/>
      <c r="Y19" s="477"/>
      <c r="Z19" s="477"/>
      <c r="AA19" s="477"/>
      <c r="AB19" s="477"/>
      <c r="AC19" s="485"/>
      <c r="AD19" s="405">
        <f t="shared" si="0"/>
        <v>0</v>
      </c>
      <c r="AE19" s="406" t="str">
        <f>IFERROR(INDEX(V!$R:$R,MATCH(AF19,V!$L:$L,0)),"")</f>
        <v/>
      </c>
      <c r="AF19" s="407" t="str">
        <f t="shared" si="1"/>
        <v/>
      </c>
      <c r="AG19" s="406" t="str">
        <f>IFERROR(INDEX(V!$R:$R,MATCH(AH19,V!$L:$L,0)),"")</f>
        <v/>
      </c>
      <c r="AH19" s="407" t="str">
        <f t="shared" si="2"/>
        <v/>
      </c>
      <c r="AI19" s="406" t="str">
        <f>IFERROR(INDEX(V!$R:$R,MATCH(AJ19,V!$L:$L,0)),"")</f>
        <v/>
      </c>
      <c r="AJ19" s="407" t="str">
        <f t="shared" si="3"/>
        <v/>
      </c>
      <c r="AK19" s="406" t="str">
        <f>IFERROR(INDEX(V!$R:$R,MATCH(AL19,V!$L:$L,0)),"")</f>
        <v/>
      </c>
      <c r="AL19" s="407" t="str">
        <f t="shared" si="4"/>
        <v/>
      </c>
      <c r="AM19" s="406" t="str">
        <f>IFERROR(INDEX(V!$R:$R,MATCH(AN19,V!$L:$L,0)),"")</f>
        <v/>
      </c>
      <c r="AN19" s="407" t="str">
        <f t="shared" si="5"/>
        <v/>
      </c>
      <c r="AO19" s="406" t="str">
        <f>IFERROR(INDEX(V!$R:$R,MATCH(AP19,V!$L:$L,0)),"")</f>
        <v/>
      </c>
      <c r="AP19" s="407" t="str">
        <f t="shared" si="6"/>
        <v/>
      </c>
    </row>
    <row r="20" spans="1:42" x14ac:dyDescent="0.2">
      <c r="A20" s="316" t="s">
        <v>2</v>
      </c>
      <c r="B20" s="503"/>
      <c r="C20" s="467">
        <v>1</v>
      </c>
      <c r="D20" s="467">
        <v>2</v>
      </c>
      <c r="E20" s="467">
        <v>3</v>
      </c>
      <c r="F20" s="467">
        <v>4</v>
      </c>
      <c r="G20" s="467"/>
      <c r="H20" s="468" t="s">
        <v>168</v>
      </c>
      <c r="I20" s="468" t="s">
        <v>169</v>
      </c>
      <c r="J20" s="504" t="s">
        <v>257</v>
      </c>
      <c r="K20" s="505" t="s">
        <v>258</v>
      </c>
      <c r="L20" s="506" t="s">
        <v>259</v>
      </c>
      <c r="M20" s="506" t="s">
        <v>260</v>
      </c>
      <c r="N20" s="472" t="s">
        <v>170</v>
      </c>
      <c r="O20" s="472" t="s">
        <v>170</v>
      </c>
      <c r="P20" s="473" t="s">
        <v>261</v>
      </c>
      <c r="Q20" s="507" t="s">
        <v>21</v>
      </c>
      <c r="R20" s="507" t="b">
        <f>OR(AND(COUNTA(B21:B25)=3,COUNTA(C21:G25)=6),AND(COUNTA(B21:B25)=4,COUNTA(C21:G25)=12),AND(COUNTA(B21:B25)=5,COUNTA(C21:G25)=20))</f>
        <v>1</v>
      </c>
      <c r="S20" s="508" t="s">
        <v>262</v>
      </c>
      <c r="T20" s="509" t="s">
        <v>263</v>
      </c>
      <c r="U20" s="477"/>
      <c r="V20" s="477"/>
      <c r="W20" s="477"/>
      <c r="X20" s="477"/>
      <c r="Y20" s="477"/>
      <c r="Z20" s="477"/>
      <c r="AA20" s="477"/>
      <c r="AB20" s="477"/>
      <c r="AC20" s="477"/>
      <c r="AD20" s="405">
        <f t="shared" si="0"/>
        <v>0</v>
      </c>
      <c r="AE20" s="406" t="str">
        <f>IFERROR(INDEX(V!$R:$R,MATCH(AF20,V!$L:$L,0)),"")</f>
        <v/>
      </c>
      <c r="AF20" s="407" t="str">
        <f t="shared" si="1"/>
        <v/>
      </c>
      <c r="AG20" s="406" t="str">
        <f>IFERROR(INDEX(V!$R:$R,MATCH(AH20,V!$L:$L,0)),"")</f>
        <v/>
      </c>
      <c r="AH20" s="407" t="str">
        <f t="shared" si="2"/>
        <v/>
      </c>
      <c r="AI20" s="406" t="str">
        <f>IFERROR(INDEX(V!$R:$R,MATCH(AJ20,V!$L:$L,0)),"")</f>
        <v/>
      </c>
      <c r="AJ20" s="407" t="str">
        <f t="shared" si="3"/>
        <v/>
      </c>
      <c r="AK20" s="406" t="str">
        <f>IFERROR(INDEX(V!$R:$R,MATCH(AL20,V!$L:$L,0)),"")</f>
        <v/>
      </c>
      <c r="AL20" s="407" t="str">
        <f t="shared" si="4"/>
        <v/>
      </c>
      <c r="AM20" s="406" t="str">
        <f>IFERROR(INDEX(V!$R:$R,MATCH(AN20,V!$L:$L,0)),"")</f>
        <v/>
      </c>
      <c r="AN20" s="407" t="str">
        <f t="shared" si="5"/>
        <v/>
      </c>
      <c r="AO20" s="406" t="str">
        <f>IFERROR(INDEX(V!$R:$R,MATCH(AP20,V!$L:$L,0)),"")</f>
        <v/>
      </c>
      <c r="AP20" s="407" t="str">
        <f t="shared" si="6"/>
        <v/>
      </c>
    </row>
    <row r="21" spans="1:42" x14ac:dyDescent="0.2">
      <c r="A21" s="316">
        <v>1</v>
      </c>
      <c r="B21" s="479" t="s">
        <v>278</v>
      </c>
      <c r="C21" s="319"/>
      <c r="D21" s="318">
        <v>13</v>
      </c>
      <c r="E21" s="318">
        <v>13</v>
      </c>
      <c r="F21" s="318">
        <v>13</v>
      </c>
      <c r="G21" s="318"/>
      <c r="H21" s="317" t="str">
        <f>(IF(D21-C22&gt;0,1)+IF(E21-C23&gt;0,1)+IF(F21-C24&gt;0,1)+IF(G21-C25&gt;0,1))&amp;"-"&amp;(IF(D21-C22&lt;0,1)+IF(E21-C23&lt;0,1)+IF(F21-C24&lt;0,1)+IF(G21-C25&lt;0,1))</f>
        <v>3-0</v>
      </c>
      <c r="I21" s="318" t="str">
        <f>IF(AND(B21&lt;&gt;"",R$20=TRUE),A$20&amp;RANK(S21,S$21:S$25,0)," ")</f>
        <v>C1</v>
      </c>
      <c r="J21" s="480">
        <f>IF(AND(Q21=1,Q22=1,D21&gt;C22),1)+IF(AND(Q21=1,Q23=1,E21&gt;C23),1)+IF(AND(Q21=1,Q24=1,F21&gt;C24),1)+IF(AND(Q21=1,Q25=1,G21&gt;C25),1)+IF(AND(Q21=2,Q22=2,D21&gt;C22),1)+IF(AND(Q21=2,Q23=2,E21&gt;C23),1)+IF(AND(Q21=2,Q24=2,F21&gt;C24),1)+IF(AND(Q21=2,Q25=2,G21&gt;C25),1)+IF(AND(Q21=3,Q22=3,D21&gt;C22),1)+IF(AND(Q21=3,Q23=3,E21&gt;C23),1)+IF(AND(Q21=3,Q24=3,F21&gt;C24),1)+IF(AND(Q21=3,Q25=3,G21&gt;C25),1)</f>
        <v>0</v>
      </c>
      <c r="K21" s="481">
        <f>SUM(AND(T21=T22,D21&gt;C22),AND(T21=T23,E21&gt;C23),AND(T21=T24,F21&gt;C24),AND(T21=T25,G21&gt;C25))</f>
        <v>0</v>
      </c>
      <c r="L21" s="482">
        <f>IF(AND(Q21=1,Q22=1),D21-C22)+IF(AND(Q21=1,Q23=1),E21-C23)+IF(AND(Q21=1,Q24=1),F21-C24)+IF(AND(Q21=1,Q25=1),G21-C25)+IF(AND(Q21=2,Q22=2),D21-C22)+IF(AND(Q21=2,Q23=2),E21-C23)+IF(AND(Q21=2,Q24=2),F21-C24)+IF(AND(Q21=2,Q25=2),G21-C25)+IF(AND(Q21=3,Q22=3),D21-C22)+IF(AND(Q21=3,Q23=3),E21-C23)+IF(AND(Q21=3,Q24=3),F21-C24)+IF(AND(Q21=3,Q25=3),G21-C25)+IF(AND(Q21=4,Q22=4),D21-C22)+IF(AND(Q21=4,Q23=4),E21-C23)+IF(AND(Q21=4,Q24=4),F21-C24)+IF(AND(Q21=4,Q25=4),G21-C25)</f>
        <v>0</v>
      </c>
      <c r="M21" s="483">
        <f>SUM(AND(R21=R22,D21&gt;C22),AND(R21=R23,E21&gt;C23),AND(R21=R24,F21&gt;C24),AND(R21=R25,G21&gt;C25))</f>
        <v>0</v>
      </c>
      <c r="N21" s="537" t="str">
        <f>SUM(C21:G21)&amp;"-"&amp;SUM(C21:C25)</f>
        <v>39-21</v>
      </c>
      <c r="O21" s="538">
        <f>D21+E21+F21+G21-C22-C23-C24-C25</f>
        <v>18</v>
      </c>
      <c r="P21" s="485">
        <f>SUM(C21:G21,C21:C25)/SUM(C21:C25)</f>
        <v>2.8571428571428572</v>
      </c>
      <c r="Q21" s="320">
        <f>VALUE(LEFT(H21,1))</f>
        <v>3</v>
      </c>
      <c r="R21" s="321">
        <f>Q21*100000+J21*10000+K21*1000+100*L21</f>
        <v>300000</v>
      </c>
      <c r="S21" s="486">
        <f>R21+M21*0.1+IF(ISNONTEXT(B21),0,0.01)+0.0001*O21</f>
        <v>300000.01180000004</v>
      </c>
      <c r="T21" s="487" t="str">
        <f>Q21&amp;J21</f>
        <v>30</v>
      </c>
      <c r="U21" s="477"/>
      <c r="V21" s="477"/>
      <c r="W21" s="477"/>
      <c r="X21" s="477"/>
      <c r="Y21" s="477"/>
      <c r="Z21" s="477"/>
      <c r="AA21" s="477"/>
      <c r="AB21" s="477"/>
      <c r="AC21" s="477"/>
      <c r="AD21" s="405">
        <f t="shared" si="0"/>
        <v>365</v>
      </c>
      <c r="AE21" s="406">
        <f>IFERROR(INDEX(V!$R:$R,MATCH(AF21,V!$L:$L,0)),"")</f>
        <v>187</v>
      </c>
      <c r="AF21" s="407" t="str">
        <f t="shared" si="1"/>
        <v>Kenneth Muusikus</v>
      </c>
      <c r="AG21" s="406">
        <f>IFERROR(INDEX(V!$R:$R,MATCH(AH21,V!$L:$L,0)),"")</f>
        <v>178</v>
      </c>
      <c r="AH21" s="407" t="str">
        <f t="shared" si="2"/>
        <v>Mait Metsla</v>
      </c>
      <c r="AI21" s="406" t="str">
        <f>IFERROR(INDEX(V!$R:$R,MATCH(AJ21,V!$L:$L,0)),"")</f>
        <v/>
      </c>
      <c r="AJ21" s="407" t="str">
        <f t="shared" si="3"/>
        <v/>
      </c>
      <c r="AK21" s="406" t="str">
        <f>IFERROR(INDEX(V!$R:$R,MATCH(AL21,V!$L:$L,0)),"")</f>
        <v/>
      </c>
      <c r="AL21" s="407" t="str">
        <f t="shared" si="4"/>
        <v/>
      </c>
      <c r="AM21" s="406" t="str">
        <f>IFERROR(INDEX(V!$R:$R,MATCH(AN21,V!$L:$L,0)),"")</f>
        <v/>
      </c>
      <c r="AN21" s="407" t="str">
        <f t="shared" si="5"/>
        <v/>
      </c>
      <c r="AO21" s="406" t="str">
        <f>IFERROR(INDEX(V!$R:$R,MATCH(AP21,V!$L:$L,0)),"")</f>
        <v/>
      </c>
      <c r="AP21" s="407" t="str">
        <f t="shared" si="6"/>
        <v/>
      </c>
    </row>
    <row r="22" spans="1:42" x14ac:dyDescent="0.2">
      <c r="A22" s="316">
        <v>2</v>
      </c>
      <c r="B22" s="488" t="s">
        <v>274</v>
      </c>
      <c r="C22" s="318">
        <v>6</v>
      </c>
      <c r="D22" s="319"/>
      <c r="E22" s="654">
        <v>13</v>
      </c>
      <c r="F22" s="654">
        <v>9</v>
      </c>
      <c r="G22" s="318"/>
      <c r="H22" s="317" t="str">
        <f>(IF(C22-D21&gt;0,1)+IF(E22-D23&gt;0,1)+IF(F22-D24&gt;0,1)+IF(G22-D25&gt;0,1))&amp;"-"&amp;(IF(C22-D21&lt;0,1)+IF(E22-D23&lt;0,1)+IF(F22-D24&lt;0,1)+IF(G22-D25&lt;0,1))</f>
        <v>1-2</v>
      </c>
      <c r="I22" s="318" t="str">
        <f t="shared" ref="I22:I25" si="7">IF(AND(B22&lt;&gt;"",R$20=TRUE),A$20&amp;RANK(S22,S$21:S$25,0)," ")</f>
        <v>C2</v>
      </c>
      <c r="J22" s="489">
        <f>IF(AND(Q22=1,Q21=1,C22&gt;D21),1)+IF(AND(Q22=1,Q23=1,E22&gt;D23),1)+IF(AND(Q22=1,Q24=1,F22&gt;D24),1)+IF(AND(Q22=1,Q25=1,G22&gt;D25),1)+IF(AND(Q22=2,Q21=2,C22&gt;D21),1)+IF(AND(Q22=2,Q23=2,E22&gt;D23),1)+IF(AND(Q22=2,Q24=2,F22&gt;D24),1)+IF(AND(Q22=2,Q25=2,G22&gt;D25),1)+IF(AND(Q22=3,Q21=3,C22&gt;D21),1)+IF(AND(Q22=3,Q23=3,E22&gt;D23),1)+IF(AND(Q22=3,Q24=3,F22&gt;D24),1)+IF(AND(Q22=3,Q25=3,G22&gt;D25),1)</f>
        <v>1</v>
      </c>
      <c r="K22" s="483">
        <f>SUM(AND(T22=T21,C22&gt;D21),AND(T22=T23,E22&gt;D23),AND(T22=T24,F22&gt;D24),AND(T22=T25,G22&gt;D25))</f>
        <v>1</v>
      </c>
      <c r="L22" s="490">
        <f>IF(AND(Q22=1,Q21=1),C22-D21)+IF(AND(Q22=1,Q23=1),E22-D23)+IF(AND(Q22=1,Q24=1),F22-D24)+IF(AND(Q22=1,Q25=1),G22-D25)+IF(AND(Q22=2,Q21=2),C22-D21)+IF(AND(Q22=2,Q23=2),E22-D23)+IF(AND(Q22=2,Q24=2),F22-D24)+IF(AND(Q22=2,Q25=2),G22-D25)+IF(AND(Q22=3,Q21=3),C22-D21)+IF(AND(Q22=3,Q23=3),E22-D23)+IF(AND(Q22=3,Q24=3),F22-D24)+IF(AND(Q22=3,Q25=3),G22-D25)+IF(AND(Q22=4,Q21=4),C22-D21)+IF(AND(Q22=4,Q23=4),E22-D23)+IF(AND(Q22=4,Q24=4),F22-D24)+IF(AND(Q22=4,Q25=4),G22-D25)</f>
        <v>3</v>
      </c>
      <c r="M22" s="483">
        <f>SUM(AND(R22=R21,C22&gt;D21),AND(R22=R23,E22&gt;D23),AND(R22=R24,F22&gt;D24),AND(R22=R25,G22&gt;D25))</f>
        <v>0</v>
      </c>
      <c r="N22" s="537" t="str">
        <f>SUM(C22:G22)&amp;"-"&amp;SUM(D21:D25)</f>
        <v>28-32</v>
      </c>
      <c r="O22" s="538">
        <f>C22+E22+F22+G22-D21-D23-D24-D25</f>
        <v>-4</v>
      </c>
      <c r="P22" s="485">
        <f>SUM(C22:G22,D21:D25)/SUM(D21:D25)</f>
        <v>1.875</v>
      </c>
      <c r="Q22" s="491">
        <f>VALUE(LEFT(H22,1))</f>
        <v>1</v>
      </c>
      <c r="R22" s="321">
        <f>Q22*100000+J22*10000+K22*1000+100*L22</f>
        <v>111300</v>
      </c>
      <c r="S22" s="486">
        <f>R22+M22*0.1+IF(ISNONTEXT(B22),0,0.01)+0.0001*O22</f>
        <v>111300.00959999999</v>
      </c>
      <c r="T22" s="487" t="str">
        <f>Q22&amp;J22</f>
        <v>11</v>
      </c>
      <c r="U22" s="477"/>
      <c r="V22" s="477"/>
      <c r="W22" s="477"/>
      <c r="X22" s="477"/>
      <c r="Y22" s="477"/>
      <c r="Z22" s="477"/>
      <c r="AA22" s="477"/>
      <c r="AB22" s="477"/>
      <c r="AC22" s="477"/>
      <c r="AD22" s="405">
        <f t="shared" si="0"/>
        <v>276</v>
      </c>
      <c r="AE22" s="406">
        <f>IFERROR(INDEX(V!$R:$R,MATCH(AF22,V!$L:$L,0)),"")</f>
        <v>150.5</v>
      </c>
      <c r="AF22" s="407" t="str">
        <f t="shared" si="1"/>
        <v>Karla Purgats</v>
      </c>
      <c r="AG22" s="406">
        <f>IFERROR(INDEX(V!$R:$R,MATCH(AH22,V!$L:$L,0)),"")</f>
        <v>125.5</v>
      </c>
      <c r="AH22" s="407" t="str">
        <f t="shared" si="2"/>
        <v>Lemmit Toomra</v>
      </c>
      <c r="AI22" s="406" t="str">
        <f>IFERROR(INDEX(V!$R:$R,MATCH(AJ22,V!$L:$L,0)),"")</f>
        <v/>
      </c>
      <c r="AJ22" s="407" t="str">
        <f t="shared" si="3"/>
        <v/>
      </c>
      <c r="AK22" s="406" t="str">
        <f>IFERROR(INDEX(V!$R:$R,MATCH(AL22,V!$L:$L,0)),"")</f>
        <v/>
      </c>
      <c r="AL22" s="407" t="str">
        <f t="shared" si="4"/>
        <v/>
      </c>
      <c r="AM22" s="406" t="str">
        <f>IFERROR(INDEX(V!$R:$R,MATCH(AN22,V!$L:$L,0)),"")</f>
        <v/>
      </c>
      <c r="AN22" s="407" t="str">
        <f t="shared" si="5"/>
        <v/>
      </c>
      <c r="AO22" s="406" t="str">
        <f>IFERROR(INDEX(V!$R:$R,MATCH(AP22,V!$L:$L,0)),"")</f>
        <v/>
      </c>
      <c r="AP22" s="407" t="str">
        <f t="shared" si="6"/>
        <v/>
      </c>
    </row>
    <row r="23" spans="1:42" x14ac:dyDescent="0.2">
      <c r="A23" s="316">
        <v>3</v>
      </c>
      <c r="B23" s="488" t="s">
        <v>275</v>
      </c>
      <c r="C23" s="318">
        <v>10</v>
      </c>
      <c r="D23" s="655">
        <v>6</v>
      </c>
      <c r="E23" s="319"/>
      <c r="F23" s="654">
        <v>13</v>
      </c>
      <c r="G23" s="318"/>
      <c r="H23" s="317" t="str">
        <f>(IF(C23-E21&gt;0,1)+IF(D23-E22&gt;0,1)+IF(F23-E24&gt;0,1)+IF(G23-E25&gt;0,1))&amp;"-"&amp;(IF(C23-E21&lt;0,1)+IF(D23-E22&lt;0,1)+IF(F23-E24&lt;0,1)+IF(G23-E25&lt;0,1))</f>
        <v>1-2</v>
      </c>
      <c r="I23" s="318" t="str">
        <f t="shared" si="7"/>
        <v>C3</v>
      </c>
      <c r="J23" s="489">
        <f>IF(AND(Q23=1,Q21=1,C23&gt;E21),1)+IF(AND(Q23=1,Q22=1,D23&gt;E22),1)+IF(AND(Q23=1,Q24=1,F23&gt;E24),1)+IF(AND(Q23=1,Q25=1,G23&gt;E25),1)+IF(AND(Q23=2,Q21=2,C23&gt;E21),1)+IF(AND(Q23=2,Q22=2,D23&gt;E22),1)+IF(AND(Q23=2,Q24=2,F23&gt;E24),1)+IF(AND(Q23=2,Q25=2,G23&gt;E25),1)+IF(AND(Q23=3,Q21=3,C23&gt;E21),1)+IF(AND(Q23=3,Q22=3,D23&gt;E22),1)+IF(AND(Q23=3,Q24=3,F23&gt;E24),1)+IF(AND(Q23=3,Q25=3,G23&gt;E25),1)</f>
        <v>1</v>
      </c>
      <c r="K23" s="483">
        <f>SUM(AND(T23=T21,C23&gt;E21),AND(T23=T22,D23&gt;E22),AND(T23=T24,F23&gt;E24),AND(T23=T25,G23&gt;E25))</f>
        <v>1</v>
      </c>
      <c r="L23" s="490">
        <f>IF(AND(Q23=1,Q21=1),C23-E21)+IF(AND(Q23=1,Q22=1),D23-E22)+IF(AND(Q23=1,Q24=1),F23-E24)+IF(AND(Q23=1,Q25=1),G23-E25)+IF(AND(Q23=2,Q21=2),C23-E21)+IF(AND(Q23=2,Q22=2),D23-E22)+IF(AND(Q23=2,Q24=2),F23-E24)+IF(AND(Q23=2,Q25=2),G23-E25)+IF(AND(Q23=3,Q21=3),C23-E21)+IF(AND(Q23=3,Q22=3),D23-E22)+IF(AND(Q23=3,Q24=3),F23-E24)+IF(AND(Q23=3,Q25=3),G23-E25)+IF(AND(Q23=4,Q21=4),C23-E21)+IF(AND(Q23=4,Q22=4),D23-E22)+IF(AND(Q23=4,Q24=4),F23-E24)+IF(AND(Q23=4,Q25=4),G23-E25)</f>
        <v>2</v>
      </c>
      <c r="M23" s="483">
        <f>SUM(AND(R23=R21,C23&gt;E21),AND(R23=R22,D23&gt;E22),AND(R23=R24,F23&gt;E24),AND(R23=R25,G23&gt;E25))</f>
        <v>0</v>
      </c>
      <c r="N23" s="537" t="str">
        <f>SUM(C23:G23)&amp;"-"&amp;SUM(E21:E25)</f>
        <v>29-30</v>
      </c>
      <c r="O23" s="538">
        <f>C23+D23+F23+G23-E21-E22-E24-E25</f>
        <v>-1</v>
      </c>
      <c r="P23" s="485">
        <f>SUM(C23:G23,E21:E25)/SUM(E21:E25)</f>
        <v>1.9666666666666666</v>
      </c>
      <c r="Q23" s="491">
        <f>VALUE(LEFT(H23,1))</f>
        <v>1</v>
      </c>
      <c r="R23" s="321">
        <f>Q23*100000+J23*10000+K23*1000+100*L23</f>
        <v>111200</v>
      </c>
      <c r="S23" s="486">
        <f>R23+M23*0.1+IF(ISNONTEXT(B23),0,0.01)+0.0001*O23</f>
        <v>111200.00989999999</v>
      </c>
      <c r="T23" s="487" t="str">
        <f>Q23&amp;J23</f>
        <v>11</v>
      </c>
      <c r="U23" s="477"/>
      <c r="V23" s="477"/>
      <c r="W23" s="477"/>
      <c r="X23" s="477"/>
      <c r="Y23" s="477"/>
      <c r="Z23" s="477"/>
      <c r="AA23" s="477"/>
      <c r="AB23" s="477"/>
      <c r="AC23" s="477"/>
      <c r="AD23" s="405">
        <f t="shared" si="0"/>
        <v>174</v>
      </c>
      <c r="AE23" s="406">
        <f>IFERROR(INDEX(V!$R:$R,MATCH(AF23,V!$L:$L,0)),"")</f>
        <v>84</v>
      </c>
      <c r="AF23" s="407" t="str">
        <f t="shared" si="1"/>
        <v>Aarne Välja</v>
      </c>
      <c r="AG23" s="406">
        <f>IFERROR(INDEX(V!$R:$R,MATCH(AH23,V!$L:$L,0)),"")</f>
        <v>90</v>
      </c>
      <c r="AH23" s="407" t="str">
        <f t="shared" si="2"/>
        <v>Janek Tarto</v>
      </c>
      <c r="AI23" s="406" t="str">
        <f>IFERROR(INDEX(V!$R:$R,MATCH(AJ23,V!$L:$L,0)),"")</f>
        <v/>
      </c>
      <c r="AJ23" s="407" t="str">
        <f t="shared" si="3"/>
        <v/>
      </c>
      <c r="AK23" s="406" t="str">
        <f>IFERROR(INDEX(V!$R:$R,MATCH(AL23,V!$L:$L,0)),"")</f>
        <v/>
      </c>
      <c r="AL23" s="407" t="str">
        <f t="shared" si="4"/>
        <v/>
      </c>
      <c r="AM23" s="406" t="str">
        <f>IFERROR(INDEX(V!$R:$R,MATCH(AN23,V!$L:$L,0)),"")</f>
        <v/>
      </c>
      <c r="AN23" s="407" t="str">
        <f t="shared" si="5"/>
        <v/>
      </c>
      <c r="AO23" s="406" t="str">
        <f>IFERROR(INDEX(V!$R:$R,MATCH(AP23,V!$L:$L,0)),"")</f>
        <v/>
      </c>
      <c r="AP23" s="407" t="str">
        <f t="shared" si="6"/>
        <v/>
      </c>
    </row>
    <row r="24" spans="1:42" x14ac:dyDescent="0.2">
      <c r="A24" s="316">
        <v>4</v>
      </c>
      <c r="B24" s="488" t="s">
        <v>312</v>
      </c>
      <c r="C24" s="318">
        <v>5</v>
      </c>
      <c r="D24" s="655">
        <v>13</v>
      </c>
      <c r="E24" s="654">
        <v>4</v>
      </c>
      <c r="F24" s="319"/>
      <c r="G24" s="511"/>
      <c r="H24" s="317" t="str">
        <f>(IF(C24-F21&gt;0,1)+IF(D24-F22&gt;0,1)+IF(E24-F23&gt;0,1)+IF(G24-F25&gt;0,1))&amp;"-"&amp;(IF(C24-F21&lt;0,1)+IF(D24-F22&lt;0,1)+IF(E24-F23&lt;0,1)+IF(G24-F25&lt;0,1))</f>
        <v>1-2</v>
      </c>
      <c r="I24" s="318" t="str">
        <f t="shared" si="7"/>
        <v>C4</v>
      </c>
      <c r="J24" s="489">
        <f>IF(AND(Q24=1,Q21=1,C24&gt;F21),1)+IF(AND(Q24=1,Q22=1,D24&gt;F22),1)+IF(AND(Q24=1,Q23=1,E24&gt;F23),1)+IF(AND(Q24=1,Q25=1,G24&gt;F25),1)+IF(AND(Q24=2,Q21=2,C24&gt;F21),1)+IF(AND(Q24=2,Q22=2,D24&gt;F22),1)+IF(AND(Q24=2,Q23=2,E24&gt;F23),1)+IF(AND(Q24=2,Q25=2,G24&gt;F25),1)+IF(AND(Q24=3,Q21=3,C24&gt;F21),1)+IF(AND(Q24=3,Q22=3,D24&gt;F22),1)+IF(AND(Q24=3,Q23=3,E24&gt;F23),1)+IF(AND(Q24=3,Q25=3,G24&gt;F25),1)</f>
        <v>1</v>
      </c>
      <c r="K24" s="483">
        <f>SUM(AND(T24=T21,C24&gt;F21),AND(T24=T22,D24&gt;F22),AND(T24=T23,E24&gt;F23),AND(T24=T25,G24&gt;F25))</f>
        <v>1</v>
      </c>
      <c r="L24" s="490">
        <f>IF(AND(Q24=1,Q21=1),C24-F21)+IF(AND(Q24=1,Q22=1),D24-F22)+IF(AND(Q24=1,Q23=1),E24-F23)+IF(AND(Q24=1,Q25=1),G24-F25)+IF(AND(Q24=2,Q21=2),C24-F21)+IF(AND(Q24=2,Q22=2),D24-F22)+IF(AND(Q24=2,Q23=2),E24-F23)+IF(AND(Q24=2,Q25=2),G24-F25)+IF(AND(Q24=3,Q21=3),C24-F21)+IF(AND(Q24=3,Q22=3),D24-F22)+IF(AND(Q24=3,Q23=3),E24-F23)+IF(AND(Q24=3,Q25=3),G24-F25)+IF(AND(Q24=4,Q21=4),C24-F21)+IF(AND(Q24=4,Q22=4),D24-F22)+IF(AND(Q24=4,Q23=4),E24-F23)+IF(AND(Q24=4,Q25=4),G24-F25)</f>
        <v>-5</v>
      </c>
      <c r="M24" s="483">
        <f>SUM(AND(R24=R21,C24&gt;F21),AND(R24=R22,D24&gt;F22),AND(R24=R23,E24&gt;F23),AND(R24=R25,G24&gt;F25))</f>
        <v>0</v>
      </c>
      <c r="N24" s="537" t="str">
        <f>SUM(C24:G24)&amp;"-"&amp;SUM(F21:F25)</f>
        <v>22-35</v>
      </c>
      <c r="O24" s="538">
        <f>C24+D24+E24+G24-F21-F22-F23-F25</f>
        <v>-13</v>
      </c>
      <c r="P24" s="485">
        <f>SUM(C24:G24,F21:F25)/SUM(F21:F25)</f>
        <v>1.6285714285714286</v>
      </c>
      <c r="Q24" s="491">
        <f>VALUE(LEFT(H24,1))</f>
        <v>1</v>
      </c>
      <c r="R24" s="321">
        <f>Q24*100000+J24*10000+K24*1000+100*L24</f>
        <v>110500</v>
      </c>
      <c r="S24" s="486">
        <f>R24+M24*0.1+IF(ISNONTEXT(B24),0,0.01)+0.0001*O24</f>
        <v>110500.00869999999</v>
      </c>
      <c r="T24" s="487" t="str">
        <f>Q24&amp;J24</f>
        <v>11</v>
      </c>
      <c r="U24" s="477"/>
      <c r="V24" s="477"/>
      <c r="W24" s="477"/>
      <c r="X24" s="477"/>
      <c r="Y24" s="477"/>
      <c r="Z24" s="477"/>
      <c r="AA24" s="477"/>
      <c r="AB24" s="477"/>
      <c r="AC24" s="477"/>
      <c r="AD24" s="405">
        <f t="shared" si="0"/>
        <v>122</v>
      </c>
      <c r="AE24" s="406">
        <f>IFERROR(INDEX(V!$R:$R,MATCH(AF24,V!$L:$L,0)),"")</f>
        <v>65</v>
      </c>
      <c r="AF24" s="407" t="str">
        <f t="shared" si="1"/>
        <v>Illar Tõnurist</v>
      </c>
      <c r="AG24" s="406">
        <f>IFERROR(INDEX(V!$R:$R,MATCH(AH24,V!$L:$L,0)),"")</f>
        <v>57</v>
      </c>
      <c r="AH24" s="407" t="str">
        <f t="shared" si="2"/>
        <v>Klavdia Piik</v>
      </c>
      <c r="AI24" s="406" t="str">
        <f>IFERROR(INDEX(V!$R:$R,MATCH(AJ24,V!$L:$L,0)),"")</f>
        <v/>
      </c>
      <c r="AJ24" s="407" t="str">
        <f t="shared" si="3"/>
        <v/>
      </c>
      <c r="AK24" s="406" t="str">
        <f>IFERROR(INDEX(V!$R:$R,MATCH(AL24,V!$L:$L,0)),"")</f>
        <v/>
      </c>
      <c r="AL24" s="407" t="str">
        <f t="shared" si="4"/>
        <v/>
      </c>
      <c r="AM24" s="406" t="str">
        <f>IFERROR(INDEX(V!$R:$R,MATCH(AN24,V!$L:$L,0)),"")</f>
        <v/>
      </c>
      <c r="AN24" s="407" t="str">
        <f t="shared" si="5"/>
        <v/>
      </c>
      <c r="AO24" s="406" t="str">
        <f>IFERROR(INDEX(V!$R:$R,MATCH(AP24,V!$L:$L,0)),"")</f>
        <v/>
      </c>
      <c r="AP24" s="407" t="str">
        <f t="shared" si="6"/>
        <v/>
      </c>
    </row>
    <row r="25" spans="1:42" hidden="1" x14ac:dyDescent="0.2">
      <c r="A25" s="316">
        <v>5</v>
      </c>
      <c r="B25" s="493"/>
      <c r="C25" s="318"/>
      <c r="D25" s="318"/>
      <c r="E25" s="318"/>
      <c r="F25" s="318"/>
      <c r="G25" s="319"/>
      <c r="H25" s="317" t="str">
        <f>(IF(C25-G21&gt;0,1)+IF(D25-G22&gt;0,1)+IF(E25-G23&gt;0,1)+IF(F25-G24&gt;0,1))&amp;"-"&amp;(IF(C25-G21&lt;0,1)+IF(D25-G22&lt;0,1)+IF(E25-G23&lt;0,1)+IF(F25-G24&lt;0,1))</f>
        <v>0-0</v>
      </c>
      <c r="I25" s="318" t="str">
        <f t="shared" si="7"/>
        <v xml:space="preserve"> </v>
      </c>
      <c r="J25" s="489">
        <f>IF(AND(Q25=1,Q21=1,C25&gt;G21),1)+IF(AND(Q25=1,Q22=1,D25&gt;G22),1)+IF(AND(Q25=1,Q23=1,E25&gt;G23),1)+IF(AND(Q25=1,Q24=1,F25&gt;G24),1)+IF(AND(Q25=2,Q21=2,C25&gt;G21),1)+IF(AND(Q25=2,Q22=2,D25&gt;G22),1)+IF(AND(Q25=2,Q23=2,E25&gt;G23),1)+IF(AND(Q25=2,Q24=2,F25&gt;G24),1)+IF(AND(Q25=3,Q21=3,C25&gt;G21),1)+IF(AND(Q25=3,Q22=3,D25&gt;G22),1)+IF(AND(Q25=3,Q23=3,E25&gt;G23),1)+IF(AND(Q25=3,Q24=3,F25&gt;G24),1)</f>
        <v>0</v>
      </c>
      <c r="K25" s="483">
        <f>SUM(AND(T25=T21,C25&gt;G21),AND(T25=T22,D25&gt;G22),AND(T25=T23,E25&gt;G23),AND(T25=T24,F25&gt;G24))</f>
        <v>0</v>
      </c>
      <c r="L25" s="490">
        <f>IF(AND(Q25=1,Q21=1),C25-G21)+IF(AND(Q25=1,Q22=1),D25-G22)+IF(AND(Q25=1,Q23=1),E25-G23)+IF(AND(Q25=1,Q24=1),F25-G24)+IF(AND(Q25=2,Q21=2),C25-G21)+IF(AND(Q25=2,Q22=2),D25-G22)+IF(AND(Q25=2,Q23=2),E25-G23)+IF(AND(Q25=2,Q24=2),F25-G24)+IF(AND(Q25=3,Q21=3),C25-G21)+IF(AND(Q25=3,Q22=3),D25-G22)+IF(AND(Q25=3,Q23=3),E25-G23)+IF(AND(Q25=3,Q24=3),F25-G24)+IF(AND(Q25=4,Q21=4),C25-G21)+IF(AND(Q25=4,Q22=4),D25-G22)+IF(AND(Q25=4,Q23=4),E25-G23)+IF(AND(Q25=4,Q24=4),F25-G24)</f>
        <v>0</v>
      </c>
      <c r="M25" s="483">
        <f>SUM(AND(R25=R21,C25&gt;G21),AND(R25=R22,D25&gt;G22),AND(R25=R23,E25&gt;G23),AND(R25=R24,F25&gt;G24))</f>
        <v>0</v>
      </c>
      <c r="N25" s="537" t="str">
        <f>SUM(C25:G25)&amp;"-"&amp;SUM(G21:G25)</f>
        <v>0-0</v>
      </c>
      <c r="O25" s="538">
        <f>C25+D25+E25+F25-G21-G22-G23-G24</f>
        <v>0</v>
      </c>
      <c r="P25" s="485" t="e">
        <f>SUM(C25:G25,G21:G25)/SUM(G21:G25)</f>
        <v>#DIV/0!</v>
      </c>
      <c r="Q25" s="491">
        <f>VALUE(LEFT(H25,1))</f>
        <v>0</v>
      </c>
      <c r="R25" s="321">
        <f>Q25*100000+J25*10000+K25*1000+100*L25</f>
        <v>0</v>
      </c>
      <c r="S25" s="486">
        <f>R25+M25*0.1+IF(ISNONTEXT(B25),0,0.01)+0.0001*O25</f>
        <v>0</v>
      </c>
      <c r="T25" s="487" t="str">
        <f>Q25&amp;J25</f>
        <v>00</v>
      </c>
      <c r="U25" s="477"/>
      <c r="V25" s="477"/>
      <c r="W25" s="477"/>
      <c r="X25" s="477"/>
      <c r="Y25" s="477"/>
      <c r="Z25" s="477"/>
      <c r="AA25" s="477"/>
      <c r="AB25" s="477"/>
      <c r="AC25" s="477"/>
      <c r="AD25" s="405">
        <f t="shared" si="0"/>
        <v>0</v>
      </c>
      <c r="AE25" s="406" t="str">
        <f>IFERROR(INDEX(V!$R:$R,MATCH(AF25,V!$L:$L,0)),"")</f>
        <v/>
      </c>
      <c r="AF25" s="407" t="str">
        <f t="shared" si="1"/>
        <v/>
      </c>
      <c r="AG25" s="406" t="str">
        <f>IFERROR(INDEX(V!$R:$R,MATCH(AH25,V!$L:$L,0)),"")</f>
        <v/>
      </c>
      <c r="AH25" s="407" t="str">
        <f t="shared" si="2"/>
        <v/>
      </c>
      <c r="AI25" s="406" t="str">
        <f>IFERROR(INDEX(V!$R:$R,MATCH(AJ25,V!$L:$L,0)),"")</f>
        <v/>
      </c>
      <c r="AJ25" s="407" t="str">
        <f t="shared" si="3"/>
        <v/>
      </c>
      <c r="AK25" s="406" t="str">
        <f>IFERROR(INDEX(V!$R:$R,MATCH(AL25,V!$L:$L,0)),"")</f>
        <v/>
      </c>
      <c r="AL25" s="407" t="str">
        <f t="shared" si="4"/>
        <v/>
      </c>
      <c r="AM25" s="406" t="str">
        <f>IFERROR(INDEX(V!$R:$R,MATCH(AN25,V!$L:$L,0)),"")</f>
        <v/>
      </c>
      <c r="AN25" s="407" t="str">
        <f t="shared" si="5"/>
        <v/>
      </c>
      <c r="AO25" s="406" t="str">
        <f>IFERROR(INDEX(V!$R:$R,MATCH(AP25,V!$L:$L,0)),"")</f>
        <v/>
      </c>
      <c r="AP25" s="407" t="str">
        <f t="shared" si="6"/>
        <v/>
      </c>
    </row>
    <row r="26" spans="1:42" x14ac:dyDescent="0.2">
      <c r="A26" s="513"/>
      <c r="B26" s="514"/>
      <c r="C26" s="499"/>
      <c r="D26" s="499"/>
      <c r="E26" s="499"/>
      <c r="F26" s="515"/>
      <c r="G26" s="515"/>
      <c r="H26" s="516"/>
      <c r="I26" s="517"/>
      <c r="J26" s="477"/>
      <c r="K26" s="477"/>
      <c r="L26" s="477"/>
      <c r="M26" s="477"/>
      <c r="N26" s="539"/>
      <c r="O26" s="539"/>
      <c r="P26" s="477"/>
      <c r="Q26" s="477"/>
      <c r="R26" s="502" t="s">
        <v>264</v>
      </c>
      <c r="S26" s="477"/>
      <c r="T26" s="477"/>
      <c r="U26" s="477"/>
      <c r="V26" s="477"/>
      <c r="W26" s="477"/>
      <c r="X26" s="477"/>
      <c r="Y26" s="477"/>
      <c r="Z26" s="477"/>
      <c r="AA26" s="477"/>
      <c r="AB26" s="477"/>
      <c r="AC26" s="477"/>
      <c r="AD26" s="405">
        <f t="shared" si="0"/>
        <v>0</v>
      </c>
      <c r="AE26" s="406" t="str">
        <f>IFERROR(INDEX(V!$R:$R,MATCH(AF26,V!$L:$L,0)),"")</f>
        <v/>
      </c>
      <c r="AF26" s="407" t="str">
        <f t="shared" si="1"/>
        <v/>
      </c>
      <c r="AG26" s="406" t="str">
        <f>IFERROR(INDEX(V!$R:$R,MATCH(AH26,V!$L:$L,0)),"")</f>
        <v/>
      </c>
      <c r="AH26" s="407" t="str">
        <f t="shared" si="2"/>
        <v/>
      </c>
      <c r="AI26" s="406" t="str">
        <f>IFERROR(INDEX(V!$R:$R,MATCH(AJ26,V!$L:$L,0)),"")</f>
        <v/>
      </c>
      <c r="AJ26" s="407" t="str">
        <f t="shared" si="3"/>
        <v/>
      </c>
      <c r="AK26" s="406" t="str">
        <f>IFERROR(INDEX(V!$R:$R,MATCH(AL26,V!$L:$L,0)),"")</f>
        <v/>
      </c>
      <c r="AL26" s="407" t="str">
        <f t="shared" si="4"/>
        <v/>
      </c>
      <c r="AM26" s="406" t="str">
        <f>IFERROR(INDEX(V!$R:$R,MATCH(AN26,V!$L:$L,0)),"")</f>
        <v/>
      </c>
      <c r="AN26" s="407" t="str">
        <f t="shared" si="5"/>
        <v/>
      </c>
      <c r="AO26" s="406" t="str">
        <f>IFERROR(INDEX(V!$R:$R,MATCH(AP26,V!$L:$L,0)),"")</f>
        <v/>
      </c>
      <c r="AP26" s="407" t="str">
        <f t="shared" si="6"/>
        <v/>
      </c>
    </row>
    <row r="27" spans="1:42" x14ac:dyDescent="0.2">
      <c r="A27" s="316" t="s">
        <v>3</v>
      </c>
      <c r="B27" s="503"/>
      <c r="C27" s="467">
        <v>1</v>
      </c>
      <c r="D27" s="467">
        <v>2</v>
      </c>
      <c r="E27" s="467">
        <v>3</v>
      </c>
      <c r="F27" s="467">
        <v>4</v>
      </c>
      <c r="G27" s="467"/>
      <c r="H27" s="468" t="s">
        <v>168</v>
      </c>
      <c r="I27" s="468" t="s">
        <v>169</v>
      </c>
      <c r="J27" s="504" t="s">
        <v>257</v>
      </c>
      <c r="K27" s="505" t="s">
        <v>258</v>
      </c>
      <c r="L27" s="506" t="s">
        <v>259</v>
      </c>
      <c r="M27" s="506" t="s">
        <v>260</v>
      </c>
      <c r="N27" s="472" t="s">
        <v>170</v>
      </c>
      <c r="O27" s="472" t="s">
        <v>170</v>
      </c>
      <c r="P27" s="473" t="s">
        <v>261</v>
      </c>
      <c r="Q27" s="507" t="s">
        <v>21</v>
      </c>
      <c r="R27" s="507" t="b">
        <f>OR(AND(COUNTA(B28:B32)=3,COUNTA(C28:G32)=6),AND(COUNTA(B28:B32)=4,COUNTA(C28:G32)=12),AND(COUNTA(B28:B32)=5,COUNTA(C28:G32)=20))</f>
        <v>1</v>
      </c>
      <c r="S27" s="508" t="s">
        <v>262</v>
      </c>
      <c r="T27" s="509" t="s">
        <v>263</v>
      </c>
      <c r="U27" s="477"/>
      <c r="V27" s="477"/>
      <c r="W27" s="477"/>
      <c r="X27" s="477"/>
      <c r="Y27" s="477"/>
      <c r="Z27" s="477"/>
      <c r="AA27" s="477"/>
      <c r="AB27" s="477"/>
      <c r="AC27" s="477"/>
      <c r="AD27" s="405">
        <f t="shared" si="0"/>
        <v>0</v>
      </c>
      <c r="AE27" s="406" t="str">
        <f>IFERROR(INDEX(V!$R:$R,MATCH(AF27,V!$L:$L,0)),"")</f>
        <v/>
      </c>
      <c r="AF27" s="407" t="str">
        <f t="shared" si="1"/>
        <v/>
      </c>
      <c r="AG27" s="406" t="str">
        <f>IFERROR(INDEX(V!$R:$R,MATCH(AH27,V!$L:$L,0)),"")</f>
        <v/>
      </c>
      <c r="AH27" s="407" t="str">
        <f t="shared" si="2"/>
        <v/>
      </c>
      <c r="AI27" s="406" t="str">
        <f>IFERROR(INDEX(V!$R:$R,MATCH(AJ27,V!$L:$L,0)),"")</f>
        <v/>
      </c>
      <c r="AJ27" s="407" t="str">
        <f t="shared" si="3"/>
        <v/>
      </c>
      <c r="AK27" s="406" t="str">
        <f>IFERROR(INDEX(V!$R:$R,MATCH(AL27,V!$L:$L,0)),"")</f>
        <v/>
      </c>
      <c r="AL27" s="407" t="str">
        <f t="shared" si="4"/>
        <v/>
      </c>
      <c r="AM27" s="406" t="str">
        <f>IFERROR(INDEX(V!$R:$R,MATCH(AN27,V!$L:$L,0)),"")</f>
        <v/>
      </c>
      <c r="AN27" s="407" t="str">
        <f t="shared" si="5"/>
        <v/>
      </c>
      <c r="AO27" s="406" t="str">
        <f>IFERROR(INDEX(V!$R:$R,MATCH(AP27,V!$L:$L,0)),"")</f>
        <v/>
      </c>
      <c r="AP27" s="407" t="str">
        <f t="shared" si="6"/>
        <v/>
      </c>
    </row>
    <row r="28" spans="1:42" x14ac:dyDescent="0.2">
      <c r="A28" s="316">
        <v>1</v>
      </c>
      <c r="B28" s="518" t="s">
        <v>276</v>
      </c>
      <c r="C28" s="319"/>
      <c r="D28" s="318">
        <v>13</v>
      </c>
      <c r="E28" s="318">
        <v>13</v>
      </c>
      <c r="F28" s="318">
        <v>13</v>
      </c>
      <c r="G28" s="318"/>
      <c r="H28" s="317" t="str">
        <f>(IF(D28-C29&gt;0,1)+IF(E28-C30&gt;0,1)+IF(F28-C31&gt;0,1)+IF(G28-C32&gt;0,1))&amp;"-"&amp;(IF(D28-C29&lt;0,1)+IF(E28-C30&lt;0,1)+IF(F28-C31&lt;0,1)+IF(G28-C32&lt;0,1))</f>
        <v>3-0</v>
      </c>
      <c r="I28" s="318" t="str">
        <f>IF(AND(B28&lt;&gt;"",R$27=TRUE),A$27&amp;RANK(S28,S$28:S$32,0)," ")</f>
        <v>D1</v>
      </c>
      <c r="J28" s="480">
        <f>IF(AND(Q28=1,Q29=1,D28&gt;C29),1)+IF(AND(Q28=1,Q30=1,E28&gt;C30),1)+IF(AND(Q28=1,Q31=1,F28&gt;C31),1)+IF(AND(Q28=1,Q32=1,G28&gt;C32),1)+IF(AND(Q28=2,Q29=2,D28&gt;C29),1)+IF(AND(Q28=2,Q30=2,E28&gt;C30),1)+IF(AND(Q28=2,Q31=2,F28&gt;C31),1)+IF(AND(Q28=2,Q32=2,G28&gt;C32),1)+IF(AND(Q28=3,Q29=3,D28&gt;C29),1)+IF(AND(Q28=3,Q30=3,E28&gt;C30),1)+IF(AND(Q28=3,Q31=3,F28&gt;C31),1)+IF(AND(Q28=3,Q32=3,G28&gt;C32),1)</f>
        <v>0</v>
      </c>
      <c r="K28" s="481">
        <f>SUM(AND(T28=T29,D28&gt;C29),AND(T28=T30,E28&gt;C30),AND(T28=T31,F28&gt;C31),AND(T28=T32,G28&gt;C32))</f>
        <v>0</v>
      </c>
      <c r="L28" s="482">
        <f>IF(AND(Q28=1,Q29=1),D28-C29)+IF(AND(Q28=1,Q30=1),E28-C30)+IF(AND(Q28=1,Q31=1),F28-C31)+IF(AND(Q28=1,Q32=1),G28-C32)+IF(AND(Q28=2,Q29=2),D28-C29)+IF(AND(Q28=2,Q30=2),E28-C30)+IF(AND(Q28=2,Q31=2),F28-C31)+IF(AND(Q28=2,Q32=2),G28-C32)+IF(AND(Q28=3,Q29=3),D28-C29)+IF(AND(Q28=3,Q30=3),E28-C30)+IF(AND(Q28=3,Q31=3),F28-C31)+IF(AND(Q28=3,Q32=3),G28-C32)+IF(AND(Q28=4,Q29=4),D28-C29)+IF(AND(Q28=4,Q30=4),E28-C30)+IF(AND(Q28=4,Q31=4),F28-C31)+IF(AND(Q28=4,Q32=4),G28-C32)</f>
        <v>0</v>
      </c>
      <c r="M28" s="483">
        <f>SUM(AND(R28=R29,D28&gt;C29),AND(R28=R30,E28&gt;C30),AND(R28=R31,F28&gt;C31),AND(R28=R32,G28&gt;C32))</f>
        <v>0</v>
      </c>
      <c r="N28" s="537" t="str">
        <f>SUM(C28:G28)&amp;"-"&amp;SUM(C28:C32)</f>
        <v>39-23</v>
      </c>
      <c r="O28" s="538">
        <f>D28+E28+F28+G28-C29-C30-C31-C32</f>
        <v>16</v>
      </c>
      <c r="P28" s="485">
        <f>SUM(C28:G28,C28:C32)/SUM(C28:C32)</f>
        <v>2.6956521739130435</v>
      </c>
      <c r="Q28" s="320">
        <f>VALUE(LEFT(H28,1))</f>
        <v>3</v>
      </c>
      <c r="R28" s="321">
        <f>Q28*100000+J28*10000+K28*1000+100*L28</f>
        <v>300000</v>
      </c>
      <c r="S28" s="486">
        <f>R28+M28*0.1+IF(ISNONTEXT(B28),0,0.01)+0.0001*O28</f>
        <v>300000.01160000003</v>
      </c>
      <c r="T28" s="487" t="str">
        <f>Q28&amp;J28</f>
        <v>30</v>
      </c>
      <c r="U28" s="477"/>
      <c r="V28" s="477"/>
      <c r="W28" s="477"/>
      <c r="X28" s="477"/>
      <c r="Y28" s="477"/>
      <c r="Z28" s="477"/>
      <c r="AA28" s="477"/>
      <c r="AB28" s="477"/>
      <c r="AC28" s="477"/>
      <c r="AD28" s="405">
        <f t="shared" si="0"/>
        <v>356</v>
      </c>
      <c r="AE28" s="406">
        <f>IFERROR(INDEX(V!$R:$R,MATCH(AF28,V!$L:$L,0)),"")</f>
        <v>178</v>
      </c>
      <c r="AF28" s="407" t="str">
        <f t="shared" si="1"/>
        <v>Jaan Sepp</v>
      </c>
      <c r="AG28" s="406">
        <f>IFERROR(INDEX(V!$R:$R,MATCH(AH28,V!$L:$L,0)),"")</f>
        <v>178</v>
      </c>
      <c r="AH28" s="407" t="str">
        <f t="shared" si="2"/>
        <v>Oskar Sepp</v>
      </c>
      <c r="AI28" s="406" t="str">
        <f>IFERROR(INDEX(V!$R:$R,MATCH(AJ28,V!$L:$L,0)),"")</f>
        <v/>
      </c>
      <c r="AJ28" s="407" t="str">
        <f t="shared" si="3"/>
        <v/>
      </c>
      <c r="AK28" s="406" t="str">
        <f>IFERROR(INDEX(V!$R:$R,MATCH(AL28,V!$L:$L,0)),"")</f>
        <v/>
      </c>
      <c r="AL28" s="407" t="str">
        <f t="shared" si="4"/>
        <v/>
      </c>
      <c r="AM28" s="406" t="str">
        <f>IFERROR(INDEX(V!$R:$R,MATCH(AN28,V!$L:$L,0)),"")</f>
        <v/>
      </c>
      <c r="AN28" s="407" t="str">
        <f t="shared" si="5"/>
        <v/>
      </c>
      <c r="AO28" s="406" t="str">
        <f>IFERROR(INDEX(V!$R:$R,MATCH(AP28,V!$L:$L,0)),"")</f>
        <v/>
      </c>
      <c r="AP28" s="407" t="str">
        <f t="shared" si="6"/>
        <v/>
      </c>
    </row>
    <row r="29" spans="1:42" x14ac:dyDescent="0.2">
      <c r="A29" s="316">
        <v>2</v>
      </c>
      <c r="B29" s="488" t="s">
        <v>270</v>
      </c>
      <c r="C29" s="318">
        <v>9</v>
      </c>
      <c r="D29" s="319"/>
      <c r="E29" s="318">
        <v>4</v>
      </c>
      <c r="F29" s="318">
        <v>13</v>
      </c>
      <c r="G29" s="318"/>
      <c r="H29" s="317" t="str">
        <f>(IF(C29-D28&gt;0,1)+IF(E29-D30&gt;0,1)+IF(F29-D31&gt;0,1)+IF(G29-D32&gt;0,1))&amp;"-"&amp;(IF(C29-D28&lt;0,1)+IF(E29-D30&lt;0,1)+IF(F29-D31&lt;0,1)+IF(G29-D32&lt;0,1))</f>
        <v>1-2</v>
      </c>
      <c r="I29" s="318" t="str">
        <f t="shared" ref="I29:I32" si="8">IF(AND(B29&lt;&gt;"",R$27=TRUE),A$27&amp;RANK(S29,S$28:S$32,0)," ")</f>
        <v>D3</v>
      </c>
      <c r="J29" s="489">
        <f>IF(AND(Q29=1,Q28=1,C29&gt;D28),1)+IF(AND(Q29=1,Q30=1,E29&gt;D30),1)+IF(AND(Q29=1,Q31=1,F29&gt;D31),1)+IF(AND(Q29=1,Q32=1,G29&gt;D32),1)+IF(AND(Q29=2,Q28=2,C29&gt;D28),1)+IF(AND(Q29=2,Q30=2,E29&gt;D30),1)+IF(AND(Q29=2,Q31=2,F29&gt;D31),1)+IF(AND(Q29=2,Q32=2,G29&gt;D32),1)+IF(AND(Q29=3,Q28=3,C29&gt;D28),1)+IF(AND(Q29=3,Q30=3,E29&gt;D30),1)+IF(AND(Q29=3,Q31=3,F29&gt;D31),1)+IF(AND(Q29=3,Q32=3,G29&gt;D32),1)</f>
        <v>0</v>
      </c>
      <c r="K29" s="483">
        <f>SUM(AND(T29=T28,C29&gt;D28),AND(T29=T30,E29&gt;D30),AND(T29=T31,F29&gt;D31),AND(T29=T32,G29&gt;D32))</f>
        <v>0</v>
      </c>
      <c r="L29" s="490">
        <f>IF(AND(Q29=1,Q28=1),C29-D28)+IF(AND(Q29=1,Q30=1),E29-D30)+IF(AND(Q29=1,Q31=1),F29-D31)+IF(AND(Q29=1,Q32=1),G29-D32)+IF(AND(Q29=2,Q28=2),C29-D28)+IF(AND(Q29=2,Q30=2),E29-D30)+IF(AND(Q29=2,Q31=2),F29-D31)+IF(AND(Q29=2,Q32=2),G29-D32)+IF(AND(Q29=3,Q28=3),C29-D28)+IF(AND(Q29=3,Q30=3),E29-D30)+IF(AND(Q29=3,Q31=3),F29-D31)+IF(AND(Q29=3,Q32=3),G29-D32)+IF(AND(Q29=4,Q28=4),C29-D28)+IF(AND(Q29=4,Q30=4),E29-D30)+IF(AND(Q29=4,Q31=4),F29-D31)+IF(AND(Q29=4,Q32=4),G29-D32)</f>
        <v>0</v>
      </c>
      <c r="M29" s="483">
        <f>SUM(AND(R29=R28,C29&gt;D28),AND(R29=R30,E29&gt;D30),AND(R29=R31,F29&gt;D31),AND(R29=R32,G29&gt;D32))</f>
        <v>0</v>
      </c>
      <c r="N29" s="537" t="str">
        <f>SUM(C29:G29)&amp;"-"&amp;SUM(D28:D32)</f>
        <v>26-33</v>
      </c>
      <c r="O29" s="538">
        <f>C29+E29+F29+G29-D28-D30-D31-D32</f>
        <v>-7</v>
      </c>
      <c r="P29" s="485">
        <f>SUM(C29:G29,D28:D32)/SUM(D28:D32)</f>
        <v>1.7878787878787878</v>
      </c>
      <c r="Q29" s="491">
        <f>VALUE(LEFT(H29,1))</f>
        <v>1</v>
      </c>
      <c r="R29" s="321">
        <f>Q29*100000+J29*10000+K29*1000+100*L29</f>
        <v>100000</v>
      </c>
      <c r="S29" s="486">
        <f>R29+M29*0.1+IF(ISNONTEXT(B29),0,0.01)+0.0001*O29</f>
        <v>100000.00929999999</v>
      </c>
      <c r="T29" s="487" t="str">
        <f>Q29&amp;J29</f>
        <v>10</v>
      </c>
      <c r="U29" s="477"/>
      <c r="V29" s="477"/>
      <c r="W29" s="477"/>
      <c r="X29" s="477"/>
      <c r="Y29" s="477"/>
      <c r="Z29" s="477"/>
      <c r="AA29" s="477"/>
      <c r="AB29" s="477"/>
      <c r="AC29" s="477"/>
      <c r="AD29" s="405">
        <f t="shared" si="0"/>
        <v>302</v>
      </c>
      <c r="AE29" s="406">
        <f>IFERROR(INDEX(V!$R:$R,MATCH(AF29,V!$L:$L,0)),"")</f>
        <v>164</v>
      </c>
      <c r="AF29" s="407" t="str">
        <f t="shared" si="1"/>
        <v>Kaspar Mänd</v>
      </c>
      <c r="AG29" s="406">
        <f>IFERROR(INDEX(V!$R:$R,MATCH(AH29,V!$L:$L,0)),"")</f>
        <v>138</v>
      </c>
      <c r="AH29" s="407" t="str">
        <f t="shared" si="2"/>
        <v>Urmas Randlaine</v>
      </c>
      <c r="AI29" s="406" t="str">
        <f>IFERROR(INDEX(V!$R:$R,MATCH(AJ29,V!$L:$L,0)),"")</f>
        <v/>
      </c>
      <c r="AJ29" s="407" t="str">
        <f t="shared" si="3"/>
        <v/>
      </c>
      <c r="AK29" s="406" t="str">
        <f>IFERROR(INDEX(V!$R:$R,MATCH(AL29,V!$L:$L,0)),"")</f>
        <v/>
      </c>
      <c r="AL29" s="407" t="str">
        <f t="shared" si="4"/>
        <v/>
      </c>
      <c r="AM29" s="406" t="str">
        <f>IFERROR(INDEX(V!$R:$R,MATCH(AN29,V!$L:$L,0)),"")</f>
        <v/>
      </c>
      <c r="AN29" s="407" t="str">
        <f t="shared" si="5"/>
        <v/>
      </c>
      <c r="AO29" s="406" t="str">
        <f>IFERROR(INDEX(V!$R:$R,MATCH(AP29,V!$L:$L,0)),"")</f>
        <v/>
      </c>
      <c r="AP29" s="407" t="str">
        <f t="shared" si="6"/>
        <v/>
      </c>
    </row>
    <row r="30" spans="1:42" x14ac:dyDescent="0.2">
      <c r="A30" s="316">
        <v>3</v>
      </c>
      <c r="B30" s="488" t="s">
        <v>313</v>
      </c>
      <c r="C30" s="318">
        <v>11</v>
      </c>
      <c r="D30" s="492">
        <v>13</v>
      </c>
      <c r="E30" s="319"/>
      <c r="F30" s="318">
        <v>13</v>
      </c>
      <c r="G30" s="318"/>
      <c r="H30" s="317" t="str">
        <f>(IF(C30-E28&gt;0,1)+IF(D30-E29&gt;0,1)+IF(F30-E31&gt;0,1)+IF(G30-E32&gt;0,1))&amp;"-"&amp;(IF(C30-E28&lt;0,1)+IF(D30-E29&lt;0,1)+IF(F30-E31&lt;0,1)+IF(G30-E32&lt;0,1))</f>
        <v>2-1</v>
      </c>
      <c r="I30" s="318" t="str">
        <f t="shared" si="8"/>
        <v>D2</v>
      </c>
      <c r="J30" s="489">
        <f>IF(AND(Q30=1,Q28=1,C30&gt;E28),1)+IF(AND(Q30=1,Q29=1,D30&gt;E29),1)+IF(AND(Q30=1,Q31=1,F30&gt;E31),1)+IF(AND(Q30=1,Q32=1,G30&gt;E32),1)+IF(AND(Q30=2,Q28=2,C30&gt;E28),1)+IF(AND(Q30=2,Q29=2,D30&gt;E29),1)+IF(AND(Q30=2,Q31=2,F30&gt;E31),1)+IF(AND(Q30=2,Q32=2,G30&gt;E32),1)+IF(AND(Q30=3,Q28=3,C30&gt;E28),1)+IF(AND(Q30=3,Q29=3,D30&gt;E29),1)+IF(AND(Q30=3,Q31=3,F30&gt;E31),1)+IF(AND(Q30=3,Q32=3,G30&gt;E32),1)</f>
        <v>0</v>
      </c>
      <c r="K30" s="483">
        <f>SUM(AND(T30=T28,C30&gt;E28),AND(T30=T29,D30&gt;E29),AND(T30=T31,F30&gt;E31),AND(T30=T32,G30&gt;E32))</f>
        <v>0</v>
      </c>
      <c r="L30" s="490">
        <f>IF(AND(Q30=1,Q28=1),C30-E28)+IF(AND(Q30=1,Q29=1),D30-E29)+IF(AND(Q30=1,Q31=1),F30-E31)+IF(AND(Q30=1,Q32=1),G30-E32)+IF(AND(Q30=2,Q28=2),C30-E28)+IF(AND(Q30=2,Q29=2),D30-E29)+IF(AND(Q30=2,Q31=2),F30-E31)+IF(AND(Q30=2,Q32=2),G30-E32)+IF(AND(Q30=3,Q28=3),C30-E28)+IF(AND(Q30=3,Q29=3),D30-E29)+IF(AND(Q30=3,Q31=3),F30-E31)+IF(AND(Q30=3,Q32=3),G30-E32)+IF(AND(Q30=4,Q28=4),C30-E28)+IF(AND(Q30=4,Q29=4),D30-E29)+IF(AND(Q30=4,Q31=4),F30-E31)+IF(AND(Q30=4,Q32=4),G30-E32)</f>
        <v>0</v>
      </c>
      <c r="M30" s="483">
        <f>SUM(AND(R30=R28,C30&gt;E28),AND(R30=R29,D30&gt;E29),AND(R30=R31,F30&gt;E31),AND(R30=R32,G30&gt;E32))</f>
        <v>0</v>
      </c>
      <c r="N30" s="537" t="str">
        <f>SUM(C30:G30)&amp;"-"&amp;SUM(E28:E32)</f>
        <v>37-23</v>
      </c>
      <c r="O30" s="538">
        <f>C30+D30+F30+G30-E28-E29-E31-E32</f>
        <v>14</v>
      </c>
      <c r="P30" s="485">
        <f>SUM(C30:G30,E28:E32)/SUM(E28:E32)</f>
        <v>2.6086956521739131</v>
      </c>
      <c r="Q30" s="491">
        <f>VALUE(LEFT(H30,1))</f>
        <v>2</v>
      </c>
      <c r="R30" s="321">
        <f>Q30*100000+J30*10000+K30*1000+100*L30</f>
        <v>200000</v>
      </c>
      <c r="S30" s="486">
        <f>R30+M30*0.1+IF(ISNONTEXT(B30),0,0.01)+0.0001*O30</f>
        <v>200000.01140000002</v>
      </c>
      <c r="T30" s="487" t="str">
        <f>Q30&amp;J30</f>
        <v>20</v>
      </c>
      <c r="U30" s="477"/>
      <c r="V30" s="477"/>
      <c r="W30" s="477"/>
      <c r="X30" s="477"/>
      <c r="Y30" s="477"/>
      <c r="Z30" s="477"/>
      <c r="AA30" s="477"/>
      <c r="AB30" s="477"/>
      <c r="AC30" s="477"/>
      <c r="AD30" s="405">
        <f t="shared" si="0"/>
        <v>278</v>
      </c>
      <c r="AE30" s="406">
        <f>IFERROR(INDEX(V!$R:$R,MATCH(AF30,V!$L:$L,0)),"")</f>
        <v>145</v>
      </c>
      <c r="AF30" s="407" t="str">
        <f t="shared" si="1"/>
        <v>Aigi Orro</v>
      </c>
      <c r="AG30" s="406">
        <f>IFERROR(INDEX(V!$R:$R,MATCH(AH30,V!$L:$L,0)),"")</f>
        <v>133</v>
      </c>
      <c r="AH30" s="407" t="str">
        <f t="shared" si="2"/>
        <v>Kalle Orro</v>
      </c>
      <c r="AI30" s="406" t="str">
        <f>IFERROR(INDEX(V!$R:$R,MATCH(AJ30,V!$L:$L,0)),"")</f>
        <v/>
      </c>
      <c r="AJ30" s="407" t="str">
        <f t="shared" si="3"/>
        <v/>
      </c>
      <c r="AK30" s="406" t="str">
        <f>IFERROR(INDEX(V!$R:$R,MATCH(AL30,V!$L:$L,0)),"")</f>
        <v/>
      </c>
      <c r="AL30" s="407" t="str">
        <f t="shared" si="4"/>
        <v/>
      </c>
      <c r="AM30" s="406" t="str">
        <f>IFERROR(INDEX(V!$R:$R,MATCH(AN30,V!$L:$L,0)),"")</f>
        <v/>
      </c>
      <c r="AN30" s="407" t="str">
        <f t="shared" si="5"/>
        <v/>
      </c>
      <c r="AO30" s="406" t="str">
        <f>IFERROR(INDEX(V!$R:$R,MATCH(AP30,V!$L:$L,0)),"")</f>
        <v/>
      </c>
      <c r="AP30" s="407" t="str">
        <f t="shared" si="6"/>
        <v/>
      </c>
    </row>
    <row r="31" spans="1:42" x14ac:dyDescent="0.2">
      <c r="A31" s="316">
        <v>4</v>
      </c>
      <c r="B31" s="493" t="s">
        <v>385</v>
      </c>
      <c r="C31" s="318">
        <v>3</v>
      </c>
      <c r="D31" s="492">
        <v>7</v>
      </c>
      <c r="E31" s="318">
        <v>6</v>
      </c>
      <c r="F31" s="319"/>
      <c r="G31" s="511"/>
      <c r="H31" s="317" t="str">
        <f>(IF(C31-F28&gt;0,1)+IF(D31-F29&gt;0,1)+IF(E31-F30&gt;0,1)+IF(G31-F32&gt;0,1))&amp;"-"&amp;(IF(C31-F28&lt;0,1)+IF(D31-F29&lt;0,1)+IF(E31-F30&lt;0,1)+IF(G31-F32&lt;0,1))</f>
        <v>0-3</v>
      </c>
      <c r="I31" s="318" t="str">
        <f t="shared" si="8"/>
        <v>D4</v>
      </c>
      <c r="J31" s="489">
        <f>IF(AND(Q31=1,Q28=1,C31&gt;F28),1)+IF(AND(Q31=1,Q29=1,D31&gt;F29),1)+IF(AND(Q31=1,Q30=1,E31&gt;F30),1)+IF(AND(Q31=1,Q32=1,G31&gt;F32),1)+IF(AND(Q31=2,Q28=2,C31&gt;F28),1)+IF(AND(Q31=2,Q29=2,D31&gt;F29),1)+IF(AND(Q31=2,Q30=2,E31&gt;F30),1)+IF(AND(Q31=2,Q32=2,G31&gt;F32),1)+IF(AND(Q31=3,Q28=3,C31&gt;F28),1)+IF(AND(Q31=3,Q29=3,D31&gt;F29),1)+IF(AND(Q31=3,Q30=3,E31&gt;F30),1)+IF(AND(Q31=3,Q32=3,G31&gt;F32),1)</f>
        <v>0</v>
      </c>
      <c r="K31" s="483">
        <f>SUM(AND(T31=T28,C31&gt;F28),AND(T31=T29,D31&gt;F29),AND(T31=T30,E31&gt;F30),AND(T31=T32,G31&gt;F32))</f>
        <v>0</v>
      </c>
      <c r="L31" s="490">
        <f>IF(AND(Q31=1,Q28=1),C31-F28)+IF(AND(Q31=1,Q29=1),D31-F29)+IF(AND(Q31=1,Q30=1),E31-F30)+IF(AND(Q31=1,Q32=1),G31-F32)+IF(AND(Q31=2,Q28=2),C31-F28)+IF(AND(Q31=2,Q29=2),D31-F29)+IF(AND(Q31=2,Q30=2),E31-F30)+IF(AND(Q31=2,Q32=2),G31-F32)+IF(AND(Q31=3,Q28=3),C31-F28)+IF(AND(Q31=3,Q29=3),D31-F29)+IF(AND(Q31=3,Q30=3),E31-F30)+IF(AND(Q31=3,Q32=3),G31-F32)+IF(AND(Q31=4,Q28=4),C31-F28)+IF(AND(Q31=4,Q29=4),D31-F29)+IF(AND(Q31=4,Q30=4),E31-F30)+IF(AND(Q31=4,Q32=4),G31-F32)</f>
        <v>0</v>
      </c>
      <c r="M31" s="483">
        <f>SUM(AND(R31=R28,C31&gt;F28),AND(R31=R29,D31&gt;F29),AND(R31=R30,E31&gt;F30),AND(R31=R32,G31&gt;F32))</f>
        <v>0</v>
      </c>
      <c r="N31" s="537" t="str">
        <f>SUM(C31:G31)&amp;"-"&amp;SUM(F28:F32)</f>
        <v>16-39</v>
      </c>
      <c r="O31" s="538">
        <f>C31+D31+E31+G31-F28-F29-F30-F32</f>
        <v>-23</v>
      </c>
      <c r="P31" s="485">
        <f>SUM(C31:G31,F28:F32)/SUM(F28:F32)</f>
        <v>1.4102564102564104</v>
      </c>
      <c r="Q31" s="491">
        <f>VALUE(LEFT(H31,1))</f>
        <v>0</v>
      </c>
      <c r="R31" s="321">
        <f>Q31*100000+J31*10000+K31*1000+100*L31</f>
        <v>0</v>
      </c>
      <c r="S31" s="486">
        <f>R31+M31*0.1+IF(ISNONTEXT(B31),0,0.01)+0.0001*O31</f>
        <v>7.7000000000000002E-3</v>
      </c>
      <c r="T31" s="487" t="str">
        <f>Q31&amp;J31</f>
        <v>00</v>
      </c>
      <c r="U31" s="477"/>
      <c r="V31" s="477"/>
      <c r="W31" s="477"/>
      <c r="X31" s="477"/>
      <c r="Y31" s="477"/>
      <c r="Z31" s="477"/>
      <c r="AA31" s="477"/>
      <c r="AB31" s="477"/>
      <c r="AC31" s="477"/>
      <c r="AD31" s="405">
        <f t="shared" si="0"/>
        <v>43</v>
      </c>
      <c r="AE31" s="406">
        <f>IFERROR(INDEX(V!$R:$R,MATCH(AF31,V!$L:$L,0)),"")</f>
        <v>18</v>
      </c>
      <c r="AF31" s="407" t="str">
        <f t="shared" si="1"/>
        <v>Margus Vasser</v>
      </c>
      <c r="AG31" s="406">
        <f>IFERROR(INDEX(V!$R:$R,MATCH(AH31,V!$L:$L,0)),"")</f>
        <v>25</v>
      </c>
      <c r="AH31" s="407" t="str">
        <f t="shared" si="2"/>
        <v>Vello Vasser</v>
      </c>
      <c r="AI31" s="406" t="str">
        <f>IFERROR(INDEX(V!$R:$R,MATCH(AJ31,V!$L:$L,0)),"")</f>
        <v/>
      </c>
      <c r="AJ31" s="407" t="str">
        <f t="shared" si="3"/>
        <v/>
      </c>
      <c r="AK31" s="406" t="str">
        <f>IFERROR(INDEX(V!$R:$R,MATCH(AL31,V!$L:$L,0)),"")</f>
        <v/>
      </c>
      <c r="AL31" s="407" t="str">
        <f t="shared" si="4"/>
        <v/>
      </c>
      <c r="AM31" s="406" t="str">
        <f>IFERROR(INDEX(V!$R:$R,MATCH(AN31,V!$L:$L,0)),"")</f>
        <v/>
      </c>
      <c r="AN31" s="407" t="str">
        <f t="shared" si="5"/>
        <v/>
      </c>
      <c r="AO31" s="406" t="str">
        <f>IFERROR(INDEX(V!$R:$R,MATCH(AP31,V!$L:$L,0)),"")</f>
        <v/>
      </c>
      <c r="AP31" s="407" t="str">
        <f t="shared" si="6"/>
        <v/>
      </c>
    </row>
    <row r="32" spans="1:42" hidden="1" x14ac:dyDescent="0.2">
      <c r="A32" s="316">
        <v>5</v>
      </c>
      <c r="B32" s="493"/>
      <c r="C32" s="318"/>
      <c r="D32" s="318"/>
      <c r="E32" s="318"/>
      <c r="F32" s="318"/>
      <c r="G32" s="319"/>
      <c r="H32" s="317" t="str">
        <f>(IF(C32-G28&gt;0,1)+IF(D32-G29&gt;0,1)+IF(E32-G30&gt;0,1)+IF(F32-G31&gt;0,1))&amp;"-"&amp;(IF(C32-G28&lt;0,1)+IF(D32-G29&lt;0,1)+IF(E32-G30&lt;0,1)+IF(F32-G31&lt;0,1))</f>
        <v>0-0</v>
      </c>
      <c r="I32" s="318" t="str">
        <f t="shared" si="8"/>
        <v xml:space="preserve"> </v>
      </c>
      <c r="J32" s="489">
        <f>IF(AND(Q32=1,Q28=1,C32&gt;G28),1)+IF(AND(Q32=1,Q29=1,D32&gt;G29),1)+IF(AND(Q32=1,Q30=1,E32&gt;G30),1)+IF(AND(Q32=1,Q31=1,F32&gt;G31),1)+IF(AND(Q32=2,Q28=2,C32&gt;G28),1)+IF(AND(Q32=2,Q29=2,D32&gt;G29),1)+IF(AND(Q32=2,Q30=2,E32&gt;G30),1)+IF(AND(Q32=2,Q31=2,F32&gt;G31),1)+IF(AND(Q32=3,Q28=3,C32&gt;G28),1)+IF(AND(Q32=3,Q29=3,D32&gt;G29),1)+IF(AND(Q32=3,Q30=3,E32&gt;G30),1)+IF(AND(Q32=3,Q31=3,F32&gt;G31),1)</f>
        <v>0</v>
      </c>
      <c r="K32" s="483">
        <f>SUM(AND(T32=T28,C32&gt;G28),AND(T32=T29,D32&gt;G29),AND(T32=T30,E32&gt;G30),AND(T32=T31,F32&gt;G31))</f>
        <v>0</v>
      </c>
      <c r="L32" s="490">
        <f>IF(AND(Q32=1,Q28=1),C32-G28)+IF(AND(Q32=1,Q29=1),D32-G29)+IF(AND(Q32=1,Q30=1),E32-G30)+IF(AND(Q32=1,Q31=1),F32-G31)+IF(AND(Q32=2,Q28=2),C32-G28)+IF(AND(Q32=2,Q29=2),D32-G29)+IF(AND(Q32=2,Q30=2),E32-G30)+IF(AND(Q32=2,Q31=2),F32-G31)+IF(AND(Q32=3,Q28=3),C32-G28)+IF(AND(Q32=3,Q29=3),D32-G29)+IF(AND(Q32=3,Q30=3),E32-G30)+IF(AND(Q32=3,Q31=3),F32-G31)+IF(AND(Q32=4,Q28=4),C32-G28)+IF(AND(Q32=4,Q29=4),D32-G29)+IF(AND(Q32=4,Q30=4),E32-G30)+IF(AND(Q32=4,Q31=4),F32-G31)</f>
        <v>0</v>
      </c>
      <c r="M32" s="483">
        <f>SUM(AND(R32=R28,C32&gt;G28),AND(R32=R29,D32&gt;G29),AND(R32=R30,E32&gt;G30),AND(R32=R31,F32&gt;G31))</f>
        <v>0</v>
      </c>
      <c r="N32" s="537" t="str">
        <f>SUM(C32:G32)&amp;"-"&amp;SUM(G28:G32)</f>
        <v>0-0</v>
      </c>
      <c r="O32" s="538">
        <f>C32+D32+E32+F32-G28-G29-G30-G31</f>
        <v>0</v>
      </c>
      <c r="P32" s="485" t="e">
        <f>SUM(C32:G32,G28:G32)/SUM(G28:G32)</f>
        <v>#DIV/0!</v>
      </c>
      <c r="Q32" s="491">
        <f>VALUE(LEFT(H32,1))</f>
        <v>0</v>
      </c>
      <c r="R32" s="321">
        <f>Q32*100000+J32*10000+K32*1000+100*L32</f>
        <v>0</v>
      </c>
      <c r="S32" s="486">
        <f>R32+M32*0.1+IF(ISNONTEXT(B32),0,0.01)+0.0001*O32</f>
        <v>0</v>
      </c>
      <c r="T32" s="487" t="str">
        <f>Q32&amp;J32</f>
        <v>00</v>
      </c>
      <c r="U32" s="477"/>
      <c r="V32" s="477"/>
      <c r="W32" s="477"/>
    </row>
    <row r="33" spans="1:23" hidden="1" x14ac:dyDescent="0.2">
      <c r="A33" s="494"/>
      <c r="B33" s="519"/>
      <c r="C33" s="499"/>
      <c r="D33" s="499"/>
      <c r="E33" s="499"/>
      <c r="F33" s="496"/>
      <c r="G33" s="499"/>
      <c r="H33" s="520"/>
      <c r="I33" s="521"/>
      <c r="J33" s="477"/>
      <c r="K33" s="477"/>
      <c r="L33" s="477"/>
      <c r="M33" s="477"/>
      <c r="N33" s="539"/>
      <c r="O33" s="539"/>
      <c r="P33" s="477"/>
      <c r="Q33" s="477"/>
      <c r="R33" s="502" t="s">
        <v>264</v>
      </c>
      <c r="S33" s="477"/>
      <c r="T33" s="477"/>
      <c r="U33" s="477"/>
      <c r="V33" s="477"/>
      <c r="W33" s="477"/>
    </row>
    <row r="34" spans="1:23" hidden="1" x14ac:dyDescent="0.2">
      <c r="A34" s="477"/>
      <c r="B34" s="477"/>
      <c r="C34" s="477"/>
      <c r="D34" s="477"/>
      <c r="E34" s="477"/>
      <c r="F34" s="477"/>
      <c r="G34" s="477"/>
      <c r="H34" s="477"/>
      <c r="I34" s="477"/>
      <c r="J34" s="477"/>
      <c r="K34" s="477"/>
      <c r="L34" s="477"/>
      <c r="M34" s="477"/>
      <c r="N34" s="477"/>
      <c r="O34" s="477"/>
      <c r="P34" s="477"/>
      <c r="Q34" s="477"/>
      <c r="R34" s="477"/>
      <c r="S34" s="477"/>
      <c r="T34" s="477"/>
      <c r="U34" s="477"/>
      <c r="V34" s="477"/>
      <c r="W34" s="477"/>
    </row>
    <row r="35" spans="1:23" hidden="1" x14ac:dyDescent="0.2">
      <c r="A35" s="477"/>
      <c r="B35" s="477"/>
      <c r="C35" s="477"/>
      <c r="D35" s="477"/>
      <c r="E35" s="477"/>
      <c r="F35" s="477"/>
      <c r="G35" s="477"/>
      <c r="H35" s="477"/>
      <c r="I35" s="477"/>
      <c r="J35" s="477"/>
      <c r="K35" s="477"/>
      <c r="L35" s="477"/>
      <c r="M35" s="477"/>
      <c r="N35" s="477"/>
      <c r="O35" s="477"/>
      <c r="P35" s="477"/>
      <c r="Q35" s="477"/>
      <c r="R35" s="477"/>
      <c r="S35" s="477"/>
      <c r="T35" s="477"/>
      <c r="U35" s="477"/>
      <c r="V35" s="477"/>
      <c r="W35" s="477"/>
    </row>
    <row r="36" spans="1:23" hidden="1" x14ac:dyDescent="0.2">
      <c r="A36" s="477"/>
      <c r="B36" s="477"/>
      <c r="C36" s="477"/>
      <c r="D36" s="477"/>
      <c r="E36" s="477"/>
      <c r="F36" s="477"/>
      <c r="G36" s="477"/>
      <c r="H36" s="477"/>
      <c r="I36" s="477"/>
      <c r="J36" s="477"/>
      <c r="K36" s="477"/>
      <c r="L36" s="477"/>
      <c r="M36" s="477"/>
      <c r="N36" s="477"/>
      <c r="O36" s="477"/>
      <c r="P36" s="477"/>
      <c r="Q36" s="477"/>
      <c r="R36" s="477"/>
      <c r="S36" s="477"/>
      <c r="T36" s="477"/>
      <c r="U36" s="477"/>
      <c r="V36" s="477"/>
      <c r="W36" s="477"/>
    </row>
    <row r="37" spans="1:23" hidden="1" x14ac:dyDescent="0.2">
      <c r="A37" s="477"/>
      <c r="B37" s="477"/>
      <c r="C37" s="477"/>
      <c r="D37" s="477"/>
      <c r="E37" s="477"/>
      <c r="F37" s="477"/>
      <c r="G37" s="477"/>
      <c r="H37" s="477"/>
      <c r="I37" s="477"/>
      <c r="J37" s="477"/>
      <c r="K37" s="477"/>
      <c r="L37" s="477"/>
      <c r="M37" s="477"/>
      <c r="N37" s="477"/>
      <c r="O37" s="477"/>
      <c r="P37" s="477"/>
      <c r="Q37" s="477"/>
      <c r="R37" s="477"/>
      <c r="S37" s="477"/>
      <c r="T37" s="477"/>
      <c r="U37" s="477"/>
      <c r="V37" s="477"/>
      <c r="W37" s="477"/>
    </row>
    <row r="38" spans="1:23" hidden="1" x14ac:dyDescent="0.2">
      <c r="A38" s="477"/>
      <c r="B38" s="477"/>
      <c r="C38" s="477"/>
      <c r="D38" s="477"/>
      <c r="E38" s="477"/>
      <c r="F38" s="477"/>
      <c r="G38" s="477"/>
      <c r="H38" s="477"/>
      <c r="I38" s="477"/>
      <c r="J38" s="477"/>
      <c r="K38" s="477"/>
      <c r="L38" s="477"/>
      <c r="M38" s="477"/>
      <c r="N38" s="477"/>
      <c r="O38" s="477"/>
      <c r="P38" s="477"/>
      <c r="Q38" s="477"/>
      <c r="R38" s="477"/>
      <c r="S38" s="477"/>
      <c r="T38" s="477"/>
      <c r="U38" s="477"/>
      <c r="V38" s="477"/>
      <c r="W38" s="477"/>
    </row>
    <row r="39" spans="1:23" hidden="1" x14ac:dyDescent="0.2">
      <c r="A39" s="477"/>
      <c r="B39" s="477"/>
      <c r="C39" s="477"/>
      <c r="D39" s="477"/>
      <c r="E39" s="477"/>
      <c r="F39" s="477"/>
      <c r="G39" s="477"/>
      <c r="H39" s="477"/>
      <c r="I39" s="477"/>
      <c r="J39" s="477"/>
      <c r="K39" s="477"/>
      <c r="L39" s="477"/>
      <c r="M39" s="477"/>
      <c r="N39" s="477"/>
      <c r="O39" s="477"/>
      <c r="P39" s="477"/>
      <c r="Q39" s="477"/>
      <c r="R39" s="477"/>
      <c r="S39" s="477"/>
      <c r="T39" s="477"/>
      <c r="U39" s="477"/>
      <c r="V39" s="477"/>
      <c r="W39" s="477"/>
    </row>
    <row r="40" spans="1:23" hidden="1" x14ac:dyDescent="0.2">
      <c r="A40" s="477"/>
      <c r="B40" s="477"/>
      <c r="C40" s="477"/>
      <c r="D40" s="477"/>
      <c r="E40" s="477"/>
      <c r="F40" s="477"/>
      <c r="G40" s="477"/>
      <c r="H40" s="477"/>
      <c r="I40" s="477"/>
      <c r="J40" s="477"/>
      <c r="K40" s="477"/>
      <c r="L40" s="477"/>
      <c r="M40" s="477"/>
      <c r="N40" s="477"/>
      <c r="O40" s="477"/>
      <c r="P40" s="477"/>
      <c r="Q40" s="477"/>
      <c r="R40" s="477"/>
      <c r="S40" s="477"/>
      <c r="T40" s="477"/>
      <c r="U40" s="477"/>
      <c r="V40" s="477"/>
      <c r="W40" s="477"/>
    </row>
    <row r="41" spans="1:23" hidden="1" x14ac:dyDescent="0.2">
      <c r="A41" s="477"/>
      <c r="B41" s="477"/>
      <c r="C41" s="477"/>
      <c r="D41" s="477"/>
      <c r="E41" s="477"/>
      <c r="F41" s="477"/>
      <c r="G41" s="477"/>
      <c r="H41" s="477"/>
      <c r="I41" s="477"/>
      <c r="J41" s="477"/>
      <c r="K41" s="477"/>
      <c r="L41" s="477"/>
      <c r="M41" s="477"/>
      <c r="N41" s="477"/>
      <c r="O41" s="477"/>
      <c r="P41" s="477"/>
      <c r="Q41" s="477"/>
      <c r="R41" s="477"/>
      <c r="S41" s="477"/>
      <c r="T41" s="477"/>
      <c r="U41" s="477"/>
      <c r="V41" s="477"/>
      <c r="W41" s="477"/>
    </row>
    <row r="42" spans="1:23" hidden="1" x14ac:dyDescent="0.2">
      <c r="A42" s="477"/>
      <c r="B42" s="477"/>
      <c r="C42" s="477"/>
      <c r="D42" s="477"/>
      <c r="E42" s="477"/>
      <c r="F42" s="477"/>
      <c r="G42" s="477"/>
      <c r="H42" s="477"/>
      <c r="I42" s="477"/>
      <c r="J42" s="477"/>
      <c r="K42" s="477"/>
      <c r="L42" s="477"/>
      <c r="M42" s="477"/>
      <c r="N42" s="477"/>
      <c r="O42" s="477"/>
      <c r="P42" s="477"/>
      <c r="Q42" s="477"/>
      <c r="R42" s="477"/>
      <c r="S42" s="477"/>
      <c r="T42" s="477"/>
      <c r="U42" s="477"/>
      <c r="V42" s="477"/>
      <c r="W42" s="477"/>
    </row>
    <row r="43" spans="1:23" hidden="1" x14ac:dyDescent="0.2">
      <c r="A43" s="477"/>
      <c r="B43" s="477"/>
      <c r="C43" s="477"/>
      <c r="D43" s="477"/>
      <c r="E43" s="477"/>
      <c r="F43" s="477"/>
      <c r="G43" s="477"/>
      <c r="H43" s="477"/>
      <c r="I43" s="477"/>
      <c r="J43" s="477"/>
      <c r="K43" s="477"/>
      <c r="L43" s="477"/>
      <c r="M43" s="477"/>
      <c r="N43" s="477"/>
      <c r="O43" s="477"/>
      <c r="P43" s="477"/>
      <c r="Q43" s="477"/>
      <c r="R43" s="477"/>
      <c r="S43" s="477"/>
      <c r="T43" s="477"/>
      <c r="U43" s="477"/>
      <c r="V43" s="477"/>
      <c r="W43" s="477"/>
    </row>
    <row r="44" spans="1:23" hidden="1" x14ac:dyDescent="0.2">
      <c r="A44" s="477"/>
      <c r="B44" s="477"/>
      <c r="C44" s="477"/>
      <c r="D44" s="477"/>
      <c r="E44" s="477"/>
      <c r="F44" s="477"/>
      <c r="G44" s="477"/>
      <c r="H44" s="477"/>
      <c r="I44" s="477"/>
      <c r="J44" s="477"/>
      <c r="K44" s="477"/>
      <c r="L44" s="477"/>
      <c r="M44" s="477"/>
      <c r="N44" s="477"/>
      <c r="O44" s="477"/>
      <c r="P44" s="477"/>
      <c r="Q44" s="477"/>
      <c r="R44" s="477"/>
      <c r="S44" s="477"/>
      <c r="T44" s="477"/>
      <c r="U44" s="477"/>
      <c r="V44" s="477"/>
      <c r="W44" s="477"/>
    </row>
    <row r="45" spans="1:23" hidden="1" x14ac:dyDescent="0.2">
      <c r="A45" s="477"/>
      <c r="B45" s="477"/>
      <c r="C45" s="477"/>
      <c r="D45" s="477"/>
      <c r="E45" s="477"/>
      <c r="F45" s="477"/>
      <c r="G45" s="477"/>
      <c r="H45" s="477"/>
      <c r="I45" s="477"/>
      <c r="J45" s="477"/>
      <c r="K45" s="477"/>
      <c r="L45" s="477"/>
      <c r="M45" s="477"/>
      <c r="N45" s="477"/>
      <c r="O45" s="477"/>
      <c r="P45" s="477"/>
      <c r="Q45" s="477"/>
      <c r="R45" s="477"/>
      <c r="S45" s="477"/>
      <c r="T45" s="477"/>
      <c r="U45" s="477"/>
      <c r="V45" s="477"/>
      <c r="W45" s="477"/>
    </row>
    <row r="46" spans="1:23" hidden="1" x14ac:dyDescent="0.2">
      <c r="A46" s="477"/>
      <c r="B46" s="477"/>
      <c r="C46" s="477"/>
      <c r="D46" s="477"/>
      <c r="E46" s="477"/>
      <c r="F46" s="477"/>
      <c r="G46" s="477"/>
      <c r="H46" s="477"/>
      <c r="I46" s="477"/>
      <c r="J46" s="477"/>
      <c r="K46" s="477"/>
      <c r="L46" s="477"/>
      <c r="M46" s="477"/>
      <c r="N46" s="477"/>
      <c r="O46" s="477"/>
      <c r="P46" s="477"/>
      <c r="Q46" s="477"/>
      <c r="R46" s="477"/>
      <c r="S46" s="477"/>
      <c r="T46" s="477"/>
      <c r="U46" s="477"/>
      <c r="V46" s="477"/>
      <c r="W46" s="477"/>
    </row>
    <row r="47" spans="1:23" hidden="1" x14ac:dyDescent="0.2">
      <c r="A47" s="477"/>
      <c r="B47" s="477"/>
      <c r="C47" s="477"/>
      <c r="D47" s="477"/>
      <c r="E47" s="477"/>
      <c r="F47" s="477"/>
      <c r="G47" s="477"/>
      <c r="H47" s="477"/>
      <c r="I47" s="477"/>
      <c r="J47" s="477"/>
      <c r="K47" s="477"/>
      <c r="L47" s="477"/>
      <c r="M47" s="477"/>
      <c r="N47" s="477"/>
      <c r="O47" s="477"/>
      <c r="P47" s="477"/>
      <c r="Q47" s="477"/>
      <c r="R47" s="477"/>
      <c r="S47" s="477"/>
      <c r="T47" s="477"/>
      <c r="U47" s="477"/>
      <c r="V47" s="477"/>
      <c r="W47" s="477"/>
    </row>
    <row r="48" spans="1:23" hidden="1" x14ac:dyDescent="0.2">
      <c r="A48" s="477"/>
      <c r="B48" s="477"/>
      <c r="C48" s="477"/>
      <c r="D48" s="477"/>
      <c r="E48" s="477"/>
      <c r="F48" s="477"/>
      <c r="G48" s="477"/>
      <c r="H48" s="477"/>
      <c r="I48" s="477"/>
      <c r="J48" s="477"/>
      <c r="K48" s="477"/>
      <c r="L48" s="477"/>
      <c r="M48" s="477"/>
      <c r="N48" s="477"/>
      <c r="O48" s="477"/>
      <c r="P48" s="477"/>
      <c r="Q48" s="477"/>
      <c r="R48" s="477"/>
      <c r="S48" s="477"/>
      <c r="T48" s="477"/>
      <c r="U48" s="477"/>
      <c r="V48" s="477"/>
      <c r="W48" s="477"/>
    </row>
    <row r="49" spans="1:23" hidden="1" x14ac:dyDescent="0.2">
      <c r="A49" s="477"/>
      <c r="B49" s="477"/>
      <c r="C49" s="477"/>
      <c r="D49" s="477"/>
      <c r="E49" s="477"/>
      <c r="F49" s="477"/>
      <c r="G49" s="477"/>
      <c r="H49" s="477"/>
      <c r="I49" s="477"/>
      <c r="J49" s="477"/>
      <c r="K49" s="477"/>
      <c r="L49" s="477"/>
      <c r="M49" s="477"/>
      <c r="N49" s="477"/>
      <c r="O49" s="477"/>
      <c r="P49" s="477"/>
      <c r="Q49" s="477"/>
      <c r="R49" s="477"/>
      <c r="S49" s="477"/>
      <c r="T49" s="477"/>
      <c r="U49" s="477"/>
      <c r="V49" s="477"/>
      <c r="W49" s="477"/>
    </row>
    <row r="50" spans="1:23" hidden="1" x14ac:dyDescent="0.2">
      <c r="A50" s="477"/>
      <c r="B50" s="477"/>
      <c r="C50" s="477"/>
      <c r="D50" s="477"/>
      <c r="E50" s="477"/>
      <c r="F50" s="477"/>
      <c r="G50" s="477"/>
      <c r="H50" s="477"/>
      <c r="I50" s="477"/>
      <c r="J50" s="477"/>
      <c r="K50" s="477"/>
      <c r="L50" s="477"/>
      <c r="M50" s="477"/>
      <c r="N50" s="477"/>
      <c r="O50" s="477"/>
      <c r="P50" s="477"/>
      <c r="Q50" s="477"/>
      <c r="R50" s="477"/>
      <c r="S50" s="477"/>
      <c r="T50" s="477"/>
      <c r="U50" s="477"/>
      <c r="V50" s="477"/>
      <c r="W50" s="477"/>
    </row>
    <row r="51" spans="1:23" hidden="1" x14ac:dyDescent="0.2">
      <c r="A51" s="477"/>
      <c r="B51" s="477"/>
      <c r="C51" s="477"/>
      <c r="D51" s="477"/>
      <c r="E51" s="477"/>
      <c r="F51" s="477"/>
      <c r="G51" s="477"/>
      <c r="H51" s="477"/>
      <c r="I51" s="477"/>
      <c r="J51" s="477"/>
      <c r="K51" s="477"/>
      <c r="L51" s="477"/>
      <c r="M51" s="477"/>
      <c r="N51" s="477"/>
      <c r="O51" s="477"/>
      <c r="P51" s="477"/>
      <c r="Q51" s="477"/>
      <c r="R51" s="477"/>
      <c r="S51" s="477"/>
      <c r="T51" s="477"/>
      <c r="U51" s="477"/>
      <c r="V51" s="477"/>
      <c r="W51" s="477"/>
    </row>
    <row r="52" spans="1:23" hidden="1" x14ac:dyDescent="0.2">
      <c r="A52" s="477"/>
      <c r="B52" s="477"/>
      <c r="C52" s="477"/>
      <c r="D52" s="477"/>
      <c r="E52" s="477"/>
      <c r="F52" s="477"/>
      <c r="G52" s="477"/>
      <c r="H52" s="477"/>
      <c r="I52" s="477"/>
      <c r="J52" s="477"/>
      <c r="K52" s="477"/>
      <c r="L52" s="477"/>
      <c r="M52" s="477"/>
      <c r="N52" s="477"/>
      <c r="O52" s="477"/>
      <c r="P52" s="477"/>
      <c r="Q52" s="477"/>
      <c r="R52" s="477"/>
      <c r="S52" s="477"/>
      <c r="T52" s="477"/>
      <c r="U52" s="477"/>
      <c r="V52" s="477"/>
      <c r="W52" s="477"/>
    </row>
    <row r="53" spans="1:23" hidden="1" x14ac:dyDescent="0.2">
      <c r="A53" s="477"/>
      <c r="B53" s="477"/>
      <c r="C53" s="477"/>
      <c r="D53" s="477"/>
      <c r="E53" s="477"/>
      <c r="F53" s="477"/>
      <c r="G53" s="477"/>
      <c r="H53" s="477"/>
      <c r="I53" s="477"/>
      <c r="J53" s="477"/>
      <c r="K53" s="477"/>
      <c r="L53" s="477"/>
      <c r="M53" s="477"/>
      <c r="N53" s="477"/>
      <c r="O53" s="477"/>
      <c r="P53" s="477"/>
      <c r="Q53" s="477"/>
      <c r="R53" s="477"/>
      <c r="S53" s="477"/>
      <c r="T53" s="477"/>
      <c r="U53" s="477"/>
      <c r="V53" s="477"/>
      <c r="W53" s="477"/>
    </row>
    <row r="54" spans="1:23" hidden="1" x14ac:dyDescent="0.2">
      <c r="A54" s="477"/>
      <c r="B54" s="477"/>
      <c r="C54" s="477"/>
      <c r="D54" s="477"/>
      <c r="E54" s="477"/>
      <c r="F54" s="477"/>
      <c r="G54" s="477"/>
      <c r="H54" s="477"/>
      <c r="I54" s="477"/>
      <c r="J54" s="477"/>
      <c r="K54" s="477"/>
      <c r="L54" s="477"/>
      <c r="M54" s="477"/>
      <c r="N54" s="477"/>
      <c r="O54" s="477"/>
      <c r="P54" s="477"/>
      <c r="Q54" s="477"/>
      <c r="R54" s="477"/>
      <c r="S54" s="477"/>
      <c r="T54" s="477"/>
      <c r="U54" s="477"/>
      <c r="V54" s="477"/>
      <c r="W54" s="477"/>
    </row>
    <row r="55" spans="1:23" hidden="1" x14ac:dyDescent="0.2">
      <c r="A55" s="477"/>
      <c r="B55" s="477"/>
      <c r="C55" s="477"/>
      <c r="D55" s="477"/>
      <c r="E55" s="477"/>
      <c r="F55" s="477"/>
      <c r="G55" s="477"/>
      <c r="H55" s="477"/>
      <c r="I55" s="477"/>
      <c r="J55" s="477"/>
      <c r="K55" s="477"/>
      <c r="L55" s="477"/>
      <c r="M55" s="477"/>
      <c r="N55" s="477"/>
      <c r="O55" s="477"/>
      <c r="P55" s="477"/>
      <c r="Q55" s="477"/>
      <c r="R55" s="477"/>
      <c r="S55" s="477"/>
      <c r="T55" s="477"/>
      <c r="U55" s="477"/>
      <c r="V55" s="477"/>
      <c r="W55" s="477"/>
    </row>
    <row r="56" spans="1:23" hidden="1" x14ac:dyDescent="0.2">
      <c r="A56" s="477"/>
      <c r="B56" s="477"/>
      <c r="C56" s="477"/>
      <c r="D56" s="477"/>
      <c r="E56" s="477"/>
      <c r="F56" s="477"/>
      <c r="G56" s="477"/>
      <c r="H56" s="477"/>
      <c r="I56" s="477"/>
      <c r="J56" s="477"/>
      <c r="K56" s="477"/>
      <c r="L56" s="477"/>
      <c r="M56" s="477"/>
      <c r="N56" s="477"/>
      <c r="O56" s="477"/>
      <c r="P56" s="477"/>
      <c r="Q56" s="477"/>
      <c r="R56" s="477"/>
      <c r="S56" s="477"/>
      <c r="T56" s="477"/>
      <c r="U56" s="477"/>
      <c r="V56" s="477"/>
      <c r="W56" s="477"/>
    </row>
    <row r="57" spans="1:23" hidden="1" x14ac:dyDescent="0.2">
      <c r="A57" s="477"/>
      <c r="B57" s="477"/>
      <c r="C57" s="477"/>
      <c r="D57" s="477"/>
      <c r="E57" s="477"/>
      <c r="F57" s="477"/>
      <c r="G57" s="477"/>
      <c r="H57" s="477"/>
      <c r="I57" s="477"/>
      <c r="J57" s="477"/>
      <c r="K57" s="477"/>
      <c r="L57" s="477"/>
      <c r="M57" s="477"/>
      <c r="N57" s="477"/>
      <c r="O57" s="477"/>
      <c r="P57" s="477"/>
      <c r="Q57" s="477"/>
      <c r="R57" s="477"/>
      <c r="S57" s="477"/>
      <c r="T57" s="477"/>
      <c r="U57" s="477"/>
      <c r="V57" s="477"/>
      <c r="W57" s="477"/>
    </row>
    <row r="58" spans="1:23" hidden="1" x14ac:dyDescent="0.2">
      <c r="A58" s="477"/>
      <c r="B58" s="477"/>
      <c r="C58" s="477"/>
      <c r="D58" s="477"/>
      <c r="E58" s="477"/>
      <c r="F58" s="477"/>
      <c r="G58" s="477"/>
      <c r="H58" s="477"/>
      <c r="I58" s="477"/>
      <c r="J58" s="477"/>
      <c r="K58" s="477"/>
      <c r="L58" s="477"/>
      <c r="M58" s="477"/>
      <c r="N58" s="477"/>
      <c r="O58" s="477"/>
      <c r="P58" s="477"/>
      <c r="Q58" s="477"/>
      <c r="R58" s="477"/>
      <c r="S58" s="477"/>
      <c r="T58" s="477"/>
      <c r="U58" s="477"/>
      <c r="V58" s="477"/>
      <c r="W58" s="477"/>
    </row>
    <row r="59" spans="1:23" hidden="1" x14ac:dyDescent="0.2">
      <c r="A59" s="477"/>
      <c r="B59" s="477"/>
      <c r="C59" s="477"/>
      <c r="D59" s="477"/>
      <c r="E59" s="477"/>
      <c r="F59" s="477"/>
      <c r="G59" s="477"/>
      <c r="H59" s="477"/>
      <c r="I59" s="477"/>
      <c r="J59" s="477"/>
      <c r="K59" s="477"/>
      <c r="L59" s="477"/>
      <c r="M59" s="477"/>
      <c r="N59" s="477"/>
      <c r="O59" s="477"/>
      <c r="P59" s="477"/>
      <c r="Q59" s="477"/>
      <c r="R59" s="477"/>
      <c r="S59" s="477"/>
      <c r="T59" s="477"/>
      <c r="U59" s="477"/>
      <c r="V59" s="477"/>
      <c r="W59" s="477"/>
    </row>
    <row r="60" spans="1:23" hidden="1" x14ac:dyDescent="0.2">
      <c r="A60" s="477"/>
      <c r="B60" s="477"/>
      <c r="C60" s="477"/>
      <c r="D60" s="477"/>
      <c r="E60" s="477"/>
      <c r="F60" s="477"/>
      <c r="G60" s="477"/>
      <c r="H60" s="477"/>
      <c r="I60" s="477"/>
      <c r="J60" s="477"/>
      <c r="K60" s="477"/>
      <c r="L60" s="477"/>
      <c r="M60" s="477"/>
      <c r="N60" s="477"/>
      <c r="O60" s="477"/>
      <c r="P60" s="477"/>
      <c r="Q60" s="477"/>
      <c r="R60" s="477"/>
      <c r="S60" s="477"/>
      <c r="T60" s="477"/>
      <c r="U60" s="477"/>
      <c r="V60" s="477"/>
      <c r="W60" s="477"/>
    </row>
    <row r="61" spans="1:23" hidden="1" x14ac:dyDescent="0.2">
      <c r="A61" s="477"/>
      <c r="B61" s="477"/>
      <c r="C61" s="477"/>
      <c r="D61" s="477"/>
      <c r="E61" s="477"/>
      <c r="F61" s="477"/>
      <c r="G61" s="477"/>
      <c r="H61" s="477"/>
      <c r="I61" s="477"/>
      <c r="J61" s="477"/>
      <c r="K61" s="477"/>
      <c r="L61" s="477"/>
      <c r="M61" s="477"/>
      <c r="N61" s="477"/>
      <c r="O61" s="477"/>
      <c r="P61" s="477"/>
      <c r="Q61" s="477"/>
      <c r="R61" s="477"/>
      <c r="S61" s="477"/>
      <c r="T61" s="477"/>
      <c r="U61" s="477"/>
    </row>
    <row r="62" spans="1:23" hidden="1" x14ac:dyDescent="0.2">
      <c r="A62" s="79"/>
      <c r="B62" s="322" t="s">
        <v>171</v>
      </c>
      <c r="C62" s="283" t="s">
        <v>175</v>
      </c>
      <c r="D62" s="445"/>
      <c r="E62" s="79"/>
      <c r="F62" s="62"/>
      <c r="G62" s="79"/>
      <c r="H62" s="79"/>
      <c r="I62" s="79"/>
      <c r="J62" s="79"/>
      <c r="K62" s="62"/>
      <c r="L62" s="79"/>
      <c r="M62" s="62"/>
      <c r="N62" s="79"/>
      <c r="O62" s="299"/>
      <c r="P62" s="62"/>
      <c r="Q62" s="62"/>
      <c r="R62" s="62"/>
      <c r="S62" s="62"/>
      <c r="T62" s="62"/>
      <c r="U62" s="62"/>
    </row>
    <row r="63" spans="1:23" hidden="1" x14ac:dyDescent="0.2">
      <c r="A63" s="79"/>
      <c r="B63" s="322" t="s">
        <v>174</v>
      </c>
      <c r="C63" s="283" t="s">
        <v>191</v>
      </c>
      <c r="D63" s="79"/>
      <c r="E63" s="79"/>
      <c r="F63" s="62"/>
      <c r="G63" s="79"/>
      <c r="H63" s="79"/>
      <c r="I63" s="79"/>
      <c r="J63" s="79"/>
      <c r="K63" s="62"/>
      <c r="L63" s="79"/>
      <c r="M63" s="62"/>
      <c r="N63" s="79"/>
      <c r="O63" s="299"/>
      <c r="P63" s="62"/>
      <c r="Q63" s="62"/>
      <c r="R63" s="62"/>
      <c r="S63" s="62"/>
      <c r="T63" s="62"/>
      <c r="U63" s="62"/>
    </row>
    <row r="64" spans="1:23" hidden="1" x14ac:dyDescent="0.2">
      <c r="A64" s="79"/>
      <c r="B64" s="322" t="s">
        <v>177</v>
      </c>
      <c r="C64" s="283" t="s">
        <v>183</v>
      </c>
      <c r="D64" s="79"/>
      <c r="E64" s="79"/>
      <c r="F64" s="62"/>
      <c r="G64" s="79"/>
      <c r="H64" s="79"/>
      <c r="I64" s="79"/>
      <c r="J64" s="79"/>
      <c r="K64" s="62"/>
      <c r="L64" s="79"/>
      <c r="M64" s="62"/>
      <c r="N64" s="79"/>
      <c r="O64" s="299"/>
      <c r="P64" s="62"/>
      <c r="Q64" s="62"/>
      <c r="R64" s="62"/>
      <c r="S64" s="62"/>
      <c r="T64" s="62"/>
      <c r="U64" s="62"/>
    </row>
    <row r="65" spans="1:21" x14ac:dyDescent="0.2">
      <c r="A65" s="79"/>
      <c r="B65" s="79"/>
      <c r="C65" s="79"/>
      <c r="D65" s="79"/>
      <c r="E65" s="79"/>
      <c r="F65" s="79"/>
      <c r="G65" s="79"/>
      <c r="H65" s="79"/>
      <c r="I65" s="79"/>
      <c r="J65" s="79"/>
      <c r="K65" s="62"/>
      <c r="L65" s="79"/>
      <c r="M65" s="62"/>
      <c r="N65" s="79"/>
      <c r="O65" s="299"/>
      <c r="P65" s="62"/>
      <c r="Q65" s="62"/>
      <c r="R65" s="62"/>
      <c r="S65" s="62"/>
      <c r="T65" s="62"/>
      <c r="U65" s="62"/>
    </row>
    <row r="66" spans="1:21" x14ac:dyDescent="0.2">
      <c r="A66" s="79"/>
      <c r="B66" s="322" t="s">
        <v>171</v>
      </c>
      <c r="C66" s="283" t="s">
        <v>184</v>
      </c>
      <c r="D66" s="283" t="s">
        <v>183</v>
      </c>
      <c r="E66" s="79"/>
      <c r="F66" s="79"/>
      <c r="G66" s="79"/>
      <c r="H66" s="79"/>
      <c r="I66" s="79"/>
      <c r="J66" s="79"/>
      <c r="K66" s="62"/>
      <c r="L66" s="79"/>
      <c r="M66" s="62"/>
      <c r="N66" s="79"/>
      <c r="O66" s="299"/>
      <c r="P66" s="62"/>
      <c r="Q66" s="62"/>
      <c r="R66" s="62"/>
      <c r="S66" s="62"/>
      <c r="T66" s="62"/>
      <c r="U66" s="62"/>
    </row>
    <row r="67" spans="1:21" x14ac:dyDescent="0.2">
      <c r="A67" s="79"/>
      <c r="B67" s="322" t="s">
        <v>174</v>
      </c>
      <c r="C67" s="283" t="s">
        <v>175</v>
      </c>
      <c r="D67" s="283" t="s">
        <v>173</v>
      </c>
      <c r="E67" s="79"/>
      <c r="F67" s="79"/>
      <c r="G67" s="79"/>
      <c r="H67" s="79"/>
      <c r="I67" s="79"/>
      <c r="J67" s="79"/>
      <c r="K67" s="62"/>
      <c r="L67" s="79"/>
      <c r="M67" s="62"/>
      <c r="N67" s="79"/>
      <c r="O67" s="299"/>
      <c r="P67" s="62"/>
      <c r="Q67" s="62"/>
      <c r="R67" s="62"/>
      <c r="S67" s="62"/>
      <c r="T67" s="62"/>
      <c r="U67" s="62"/>
    </row>
    <row r="68" spans="1:21" x14ac:dyDescent="0.2">
      <c r="A68" s="79"/>
      <c r="B68" s="322" t="s">
        <v>177</v>
      </c>
      <c r="C68" s="283" t="s">
        <v>191</v>
      </c>
      <c r="D68" s="283" t="s">
        <v>179</v>
      </c>
      <c r="E68" s="79"/>
      <c r="F68" s="79"/>
      <c r="G68" s="79"/>
      <c r="H68" s="79"/>
      <c r="I68" s="79"/>
      <c r="J68" s="79"/>
      <c r="K68" s="62"/>
      <c r="L68" s="79"/>
      <c r="M68" s="62"/>
      <c r="N68" s="79"/>
      <c r="O68" s="299"/>
      <c r="P68" s="62"/>
      <c r="Q68" s="62"/>
      <c r="R68" s="62"/>
      <c r="S68" s="62"/>
      <c r="T68" s="62"/>
      <c r="U68" s="62"/>
    </row>
    <row r="69" spans="1:21" hidden="1" x14ac:dyDescent="0.2">
      <c r="A69" s="79"/>
      <c r="B69" s="330"/>
      <c r="C69" s="140"/>
      <c r="D69" s="140"/>
      <c r="E69" s="79"/>
      <c r="F69" s="79"/>
      <c r="G69" s="79"/>
      <c r="H69" s="79"/>
      <c r="I69" s="79"/>
      <c r="J69" s="79"/>
      <c r="K69" s="62"/>
      <c r="L69" s="79"/>
      <c r="M69" s="62"/>
      <c r="N69" s="79"/>
      <c r="O69" s="299"/>
      <c r="P69" s="62"/>
      <c r="Q69" s="62"/>
      <c r="R69" s="62"/>
      <c r="S69" s="62"/>
      <c r="T69" s="62"/>
      <c r="U69" s="62"/>
    </row>
    <row r="70" spans="1:21" hidden="1" x14ac:dyDescent="0.2">
      <c r="A70" s="79"/>
      <c r="B70" s="322" t="s">
        <v>171</v>
      </c>
      <c r="C70" s="283" t="s">
        <v>172</v>
      </c>
      <c r="D70" s="283" t="s">
        <v>173</v>
      </c>
      <c r="E70" s="79"/>
      <c r="F70" s="62"/>
      <c r="G70" s="62"/>
      <c r="H70" s="79"/>
      <c r="I70" s="79"/>
      <c r="J70" s="79"/>
      <c r="K70" s="62"/>
      <c r="L70" s="79"/>
      <c r="M70" s="62"/>
      <c r="N70" s="79"/>
      <c r="O70" s="299"/>
      <c r="P70" s="62"/>
      <c r="Q70" s="62"/>
      <c r="R70" s="62"/>
      <c r="S70" s="62"/>
      <c r="T70" s="62"/>
      <c r="U70" s="62"/>
    </row>
    <row r="71" spans="1:21" hidden="1" x14ac:dyDescent="0.2">
      <c r="A71" s="79"/>
      <c r="B71" s="322" t="s">
        <v>174</v>
      </c>
      <c r="C71" s="283" t="s">
        <v>184</v>
      </c>
      <c r="D71" s="283" t="s">
        <v>183</v>
      </c>
      <c r="E71" s="79"/>
      <c r="F71" s="62"/>
      <c r="G71" s="62"/>
      <c r="H71" s="62"/>
      <c r="I71" s="79"/>
      <c r="J71" s="79"/>
      <c r="K71" s="62"/>
      <c r="L71" s="79"/>
      <c r="M71" s="62"/>
      <c r="N71" s="79"/>
      <c r="O71" s="299"/>
      <c r="P71" s="62"/>
      <c r="Q71" s="62"/>
      <c r="R71" s="62"/>
      <c r="S71" s="62"/>
      <c r="T71" s="62"/>
      <c r="U71" s="62"/>
    </row>
    <row r="72" spans="1:21" hidden="1" x14ac:dyDescent="0.2">
      <c r="A72" s="79"/>
      <c r="B72" s="322" t="s">
        <v>177</v>
      </c>
      <c r="C72" s="283" t="s">
        <v>175</v>
      </c>
      <c r="D72" s="283" t="s">
        <v>176</v>
      </c>
      <c r="E72" s="79"/>
      <c r="F72" s="62"/>
      <c r="G72" s="62"/>
      <c r="H72" s="79"/>
      <c r="I72" s="79"/>
      <c r="J72" s="79"/>
      <c r="K72" s="62"/>
      <c r="L72" s="79"/>
      <c r="M72" s="62"/>
      <c r="N72" s="79"/>
      <c r="O72" s="299"/>
      <c r="P72" s="62"/>
      <c r="Q72" s="62"/>
      <c r="R72" s="62"/>
      <c r="S72" s="62"/>
      <c r="T72" s="62"/>
      <c r="U72" s="62"/>
    </row>
    <row r="73" spans="1:21" hidden="1" x14ac:dyDescent="0.2">
      <c r="A73" s="79"/>
      <c r="B73" s="322" t="s">
        <v>180</v>
      </c>
      <c r="C73" s="446" t="s">
        <v>191</v>
      </c>
      <c r="D73" s="283" t="s">
        <v>181</v>
      </c>
      <c r="E73" s="79"/>
      <c r="F73" s="62"/>
      <c r="G73" s="62"/>
      <c r="H73" s="79"/>
      <c r="I73" s="79"/>
      <c r="J73" s="79"/>
      <c r="K73" s="62"/>
      <c r="L73" s="79"/>
      <c r="M73" s="62"/>
      <c r="N73" s="79"/>
      <c r="O73" s="299"/>
      <c r="P73" s="62"/>
      <c r="Q73" s="62"/>
      <c r="R73" s="62"/>
      <c r="S73" s="62"/>
      <c r="T73" s="62"/>
      <c r="U73" s="62"/>
    </row>
    <row r="74" spans="1:21" hidden="1" x14ac:dyDescent="0.2">
      <c r="A74" s="79"/>
      <c r="B74" s="322" t="s">
        <v>182</v>
      </c>
      <c r="C74" s="283" t="s">
        <v>178</v>
      </c>
      <c r="D74" s="283" t="s">
        <v>179</v>
      </c>
      <c r="E74" s="79"/>
      <c r="F74" s="62"/>
      <c r="G74" s="62"/>
      <c r="H74" s="79"/>
      <c r="I74" s="79"/>
      <c r="J74" s="79"/>
      <c r="K74" s="62"/>
      <c r="L74" s="79"/>
      <c r="M74" s="62"/>
      <c r="N74" s="79"/>
      <c r="O74" s="299"/>
      <c r="P74" s="62"/>
      <c r="Q74" s="62"/>
      <c r="R74" s="62"/>
      <c r="S74" s="62"/>
      <c r="T74" s="62"/>
      <c r="U74" s="62"/>
    </row>
    <row r="75" spans="1:21" hidden="1" x14ac:dyDescent="0.2"/>
    <row r="76" spans="1:21" hidden="1" x14ac:dyDescent="0.2"/>
    <row r="77" spans="1:21" hidden="1" x14ac:dyDescent="0.2"/>
    <row r="78" spans="1:21" hidden="1" x14ac:dyDescent="0.2"/>
    <row r="79" spans="1:21" hidden="1" x14ac:dyDescent="0.2"/>
    <row r="80" spans="1:21"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spans="1:9" hidden="1" x14ac:dyDescent="0.2"/>
    <row r="98" spans="1:9" hidden="1" x14ac:dyDescent="0.2"/>
    <row r="100" spans="1:9" x14ac:dyDescent="0.2">
      <c r="A100" s="286" t="s">
        <v>192</v>
      </c>
      <c r="B100" s="287"/>
      <c r="C100" s="288"/>
      <c r="D100" s="288"/>
      <c r="E100" s="288"/>
      <c r="F100" s="285"/>
      <c r="G100" s="283"/>
      <c r="H100" s="269"/>
      <c r="I100" s="151"/>
    </row>
    <row r="101" spans="1:9" x14ac:dyDescent="0.2">
      <c r="A101" s="269"/>
      <c r="B101" s="269"/>
      <c r="C101" s="269"/>
      <c r="D101" s="269"/>
      <c r="E101" s="269"/>
      <c r="F101" s="269"/>
      <c r="G101" s="269"/>
      <c r="H101" s="269"/>
      <c r="I101" s="151"/>
    </row>
    <row r="102" spans="1:9" x14ac:dyDescent="0.2">
      <c r="A102" s="300" t="s">
        <v>193</v>
      </c>
      <c r="B102" s="289" t="str">
        <f>IFERROR(INDEX(B$1:B$100,MATCH(A102,I$1:I$100,0)),"")</f>
        <v>Peep Peenema, Tõnu Piik</v>
      </c>
      <c r="C102" s="301">
        <v>1</v>
      </c>
      <c r="D102" s="269"/>
      <c r="E102" s="269"/>
      <c r="F102" s="269"/>
      <c r="G102" s="269"/>
      <c r="H102" s="269"/>
      <c r="I102" s="151"/>
    </row>
    <row r="103" spans="1:9" x14ac:dyDescent="0.2">
      <c r="A103" s="302"/>
      <c r="B103" s="449"/>
      <c r="C103" s="303" t="str">
        <f>IF(COUNT(C102,C104)=2,IF(C102&gt;C104,B102,B104),"")</f>
        <v>Aigi Orro, Kalle Orro</v>
      </c>
      <c r="D103" s="269"/>
      <c r="E103" s="301">
        <v>13</v>
      </c>
      <c r="F103" s="269"/>
      <c r="G103" s="269"/>
      <c r="H103" s="269"/>
      <c r="I103" s="269"/>
    </row>
    <row r="104" spans="1:9" x14ac:dyDescent="0.2">
      <c r="A104" s="302" t="s">
        <v>194</v>
      </c>
      <c r="B104" s="450" t="str">
        <f>IFERROR(INDEX(B$1:B$100,MATCH(A104,I$1:I$100,0)),"")</f>
        <v>Aigi Orro, Kalle Orro</v>
      </c>
      <c r="C104" s="304">
        <v>13</v>
      </c>
      <c r="D104" s="336"/>
      <c r="E104" s="269"/>
      <c r="F104" s="269"/>
      <c r="G104" s="269"/>
      <c r="H104" s="269"/>
      <c r="I104" s="269"/>
    </row>
    <row r="105" spans="1:9" x14ac:dyDescent="0.2">
      <c r="A105" s="302"/>
      <c r="B105" s="292"/>
      <c r="C105" s="269"/>
      <c r="D105" s="305"/>
      <c r="E105" s="303" t="str">
        <f>IF(COUNT(E103,E107)=2,IF(E103&gt;E107,C103,C107),"")</f>
        <v>Aigi Orro, Kalle Orro</v>
      </c>
      <c r="F105" s="269"/>
      <c r="G105" s="301">
        <v>3</v>
      </c>
      <c r="H105" s="269"/>
      <c r="I105" s="269"/>
    </row>
    <row r="106" spans="1:9" x14ac:dyDescent="0.2">
      <c r="A106" s="302" t="s">
        <v>195</v>
      </c>
      <c r="B106" s="289" t="str">
        <f>IFERROR(INDEX(B$1:B$100,MATCH(A106,I$1:I$100,0)),"")</f>
        <v>Matti Vinni, Vladimir Ogneštšikov</v>
      </c>
      <c r="C106" s="301">
        <v>13</v>
      </c>
      <c r="D106" s="305"/>
      <c r="E106" s="306"/>
      <c r="F106" s="336"/>
      <c r="G106" s="269"/>
      <c r="H106" s="269"/>
      <c r="I106" s="269"/>
    </row>
    <row r="107" spans="1:9" x14ac:dyDescent="0.2">
      <c r="A107" s="302"/>
      <c r="B107" s="449"/>
      <c r="C107" s="303" t="str">
        <f>IF(COUNT(C106,C108)=2,IF(C106&gt;C108,B106,B108),"")</f>
        <v>Matti Vinni, Vladimir Ogneštšikov</v>
      </c>
      <c r="D107" s="451"/>
      <c r="E107" s="304">
        <v>4</v>
      </c>
      <c r="F107" s="305"/>
      <c r="G107" s="269"/>
      <c r="H107" s="269"/>
      <c r="I107" s="269"/>
    </row>
    <row r="108" spans="1:9" x14ac:dyDescent="0.2">
      <c r="A108" s="302" t="s">
        <v>196</v>
      </c>
      <c r="B108" s="450" t="str">
        <f>IFERROR(INDEX(B$1:B$100,MATCH(A108,I$1:I$100,0)),"")</f>
        <v>Karla Purgats, Lemmit Toomra</v>
      </c>
      <c r="C108" s="304">
        <v>7</v>
      </c>
      <c r="D108" s="269"/>
      <c r="E108" s="287"/>
      <c r="F108" s="305"/>
      <c r="G108" s="269"/>
      <c r="H108" s="269"/>
      <c r="I108" s="269"/>
    </row>
    <row r="109" spans="1:9" ht="13.5" thickBot="1" x14ac:dyDescent="0.25">
      <c r="A109" s="268"/>
      <c r="B109" s="292"/>
      <c r="C109" s="269"/>
      <c r="D109" s="269"/>
      <c r="E109" s="287"/>
      <c r="F109" s="305"/>
      <c r="G109" s="269"/>
      <c r="H109" s="452" t="str">
        <f>IF(COUNT(G105,G113)=2,IF(G105&gt;G113,E105,E113),"")</f>
        <v>Kenneth Muusikus, Mait Metsla</v>
      </c>
      <c r="I109" s="269"/>
    </row>
    <row r="110" spans="1:9" x14ac:dyDescent="0.2">
      <c r="A110" s="300" t="s">
        <v>197</v>
      </c>
      <c r="B110" s="289" t="str">
        <f>IFERROR(INDEX(B$1:B$100,MATCH(A110,I$1:I$100,0)),"")</f>
        <v>Kenneth Muusikus, Mait Metsla</v>
      </c>
      <c r="C110" s="301">
        <v>13</v>
      </c>
      <c r="D110" s="269"/>
      <c r="E110" s="269"/>
      <c r="F110" s="305"/>
      <c r="G110" s="307"/>
      <c r="H110" s="290" t="s">
        <v>185</v>
      </c>
      <c r="I110" s="453"/>
    </row>
    <row r="111" spans="1:9" x14ac:dyDescent="0.2">
      <c r="A111" s="302"/>
      <c r="B111" s="449"/>
      <c r="C111" s="303" t="str">
        <f>IF(COUNT(C110,C112)=2,IF(C110&gt;C112,B110,B112),"")</f>
        <v>Kenneth Muusikus, Mait Metsla</v>
      </c>
      <c r="D111" s="269"/>
      <c r="E111" s="301">
        <v>13</v>
      </c>
      <c r="F111" s="305"/>
      <c r="G111" s="287"/>
      <c r="H111" s="269"/>
      <c r="I111" s="269"/>
    </row>
    <row r="112" spans="1:9" x14ac:dyDescent="0.2">
      <c r="A112" s="302" t="s">
        <v>198</v>
      </c>
      <c r="B112" s="450" t="str">
        <f>IFERROR(INDEX(B$1:B$100,MATCH(A112,I$1:I$100,0)),"")</f>
        <v>Andres Veski, Meelis Luud</v>
      </c>
      <c r="C112" s="304">
        <v>3</v>
      </c>
      <c r="D112" s="336"/>
      <c r="E112" s="269"/>
      <c r="F112" s="305"/>
      <c r="G112" s="287"/>
      <c r="H112" s="269"/>
      <c r="I112" s="269"/>
    </row>
    <row r="113" spans="1:9" x14ac:dyDescent="0.2">
      <c r="A113" s="302"/>
      <c r="B113" s="292"/>
      <c r="C113" s="269"/>
      <c r="D113" s="305"/>
      <c r="E113" s="303" t="str">
        <f>IF(COUNT(E111,E115)=2,IF(E111&gt;E115,C111,C115),"")</f>
        <v>Kenneth Muusikus, Mait Metsla</v>
      </c>
      <c r="F113" s="451"/>
      <c r="G113" s="304">
        <v>13</v>
      </c>
      <c r="H113" s="269"/>
      <c r="I113" s="269"/>
    </row>
    <row r="114" spans="1:9" ht="13.5" thickBot="1" x14ac:dyDescent="0.25">
      <c r="A114" s="302" t="s">
        <v>200</v>
      </c>
      <c r="B114" s="289" t="str">
        <f>IFERROR(INDEX(B$1:B$100,MATCH(A114,I$1:I$100,0)),"")</f>
        <v>Jaan Sepp, Oskar Sepp</v>
      </c>
      <c r="C114" s="301">
        <v>10</v>
      </c>
      <c r="D114" s="305"/>
      <c r="E114" s="306"/>
      <c r="F114" s="287"/>
      <c r="G114" s="287"/>
      <c r="H114" s="452" t="str">
        <f>IF(COUNT(G105,G113)=2,IF(G105&lt;G113,E105,E113),"")</f>
        <v>Aigi Orro, Kalle Orro</v>
      </c>
      <c r="I114" s="454"/>
    </row>
    <row r="115" spans="1:9" x14ac:dyDescent="0.2">
      <c r="A115" s="302"/>
      <c r="B115" s="449"/>
      <c r="C115" s="303" t="str">
        <f>IF(COUNT(C114,C116)=2,IF(C114&gt;C116,B114,B116),"")</f>
        <v>Andrei Grintšak, Boriss Klubov</v>
      </c>
      <c r="D115" s="451"/>
      <c r="E115" s="304">
        <v>3</v>
      </c>
      <c r="F115" s="269"/>
      <c r="G115" s="287"/>
      <c r="H115" s="290" t="s">
        <v>186</v>
      </c>
      <c r="I115" s="287"/>
    </row>
    <row r="116" spans="1:9" x14ac:dyDescent="0.2">
      <c r="A116" s="302" t="s">
        <v>199</v>
      </c>
      <c r="B116" s="450" t="str">
        <f>IFERROR(INDEX(B$1:B$100,MATCH(A116,I$1:I$100,0)),"")</f>
        <v>Andrei Grintšak, Boriss Klubov</v>
      </c>
      <c r="C116" s="304">
        <v>13</v>
      </c>
      <c r="D116" s="269"/>
      <c r="E116" s="287"/>
      <c r="F116" s="287"/>
      <c r="G116" s="287"/>
      <c r="H116" s="269"/>
      <c r="I116" s="269"/>
    </row>
    <row r="117" spans="1:9" x14ac:dyDescent="0.2">
      <c r="A117" s="268"/>
      <c r="B117" s="292"/>
      <c r="C117" s="269"/>
      <c r="D117" s="269"/>
      <c r="E117" s="284" t="str">
        <f>IF(COUNT(E103,E107)=2,IF(E103&lt;E107,C103,C107),"")</f>
        <v>Matti Vinni, Vladimir Ogneštšikov</v>
      </c>
      <c r="F117" s="269"/>
      <c r="G117" s="301">
        <v>11</v>
      </c>
      <c r="H117" s="269"/>
      <c r="I117" s="269"/>
    </row>
    <row r="118" spans="1:9" ht="13.5" thickBot="1" x14ac:dyDescent="0.25">
      <c r="A118" s="269"/>
      <c r="B118" s="269"/>
      <c r="C118" s="269"/>
      <c r="D118" s="269"/>
      <c r="E118" s="455"/>
      <c r="F118" s="336"/>
      <c r="G118" s="454"/>
      <c r="H118" s="452" t="str">
        <f>IF(COUNT(G117,G119)=2,IF(G117&gt;G119,E117,E119),"")</f>
        <v>Andrei Grintšak, Boriss Klubov</v>
      </c>
      <c r="I118" s="454"/>
    </row>
    <row r="119" spans="1:9" x14ac:dyDescent="0.2">
      <c r="A119" s="269"/>
      <c r="B119" s="269"/>
      <c r="C119" s="269"/>
      <c r="D119" s="269"/>
      <c r="E119" s="456" t="str">
        <f>IF(COUNT(E111,E115)=2,IF(E111&lt;E115,C111,C115),"")</f>
        <v>Andrei Grintšak, Boriss Klubov</v>
      </c>
      <c r="F119" s="451"/>
      <c r="G119" s="304">
        <v>13</v>
      </c>
      <c r="H119" s="296" t="s">
        <v>187</v>
      </c>
      <c r="I119" s="287"/>
    </row>
    <row r="120" spans="1:9" x14ac:dyDescent="0.2">
      <c r="A120" s="269"/>
      <c r="B120" s="269"/>
      <c r="C120" s="269"/>
      <c r="D120" s="269"/>
      <c r="E120" s="269"/>
      <c r="F120" s="269"/>
      <c r="G120" s="269"/>
      <c r="H120" s="287"/>
      <c r="I120" s="287"/>
    </row>
    <row r="121" spans="1:9" ht="13.5" thickBot="1" x14ac:dyDescent="0.25">
      <c r="A121" s="269"/>
      <c r="B121" s="269"/>
      <c r="C121" s="269"/>
      <c r="D121" s="269"/>
      <c r="E121" s="287"/>
      <c r="F121" s="287"/>
      <c r="G121" s="269"/>
      <c r="H121" s="452" t="str">
        <f>IF(COUNT(G117,G119)=2,IF(G117&lt;G119,E117,E119),"")</f>
        <v>Matti Vinni, Vladimir Ogneštšikov</v>
      </c>
      <c r="I121" s="454"/>
    </row>
    <row r="122" spans="1:9" x14ac:dyDescent="0.2">
      <c r="A122" s="269"/>
      <c r="B122" s="269"/>
      <c r="C122" s="269"/>
      <c r="D122" s="269"/>
      <c r="E122" s="269"/>
      <c r="F122" s="269"/>
      <c r="G122" s="269"/>
      <c r="H122" s="268" t="s">
        <v>188</v>
      </c>
      <c r="I122" s="269"/>
    </row>
    <row r="123" spans="1:9" x14ac:dyDescent="0.2">
      <c r="A123" s="269"/>
      <c r="B123" s="269"/>
      <c r="C123" s="456" t="str">
        <f>IF(COUNT(C102,C104)=2,IF(C102&lt;C104,B102,B104),"")</f>
        <v>Peep Peenema, Tõnu Piik</v>
      </c>
      <c r="D123" s="269"/>
      <c r="E123" s="301">
        <v>5</v>
      </c>
      <c r="F123" s="301"/>
      <c r="G123" s="301"/>
      <c r="H123" s="269"/>
      <c r="I123" s="269"/>
    </row>
    <row r="124" spans="1:9" x14ac:dyDescent="0.2">
      <c r="A124" s="269"/>
      <c r="B124" s="269"/>
      <c r="C124" s="457"/>
      <c r="D124" s="337"/>
      <c r="E124" s="303" t="str">
        <f>IF(COUNT(E123,E125)=2,IF(E123&gt;E125,C123,C125),"")</f>
        <v>Karla Purgats, Lemmit Toomra</v>
      </c>
      <c r="F124" s="269"/>
      <c r="G124" s="301">
        <v>13</v>
      </c>
      <c r="H124" s="269"/>
      <c r="I124" s="269"/>
    </row>
    <row r="125" spans="1:9" x14ac:dyDescent="0.2">
      <c r="A125" s="269"/>
      <c r="B125" s="269"/>
      <c r="C125" s="456" t="str">
        <f>IF(COUNT(C106,C108)=2,IF(C106&lt;C108,B106,B108),"")</f>
        <v>Karla Purgats, Lemmit Toomra</v>
      </c>
      <c r="D125" s="458"/>
      <c r="E125" s="304">
        <v>13</v>
      </c>
      <c r="F125" s="337"/>
      <c r="G125" s="301"/>
      <c r="H125" s="269"/>
      <c r="I125" s="269"/>
    </row>
    <row r="126" spans="1:9" ht="13.5" thickBot="1" x14ac:dyDescent="0.25">
      <c r="A126" s="269"/>
      <c r="B126" s="269"/>
      <c r="C126" s="301"/>
      <c r="D126" s="301"/>
      <c r="E126" s="269"/>
      <c r="F126" s="309"/>
      <c r="G126" s="301"/>
      <c r="H126" s="452" t="str">
        <f>IF(COUNT(G124,G128)=2,IF(G124&gt;G128,E124,E128),"")</f>
        <v>Karla Purgats, Lemmit Toomra</v>
      </c>
      <c r="I126" s="269"/>
    </row>
    <row r="127" spans="1:9" x14ac:dyDescent="0.2">
      <c r="A127" s="269"/>
      <c r="B127" s="269"/>
      <c r="C127" s="456" t="str">
        <f>IF(COUNT(C110,C112)=2,IF(C110&lt;C112,B110,B112),"")</f>
        <v>Andres Veski, Meelis Luud</v>
      </c>
      <c r="D127" s="301"/>
      <c r="E127" s="301">
        <v>8</v>
      </c>
      <c r="F127" s="309"/>
      <c r="G127" s="310"/>
      <c r="H127" s="290" t="s">
        <v>189</v>
      </c>
      <c r="I127" s="453"/>
    </row>
    <row r="128" spans="1:9" x14ac:dyDescent="0.2">
      <c r="A128" s="269"/>
      <c r="B128" s="269"/>
      <c r="C128" s="457"/>
      <c r="D128" s="337"/>
      <c r="E128" s="303" t="str">
        <f>IF(COUNT(E127,E129)=2,IF(E127&gt;E129,C127,C129),"")</f>
        <v>Jaan Sepp, Oskar Sepp</v>
      </c>
      <c r="F128" s="451"/>
      <c r="G128" s="304">
        <v>10</v>
      </c>
      <c r="H128" s="269"/>
      <c r="I128" s="269"/>
    </row>
    <row r="129" spans="1:9" ht="13.5" thickBot="1" x14ac:dyDescent="0.25">
      <c r="A129" s="269"/>
      <c r="B129" s="269"/>
      <c r="C129" s="456" t="str">
        <f>IF(COUNT(C114,C116)=2,IF(C114&lt;C116,B114,B116),"")</f>
        <v>Jaan Sepp, Oskar Sepp</v>
      </c>
      <c r="D129" s="458"/>
      <c r="E129" s="304">
        <v>13</v>
      </c>
      <c r="F129" s="301"/>
      <c r="G129" s="308"/>
      <c r="H129" s="452" t="str">
        <f>IF(COUNT(G124,G128)=2,IF(G124&lt;G128,E124,E128),"")</f>
        <v>Jaan Sepp, Oskar Sepp</v>
      </c>
      <c r="I129" s="454"/>
    </row>
    <row r="130" spans="1:9" x14ac:dyDescent="0.2">
      <c r="A130" s="269"/>
      <c r="B130" s="269"/>
      <c r="C130" s="301"/>
      <c r="D130" s="301"/>
      <c r="E130" s="301"/>
      <c r="F130" s="301"/>
      <c r="G130" s="308"/>
      <c r="H130" s="290" t="s">
        <v>190</v>
      </c>
      <c r="I130" s="287"/>
    </row>
    <row r="131" spans="1:9" x14ac:dyDescent="0.2">
      <c r="A131" s="269"/>
      <c r="B131" s="269"/>
      <c r="C131" s="301"/>
      <c r="D131" s="308"/>
      <c r="E131" s="284" t="str">
        <f>IF(COUNT(E123,E125)=2,IF(E123&lt;E125,C123,C125),"")</f>
        <v>Peep Peenema, Tõnu Piik</v>
      </c>
      <c r="F131" s="269"/>
      <c r="G131" s="301">
        <v>1</v>
      </c>
      <c r="H131" s="287"/>
      <c r="I131" s="287"/>
    </row>
    <row r="132" spans="1:9" ht="13.5" thickBot="1" x14ac:dyDescent="0.25">
      <c r="A132" s="269"/>
      <c r="B132" s="269"/>
      <c r="C132" s="301"/>
      <c r="D132" s="308"/>
      <c r="E132" s="455"/>
      <c r="F132" s="336"/>
      <c r="G132" s="454"/>
      <c r="H132" s="452" t="str">
        <f>IF(COUNT(G131,G133)=2,IF(G131&gt;G133,E131,E133),"")</f>
        <v>Andres Veski, Meelis Luud</v>
      </c>
      <c r="I132" s="454"/>
    </row>
    <row r="133" spans="1:9" x14ac:dyDescent="0.2">
      <c r="A133" s="269"/>
      <c r="B133" s="269"/>
      <c r="C133" s="301"/>
      <c r="D133" s="308"/>
      <c r="E133" s="456" t="str">
        <f>IF(COUNT(E127,E129)=2,IF(E127&lt;E129,C127,C129),"")</f>
        <v>Andres Veski, Meelis Luud</v>
      </c>
      <c r="F133" s="451"/>
      <c r="G133" s="304">
        <v>13</v>
      </c>
      <c r="H133" s="290" t="s">
        <v>201</v>
      </c>
      <c r="I133" s="287"/>
    </row>
    <row r="134" spans="1:9" x14ac:dyDescent="0.2">
      <c r="A134" s="269"/>
      <c r="B134" s="269"/>
      <c r="C134" s="269"/>
      <c r="D134" s="287"/>
      <c r="E134" s="269"/>
      <c r="F134" s="269"/>
      <c r="G134" s="269"/>
      <c r="H134" s="287"/>
      <c r="I134" s="287"/>
    </row>
    <row r="135" spans="1:9" ht="13.5" thickBot="1" x14ac:dyDescent="0.25">
      <c r="A135" s="269"/>
      <c r="B135" s="269"/>
      <c r="C135" s="269"/>
      <c r="D135" s="269"/>
      <c r="E135" s="287"/>
      <c r="F135" s="287"/>
      <c r="G135" s="269"/>
      <c r="H135" s="454" t="str">
        <f>IF(COUNT(G131,G133)=2,IF(G131&lt;G133,E131,E133),"")</f>
        <v>Peep Peenema, Tõnu Piik</v>
      </c>
      <c r="I135" s="454"/>
    </row>
    <row r="136" spans="1:9" x14ac:dyDescent="0.2">
      <c r="A136" s="80"/>
      <c r="B136" s="140"/>
      <c r="C136" s="285"/>
      <c r="D136" s="285"/>
      <c r="E136" s="285"/>
      <c r="F136" s="285"/>
      <c r="G136" s="323"/>
      <c r="H136" s="290" t="s">
        <v>202</v>
      </c>
      <c r="I136" s="79"/>
    </row>
    <row r="138" spans="1:9" x14ac:dyDescent="0.2">
      <c r="A138" s="286" t="s">
        <v>215</v>
      </c>
      <c r="B138" s="287"/>
      <c r="C138" s="288"/>
      <c r="D138" s="288"/>
      <c r="E138" s="288"/>
      <c r="F138" s="285"/>
      <c r="G138" s="283"/>
      <c r="H138" s="269"/>
      <c r="I138" s="151"/>
    </row>
    <row r="139" spans="1:9" x14ac:dyDescent="0.2">
      <c r="A139" s="269"/>
      <c r="B139" s="269"/>
      <c r="C139" s="269"/>
      <c r="D139" s="269"/>
      <c r="E139" s="269"/>
      <c r="F139" s="269"/>
      <c r="G139" s="269"/>
      <c r="H139" s="269"/>
      <c r="I139" s="151"/>
    </row>
    <row r="140" spans="1:9" x14ac:dyDescent="0.2">
      <c r="A140" s="300" t="s">
        <v>203</v>
      </c>
      <c r="B140" s="289" t="str">
        <f>IFERROR(INDEX(B$1:B$100,MATCH(A140,I$1:I$100,0)),"")</f>
        <v>Jaan Saar, Liidia Põllu</v>
      </c>
      <c r="C140" s="301">
        <v>6</v>
      </c>
      <c r="D140" s="269"/>
      <c r="E140" s="269"/>
      <c r="F140" s="269"/>
      <c r="G140" s="269"/>
      <c r="H140" s="269"/>
      <c r="I140" s="151"/>
    </row>
    <row r="141" spans="1:9" x14ac:dyDescent="0.2">
      <c r="A141" s="302"/>
      <c r="B141" s="449"/>
      <c r="C141" s="303" t="str">
        <f>IF(COUNT(C140,C142)=2,IF(C140&gt;C142,B140,B142),"")</f>
        <v>Margus Vasser, Vello Vasser</v>
      </c>
      <c r="D141" s="269"/>
      <c r="E141" s="301">
        <v>13</v>
      </c>
      <c r="F141" s="269"/>
      <c r="G141" s="269"/>
      <c r="H141" s="269"/>
      <c r="I141" s="269"/>
    </row>
    <row r="142" spans="1:9" x14ac:dyDescent="0.2">
      <c r="A142" s="302" t="s">
        <v>266</v>
      </c>
      <c r="B142" s="450" t="str">
        <f>IFERROR(INDEX(B$1:B$100,MATCH(A142,I$1:I$100,0)),"")</f>
        <v>Margus Vasser, Vello Vasser</v>
      </c>
      <c r="C142" s="304">
        <v>13</v>
      </c>
      <c r="D142" s="336"/>
      <c r="E142" s="269"/>
      <c r="F142" s="269"/>
      <c r="G142" s="269"/>
      <c r="H142" s="269"/>
      <c r="I142" s="269"/>
    </row>
    <row r="143" spans="1:9" x14ac:dyDescent="0.2">
      <c r="A143" s="302"/>
      <c r="B143" s="292"/>
      <c r="C143" s="269"/>
      <c r="D143" s="305"/>
      <c r="E143" s="303" t="str">
        <f>IF(COUNT(E141,E145)=2,IF(E141&gt;E145,C141,C145),"")</f>
        <v>Margus Vasser, Vello Vasser</v>
      </c>
      <c r="F143" s="269"/>
      <c r="G143" s="301">
        <v>13</v>
      </c>
      <c r="H143" s="269"/>
      <c r="I143" s="269"/>
    </row>
    <row r="144" spans="1:9" x14ac:dyDescent="0.2">
      <c r="A144" s="302" t="s">
        <v>204</v>
      </c>
      <c r="B144" s="289" t="str">
        <f>IFERROR(INDEX(B$1:B$100,MATCH(A144,I$1:I$100,0)),"")</f>
        <v>Enn Tokman, Tarmo Bombe</v>
      </c>
      <c r="C144" s="301">
        <v>13</v>
      </c>
      <c r="D144" s="305"/>
      <c r="E144" s="306"/>
      <c r="F144" s="336"/>
      <c r="G144" s="269"/>
      <c r="H144" s="269"/>
      <c r="I144" s="269"/>
    </row>
    <row r="145" spans="1:9" x14ac:dyDescent="0.2">
      <c r="A145" s="302"/>
      <c r="B145" s="449"/>
      <c r="C145" s="303" t="str">
        <f>IF(COUNT(C144,C146)=2,IF(C144&gt;C146,B144,B146),"")</f>
        <v>Enn Tokman, Tarmo Bombe</v>
      </c>
      <c r="D145" s="451"/>
      <c r="E145" s="304">
        <v>12</v>
      </c>
      <c r="F145" s="305"/>
      <c r="G145" s="269"/>
      <c r="H145" s="269"/>
      <c r="I145" s="269"/>
    </row>
    <row r="146" spans="1:9" x14ac:dyDescent="0.2">
      <c r="A146" s="302" t="s">
        <v>267</v>
      </c>
      <c r="B146" s="450" t="str">
        <f>IFERROR(INDEX(B$1:B$100,MATCH(A146,I$1:I$100,0)),"")</f>
        <v>Illar Tõnurist, Klavdia Piik</v>
      </c>
      <c r="C146" s="304">
        <v>7</v>
      </c>
      <c r="D146" s="269"/>
      <c r="E146" s="287"/>
      <c r="F146" s="305"/>
      <c r="G146" s="269"/>
      <c r="H146" s="269"/>
      <c r="I146" s="269"/>
    </row>
    <row r="147" spans="1:9" ht="13.5" thickBot="1" x14ac:dyDescent="0.25">
      <c r="A147" s="268"/>
      <c r="B147" s="292"/>
      <c r="C147" s="269"/>
      <c r="D147" s="269"/>
      <c r="E147" s="287"/>
      <c r="F147" s="305"/>
      <c r="G147" s="269"/>
      <c r="H147" s="452" t="str">
        <f>IF(COUNT(G143,G151)=2,IF(G143&gt;G151,E143,E151),"")</f>
        <v>Margus Vasser, Vello Vasser</v>
      </c>
      <c r="I147" s="269"/>
    </row>
    <row r="148" spans="1:9" x14ac:dyDescent="0.2">
      <c r="A148" s="300" t="s">
        <v>206</v>
      </c>
      <c r="B148" s="289" t="str">
        <f>IFERROR(INDEX(B$1:B$100,MATCH(A148,I$1:I$100,0)),"")</f>
        <v>Aarne Välja, Janek Tarto</v>
      </c>
      <c r="C148" s="651">
        <v>0</v>
      </c>
      <c r="D148" s="641" t="s">
        <v>414</v>
      </c>
      <c r="E148" s="269"/>
      <c r="F148" s="305"/>
      <c r="G148" s="307"/>
      <c r="H148" s="290" t="s">
        <v>207</v>
      </c>
      <c r="I148" s="453"/>
    </row>
    <row r="149" spans="1:9" x14ac:dyDescent="0.2">
      <c r="A149" s="302"/>
      <c r="B149" s="449"/>
      <c r="C149" s="303" t="str">
        <f>IF(COUNT(C148,C150)=2,IF(C148&gt;C150,B148,B150),"")</f>
        <v>Sander Skrabutenas, Veronika Pirk</v>
      </c>
      <c r="D149" s="269"/>
      <c r="E149" s="301">
        <v>1</v>
      </c>
      <c r="F149" s="305"/>
      <c r="G149" s="287"/>
      <c r="H149" s="269"/>
      <c r="I149" s="269"/>
    </row>
    <row r="150" spans="1:9" x14ac:dyDescent="0.2">
      <c r="A150" s="302" t="s">
        <v>268</v>
      </c>
      <c r="B150" s="450" t="str">
        <f>IFERROR(INDEX(B$1:B$100,MATCH(A150,I$1:I$100,0)),"")</f>
        <v>Sander Skrabutenas, Veronika Pirk</v>
      </c>
      <c r="C150" s="304">
        <v>13</v>
      </c>
      <c r="D150" s="336"/>
      <c r="E150" s="269"/>
      <c r="F150" s="305"/>
      <c r="G150" s="287"/>
      <c r="H150" s="269"/>
      <c r="I150" s="269"/>
    </row>
    <row r="151" spans="1:9" x14ac:dyDescent="0.2">
      <c r="A151" s="302"/>
      <c r="B151" s="292"/>
      <c r="C151" s="269"/>
      <c r="D151" s="305"/>
      <c r="E151" s="303" t="str">
        <f>IF(COUNT(E149,E153)=2,IF(E149&gt;E153,C149,C153),"")</f>
        <v>Kaspar Mänd, Urmas Randlaine</v>
      </c>
      <c r="F151" s="451"/>
      <c r="G151" s="304">
        <v>8</v>
      </c>
      <c r="H151" s="269"/>
      <c r="I151" s="269"/>
    </row>
    <row r="152" spans="1:9" ht="13.5" thickBot="1" x14ac:dyDescent="0.25">
      <c r="A152" s="302" t="s">
        <v>208</v>
      </c>
      <c r="B152" s="289" t="str">
        <f>IFERROR(INDEX(B$1:B$100,MATCH(A152,I$1:I$100,0)),"")</f>
        <v>Kaspar Mänd, Urmas Randlaine</v>
      </c>
      <c r="C152" s="301">
        <v>13</v>
      </c>
      <c r="D152" s="305"/>
      <c r="E152" s="306"/>
      <c r="F152" s="287"/>
      <c r="G152" s="287"/>
      <c r="H152" s="452" t="str">
        <f>IF(COUNT(G143,G151)=2,IF(G143&lt;G151,E143,E151),"")</f>
        <v>Kaspar Mänd, Urmas Randlaine</v>
      </c>
      <c r="I152" s="454"/>
    </row>
    <row r="153" spans="1:9" x14ac:dyDescent="0.2">
      <c r="A153" s="302"/>
      <c r="B153" s="449"/>
      <c r="C153" s="303" t="str">
        <f>IF(COUNT(C152,C154)=2,IF(C152&gt;C154,B152,B154),"")</f>
        <v>Kaspar Mänd, Urmas Randlaine</v>
      </c>
      <c r="D153" s="451"/>
      <c r="E153" s="304">
        <v>13</v>
      </c>
      <c r="F153" s="269"/>
      <c r="G153" s="287"/>
      <c r="H153" s="290" t="s">
        <v>209</v>
      </c>
      <c r="I153" s="287"/>
    </row>
    <row r="154" spans="1:9" x14ac:dyDescent="0.2">
      <c r="A154" s="302" t="s">
        <v>269</v>
      </c>
      <c r="B154" s="450" t="str">
        <f>IFERROR(INDEX(B$1:B$100,MATCH(A154,I$1:I$100,0)),"")</f>
        <v>Aurelia Meldre, Veroonika Mendes</v>
      </c>
      <c r="C154" s="304">
        <v>10</v>
      </c>
      <c r="D154" s="269"/>
      <c r="E154" s="287"/>
      <c r="F154" s="287"/>
      <c r="G154" s="287"/>
      <c r="H154" s="269"/>
      <c r="I154" s="269"/>
    </row>
    <row r="155" spans="1:9" x14ac:dyDescent="0.2">
      <c r="A155" s="268"/>
      <c r="B155" s="292"/>
      <c r="C155" s="269"/>
      <c r="D155" s="269"/>
      <c r="E155" s="284" t="str">
        <f>IF(COUNT(E141,E145)=2,IF(E141&lt;E145,C141,C145),"")</f>
        <v>Enn Tokman, Tarmo Bombe</v>
      </c>
      <c r="F155" s="269"/>
      <c r="G155" s="301">
        <v>13</v>
      </c>
      <c r="H155" s="269"/>
      <c r="I155" s="269"/>
    </row>
    <row r="156" spans="1:9" ht="13.5" thickBot="1" x14ac:dyDescent="0.25">
      <c r="A156" s="269"/>
      <c r="B156" s="269"/>
      <c r="C156" s="269"/>
      <c r="D156" s="269"/>
      <c r="E156" s="455"/>
      <c r="F156" s="336"/>
      <c r="G156" s="454"/>
      <c r="H156" s="452" t="str">
        <f>IF(COUNT(G155,G157)=2,IF(G155&gt;G157,E155,E157),"")</f>
        <v>Enn Tokman, Tarmo Bombe</v>
      </c>
      <c r="I156" s="454"/>
    </row>
    <row r="157" spans="1:9" x14ac:dyDescent="0.2">
      <c r="A157" s="269"/>
      <c r="B157" s="269"/>
      <c r="C157" s="269"/>
      <c r="D157" s="269"/>
      <c r="E157" s="456" t="str">
        <f>IF(COUNT(E149,E153)=2,IF(E149&lt;E153,C149,C153),"")</f>
        <v>Sander Skrabutenas, Veronika Pirk</v>
      </c>
      <c r="F157" s="451"/>
      <c r="G157" s="304">
        <v>12</v>
      </c>
      <c r="H157" s="296" t="s">
        <v>210</v>
      </c>
      <c r="I157" s="287"/>
    </row>
    <row r="158" spans="1:9" x14ac:dyDescent="0.2">
      <c r="A158" s="269"/>
      <c r="B158" s="269"/>
      <c r="C158" s="269"/>
      <c r="D158" s="269"/>
      <c r="E158" s="269"/>
      <c r="F158" s="269"/>
      <c r="G158" s="269"/>
      <c r="H158" s="287"/>
      <c r="I158" s="287"/>
    </row>
    <row r="159" spans="1:9" ht="13.5" thickBot="1" x14ac:dyDescent="0.25">
      <c r="A159" s="269"/>
      <c r="B159" s="269"/>
      <c r="C159" s="269"/>
      <c r="D159" s="269"/>
      <c r="E159" s="287"/>
      <c r="F159" s="287"/>
      <c r="G159" s="269"/>
      <c r="H159" s="452" t="str">
        <f>IF(COUNT(G155,G157)=2,IF(G155&lt;G157,E155,E157),"")</f>
        <v>Sander Skrabutenas, Veronika Pirk</v>
      </c>
      <c r="I159" s="454"/>
    </row>
    <row r="160" spans="1:9" x14ac:dyDescent="0.2">
      <c r="A160" s="269"/>
      <c r="B160" s="269"/>
      <c r="C160" s="269"/>
      <c r="D160" s="269"/>
      <c r="E160" s="269"/>
      <c r="F160" s="269"/>
      <c r="G160" s="269"/>
      <c r="H160" s="268" t="s">
        <v>211</v>
      </c>
      <c r="I160" s="269"/>
    </row>
    <row r="161" spans="1:9" x14ac:dyDescent="0.2">
      <c r="A161" s="269"/>
      <c r="B161" s="269"/>
      <c r="C161" s="456" t="str">
        <f>IF(COUNT(C140,C142)=2,IF(C140&lt;C142,B140,B142),"")</f>
        <v>Jaan Saar, Liidia Põllu</v>
      </c>
      <c r="D161" s="269"/>
      <c r="E161" s="301">
        <v>13</v>
      </c>
      <c r="F161" s="301"/>
      <c r="G161" s="301"/>
      <c r="H161" s="269"/>
      <c r="I161" s="269"/>
    </row>
    <row r="162" spans="1:9" x14ac:dyDescent="0.2">
      <c r="A162" s="269"/>
      <c r="B162" s="269"/>
      <c r="C162" s="457"/>
      <c r="D162" s="337"/>
      <c r="E162" s="303" t="str">
        <f>IF(COUNT(E161,E163)=2,IF(E161&gt;E163,C161,C163),"")</f>
        <v>Jaan Saar, Liidia Põllu</v>
      </c>
      <c r="F162" s="269"/>
      <c r="G162" s="301">
        <v>13</v>
      </c>
      <c r="H162" s="269"/>
      <c r="I162" s="269"/>
    </row>
    <row r="163" spans="1:9" x14ac:dyDescent="0.2">
      <c r="A163" s="269"/>
      <c r="B163" s="269"/>
      <c r="C163" s="456" t="str">
        <f>IF(COUNT(C144,C146)=2,IF(C144&lt;C146,B144,B146),"")</f>
        <v>Illar Tõnurist, Klavdia Piik</v>
      </c>
      <c r="D163" s="458"/>
      <c r="E163" s="304">
        <v>2</v>
      </c>
      <c r="F163" s="337"/>
      <c r="G163" s="301"/>
      <c r="H163" s="269"/>
      <c r="I163" s="269"/>
    </row>
    <row r="164" spans="1:9" ht="13.5" thickBot="1" x14ac:dyDescent="0.25">
      <c r="A164" s="269"/>
      <c r="B164" s="269"/>
      <c r="C164" s="301"/>
      <c r="D164" s="301"/>
      <c r="E164" s="269"/>
      <c r="F164" s="309"/>
      <c r="G164" s="301"/>
      <c r="H164" s="452" t="str">
        <f>IF(COUNT(G162,G166)=2,IF(G162&gt;G166,E162,E166),"")</f>
        <v>Jaan Saar, Liidia Põllu</v>
      </c>
      <c r="I164" s="269"/>
    </row>
    <row r="165" spans="1:9" x14ac:dyDescent="0.2">
      <c r="A165" s="269"/>
      <c r="B165" s="269"/>
      <c r="C165" s="456" t="str">
        <f>IF(COUNT(C148,C150)=2,IF(C148&lt;C150,B148,B150),"")</f>
        <v>Aarne Välja, Janek Tarto</v>
      </c>
      <c r="D165" s="301"/>
      <c r="E165" s="651">
        <v>0</v>
      </c>
      <c r="F165" s="642"/>
      <c r="G165" s="310"/>
      <c r="H165" s="290" t="s">
        <v>212</v>
      </c>
      <c r="I165" s="453"/>
    </row>
    <row r="166" spans="1:9" x14ac:dyDescent="0.2">
      <c r="A166" s="269"/>
      <c r="B166" s="269"/>
      <c r="C166" s="457"/>
      <c r="D166" s="337"/>
      <c r="E166" s="303" t="str">
        <f>IF(COUNT(E165,E167)=2,IF(E165&gt;E167,C165,C167),"")</f>
        <v>Aurelia Meldre, Veroonika Mendes</v>
      </c>
      <c r="F166" s="451"/>
      <c r="G166" s="304">
        <v>7</v>
      </c>
      <c r="H166" s="269"/>
      <c r="I166" s="269"/>
    </row>
    <row r="167" spans="1:9" ht="13.5" thickBot="1" x14ac:dyDescent="0.25">
      <c r="A167" s="269"/>
      <c r="B167" s="269"/>
      <c r="C167" s="456" t="str">
        <f>IF(COUNT(C152,C154)=2,IF(C152&lt;C154,B152,B154),"")</f>
        <v>Aurelia Meldre, Veroonika Mendes</v>
      </c>
      <c r="D167" s="458"/>
      <c r="E167" s="304">
        <v>13</v>
      </c>
      <c r="F167" s="301"/>
      <c r="G167" s="308"/>
      <c r="H167" s="452" t="str">
        <f>IF(COUNT(G162,G166)=2,IF(G162&lt;G166,E162,E166),"")</f>
        <v>Aurelia Meldre, Veroonika Mendes</v>
      </c>
      <c r="I167" s="454"/>
    </row>
    <row r="168" spans="1:9" x14ac:dyDescent="0.2">
      <c r="A168" s="269"/>
      <c r="B168" s="269"/>
      <c r="C168" s="301"/>
      <c r="D168" s="301"/>
      <c r="E168" s="301"/>
      <c r="F168" s="301"/>
      <c r="G168" s="308"/>
      <c r="H168" s="290" t="s">
        <v>213</v>
      </c>
      <c r="I168" s="287"/>
    </row>
    <row r="169" spans="1:9" x14ac:dyDescent="0.2">
      <c r="A169" s="269"/>
      <c r="B169" s="269"/>
      <c r="C169" s="301"/>
      <c r="D169" s="308"/>
      <c r="E169" s="284" t="str">
        <f>IF(COUNT(E161,E163)=2,IF(E161&lt;E163,C161,C163),"")</f>
        <v>Illar Tõnurist, Klavdia Piik</v>
      </c>
      <c r="F169" s="269"/>
      <c r="G169" s="301">
        <v>13</v>
      </c>
      <c r="H169" s="287"/>
      <c r="I169" s="287"/>
    </row>
    <row r="170" spans="1:9" ht="13.5" thickBot="1" x14ac:dyDescent="0.25">
      <c r="A170" s="269"/>
      <c r="B170" s="269"/>
      <c r="C170" s="301"/>
      <c r="D170" s="308"/>
      <c r="E170" s="455"/>
      <c r="F170" s="336"/>
      <c r="G170" s="454"/>
      <c r="H170" s="452" t="str">
        <f>IF(COUNT(G169,G171)=2,IF(G169&gt;G171,E169,E171),"")</f>
        <v>Illar Tõnurist, Klavdia Piik</v>
      </c>
      <c r="I170" s="454"/>
    </row>
    <row r="171" spans="1:9" x14ac:dyDescent="0.2">
      <c r="A171" s="269"/>
      <c r="B171" s="269"/>
      <c r="C171" s="301"/>
      <c r="D171" s="308"/>
      <c r="E171" s="456" t="str">
        <f>IF(COUNT(E165,E167)=2,IF(E165&lt;E167,C165,C167),"")</f>
        <v>Aarne Välja, Janek Tarto</v>
      </c>
      <c r="F171" s="451"/>
      <c r="G171" s="652">
        <v>0</v>
      </c>
      <c r="H171" s="290" t="s">
        <v>216</v>
      </c>
      <c r="I171" s="287"/>
    </row>
    <row r="172" spans="1:9" x14ac:dyDescent="0.2">
      <c r="A172" s="269"/>
      <c r="B172" s="269"/>
      <c r="C172" s="269"/>
      <c r="D172" s="287"/>
      <c r="E172" s="269"/>
      <c r="F172" s="269"/>
      <c r="G172" s="269"/>
      <c r="H172" s="287"/>
      <c r="I172" s="287"/>
    </row>
    <row r="173" spans="1:9" ht="13.5" thickBot="1" x14ac:dyDescent="0.25">
      <c r="A173" s="269"/>
      <c r="B173" s="269"/>
      <c r="C173" s="269"/>
      <c r="D173" s="269"/>
      <c r="E173" s="287"/>
      <c r="F173" s="287"/>
      <c r="G173" s="269"/>
      <c r="H173" s="454" t="str">
        <f>IF(COUNT(G169,G171)=2,IF(G169&lt;G171,E169,E171),"")</f>
        <v>Aarne Välja, Janek Tarto</v>
      </c>
      <c r="I173" s="454"/>
    </row>
    <row r="174" spans="1:9" x14ac:dyDescent="0.2">
      <c r="A174" s="80"/>
      <c r="B174" s="140"/>
      <c r="C174" s="285"/>
      <c r="D174" s="285"/>
      <c r="E174" s="285"/>
      <c r="F174" s="285"/>
      <c r="G174" s="323"/>
      <c r="H174" s="290" t="s">
        <v>217</v>
      </c>
      <c r="I174" s="79"/>
    </row>
    <row r="175" spans="1:9" hidden="1" x14ac:dyDescent="0.2">
      <c r="A175" s="151"/>
    </row>
    <row r="176" spans="1:9"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3" hidden="1" x14ac:dyDescent="0.2"/>
    <row r="290" spans="1:3" hidden="1" x14ac:dyDescent="0.2"/>
    <row r="291" spans="1:3" hidden="1" x14ac:dyDescent="0.2"/>
    <row r="292" spans="1:3" hidden="1" x14ac:dyDescent="0.2"/>
    <row r="293" spans="1:3" hidden="1" x14ac:dyDescent="0.2"/>
    <row r="294" spans="1:3" hidden="1" x14ac:dyDescent="0.2"/>
    <row r="295" spans="1:3" hidden="1" x14ac:dyDescent="0.2"/>
    <row r="296" spans="1:3" hidden="1" x14ac:dyDescent="0.2"/>
    <row r="297" spans="1:3" hidden="1" x14ac:dyDescent="0.2"/>
    <row r="299" spans="1:3" x14ac:dyDescent="0.2">
      <c r="A299" s="271"/>
      <c r="B299" s="271"/>
      <c r="C299" s="401" t="s">
        <v>248</v>
      </c>
    </row>
    <row r="300" spans="1:3" x14ac:dyDescent="0.2">
      <c r="A300" s="530">
        <v>1</v>
      </c>
      <c r="B300" s="529" t="str">
        <f t="shared" ref="B300:B314" si="9">IFERROR(INDEX(H$100:H$300,MATCH(A300&amp;". koht",H$101:H$301,0)),"")</f>
        <v>Kenneth Muusikus, Mait Metsla</v>
      </c>
      <c r="C300" s="499">
        <f t="shared" ref="C300:C314" si="10">IF(21-A300&gt;0,21-A300,1)</f>
        <v>20</v>
      </c>
    </row>
    <row r="301" spans="1:3" x14ac:dyDescent="0.2">
      <c r="A301" s="530">
        <v>2</v>
      </c>
      <c r="B301" s="529" t="str">
        <f t="shared" si="9"/>
        <v>Aigi Orro, Kalle Orro</v>
      </c>
      <c r="C301" s="499">
        <f t="shared" si="10"/>
        <v>19</v>
      </c>
    </row>
    <row r="302" spans="1:3" x14ac:dyDescent="0.2">
      <c r="A302" s="530">
        <v>3</v>
      </c>
      <c r="B302" s="529" t="str">
        <f t="shared" si="9"/>
        <v>Andrei Grintšak, Boriss Klubov</v>
      </c>
      <c r="C302" s="499">
        <f t="shared" si="10"/>
        <v>18</v>
      </c>
    </row>
    <row r="303" spans="1:3" x14ac:dyDescent="0.2">
      <c r="A303" s="530">
        <v>4</v>
      </c>
      <c r="B303" s="529" t="str">
        <f t="shared" si="9"/>
        <v>Matti Vinni, Vladimir Ogneštšikov</v>
      </c>
      <c r="C303" s="499">
        <f t="shared" si="10"/>
        <v>17</v>
      </c>
    </row>
    <row r="304" spans="1:3" x14ac:dyDescent="0.2">
      <c r="A304" s="530">
        <v>5</v>
      </c>
      <c r="B304" s="529" t="str">
        <f t="shared" si="9"/>
        <v>Karla Purgats, Lemmit Toomra</v>
      </c>
      <c r="C304" s="499">
        <f t="shared" si="10"/>
        <v>16</v>
      </c>
    </row>
    <row r="305" spans="1:3" x14ac:dyDescent="0.2">
      <c r="A305" s="530">
        <v>6</v>
      </c>
      <c r="B305" s="529" t="str">
        <f t="shared" si="9"/>
        <v>Jaan Sepp, Oskar Sepp</v>
      </c>
      <c r="C305" s="499">
        <f t="shared" si="10"/>
        <v>15</v>
      </c>
    </row>
    <row r="306" spans="1:3" x14ac:dyDescent="0.2">
      <c r="A306" s="530">
        <v>7</v>
      </c>
      <c r="B306" s="529" t="str">
        <f t="shared" si="9"/>
        <v>Andres Veski, Meelis Luud</v>
      </c>
      <c r="C306" s="499">
        <f t="shared" si="10"/>
        <v>14</v>
      </c>
    </row>
    <row r="307" spans="1:3" x14ac:dyDescent="0.2">
      <c r="A307" s="530">
        <v>8</v>
      </c>
      <c r="B307" s="529" t="str">
        <f t="shared" si="9"/>
        <v>Peep Peenema, Tõnu Piik</v>
      </c>
      <c r="C307" s="499">
        <f t="shared" si="10"/>
        <v>13</v>
      </c>
    </row>
    <row r="308" spans="1:3" x14ac:dyDescent="0.2">
      <c r="A308" s="530">
        <v>9</v>
      </c>
      <c r="B308" s="529" t="str">
        <f t="shared" si="9"/>
        <v>Margus Vasser, Vello Vasser</v>
      </c>
      <c r="C308" s="499">
        <f t="shared" si="10"/>
        <v>12</v>
      </c>
    </row>
    <row r="309" spans="1:3" x14ac:dyDescent="0.2">
      <c r="A309" s="530">
        <v>10</v>
      </c>
      <c r="B309" s="529" t="str">
        <f t="shared" si="9"/>
        <v>Kaspar Mänd, Urmas Randlaine</v>
      </c>
      <c r="C309" s="499">
        <f t="shared" si="10"/>
        <v>11</v>
      </c>
    </row>
    <row r="310" spans="1:3" x14ac:dyDescent="0.2">
      <c r="A310" s="530">
        <v>11</v>
      </c>
      <c r="B310" s="529" t="str">
        <f t="shared" si="9"/>
        <v>Enn Tokman, Tarmo Bombe</v>
      </c>
      <c r="C310" s="499">
        <f t="shared" si="10"/>
        <v>10</v>
      </c>
    </row>
    <row r="311" spans="1:3" x14ac:dyDescent="0.2">
      <c r="A311" s="530">
        <v>12</v>
      </c>
      <c r="B311" s="529" t="str">
        <f t="shared" si="9"/>
        <v>Sander Skrabutenas, Veronika Pirk</v>
      </c>
      <c r="C311" s="499">
        <f t="shared" si="10"/>
        <v>9</v>
      </c>
    </row>
    <row r="312" spans="1:3" x14ac:dyDescent="0.2">
      <c r="A312" s="530">
        <v>13</v>
      </c>
      <c r="B312" s="529" t="str">
        <f t="shared" si="9"/>
        <v>Jaan Saar, Liidia Põllu</v>
      </c>
      <c r="C312" s="499">
        <f t="shared" si="10"/>
        <v>8</v>
      </c>
    </row>
    <row r="313" spans="1:3" x14ac:dyDescent="0.2">
      <c r="A313" s="530">
        <v>14</v>
      </c>
      <c r="B313" s="529" t="str">
        <f t="shared" si="9"/>
        <v>Aurelia Meldre, Veroonika Mendes</v>
      </c>
      <c r="C313" s="499">
        <f t="shared" si="10"/>
        <v>7</v>
      </c>
    </row>
    <row r="314" spans="1:3" x14ac:dyDescent="0.2">
      <c r="A314" s="530">
        <v>15</v>
      </c>
      <c r="B314" s="529" t="str">
        <f t="shared" si="9"/>
        <v>Illar Tõnurist, Klavdia Piik</v>
      </c>
      <c r="C314" s="499">
        <f t="shared" si="10"/>
        <v>6</v>
      </c>
    </row>
    <row r="315" spans="1:3" x14ac:dyDescent="0.2">
      <c r="A315" s="530">
        <v>16</v>
      </c>
      <c r="B315" s="529" t="str">
        <f t="shared" ref="B315" si="11">IFERROR(INDEX(H$100:H$300,MATCH(A315&amp;". koht",H$101:H$301,0)),"")</f>
        <v>Aarne Välja, Janek Tarto</v>
      </c>
      <c r="C315" s="499">
        <f t="shared" ref="C315" si="12">IF(21-A315&gt;0,21-A315,1)</f>
        <v>5</v>
      </c>
    </row>
  </sheetData>
  <conditionalFormatting sqref="B315">
    <cfRule type="expression" dxfId="3828" priority="498">
      <formula>A315=3</formula>
    </cfRule>
    <cfRule type="expression" dxfId="3827" priority="499">
      <formula>A315=2</formula>
    </cfRule>
    <cfRule type="expression" dxfId="3826" priority="500">
      <formula>A315=1</formula>
    </cfRule>
    <cfRule type="containsBlanks" dxfId="3825" priority="501">
      <formula>LEN(TRIM(B315))=0</formula>
    </cfRule>
    <cfRule type="duplicateValues" dxfId="3824" priority="502"/>
  </conditionalFormatting>
  <conditionalFormatting sqref="D7 C8">
    <cfRule type="aboveAverage" dxfId="3823" priority="474"/>
  </conditionalFormatting>
  <conditionalFormatting sqref="E7 C9">
    <cfRule type="aboveAverage" dxfId="3822" priority="473"/>
  </conditionalFormatting>
  <conditionalFormatting sqref="F7 C10">
    <cfRule type="aboveAverage" dxfId="3821" priority="472"/>
  </conditionalFormatting>
  <conditionalFormatting sqref="E8 D9">
    <cfRule type="aboveAverage" dxfId="3820" priority="471"/>
  </conditionalFormatting>
  <conditionalFormatting sqref="G7 C11">
    <cfRule type="aboveAverage" dxfId="3819" priority="470"/>
  </conditionalFormatting>
  <conditionalFormatting sqref="F8 D10">
    <cfRule type="aboveAverage" dxfId="3818" priority="469"/>
  </conditionalFormatting>
  <conditionalFormatting sqref="G8 D11">
    <cfRule type="aboveAverage" dxfId="3817" priority="468"/>
  </conditionalFormatting>
  <conditionalFormatting sqref="F9 E10">
    <cfRule type="aboveAverage" dxfId="3816" priority="467"/>
  </conditionalFormatting>
  <conditionalFormatting sqref="G9 E11">
    <cfRule type="aboveAverage" dxfId="3815" priority="466"/>
  </conditionalFormatting>
  <conditionalFormatting sqref="F11 G10">
    <cfRule type="aboveAverage" dxfId="3814" priority="465"/>
  </conditionalFormatting>
  <conditionalFormatting sqref="D14 C15">
    <cfRule type="aboveAverage" dxfId="3813" priority="464"/>
  </conditionalFormatting>
  <conditionalFormatting sqref="E14 C16">
    <cfRule type="aboveAverage" dxfId="3812" priority="463"/>
  </conditionalFormatting>
  <conditionalFormatting sqref="F14 C17">
    <cfRule type="aboveAverage" dxfId="3811" priority="462"/>
  </conditionalFormatting>
  <conditionalFormatting sqref="E15 D16">
    <cfRule type="aboveAverage" dxfId="3810" priority="461"/>
  </conditionalFormatting>
  <conditionalFormatting sqref="G14 C18">
    <cfRule type="aboveAverage" dxfId="3809" priority="460"/>
  </conditionalFormatting>
  <conditionalFormatting sqref="F15 D17">
    <cfRule type="aboveAverage" dxfId="3808" priority="459"/>
  </conditionalFormatting>
  <conditionalFormatting sqref="G15 D18">
    <cfRule type="aboveAverage" dxfId="3807" priority="458"/>
  </conditionalFormatting>
  <conditionalFormatting sqref="F16 E17">
    <cfRule type="aboveAverage" dxfId="3806" priority="457"/>
  </conditionalFormatting>
  <conditionalFormatting sqref="G16 E18">
    <cfRule type="aboveAverage" dxfId="3805" priority="456"/>
  </conditionalFormatting>
  <conditionalFormatting sqref="F18 G17">
    <cfRule type="aboveAverage" dxfId="3804" priority="455"/>
  </conditionalFormatting>
  <conditionalFormatting sqref="D21 C22">
    <cfRule type="aboveAverage" dxfId="3803" priority="454"/>
  </conditionalFormatting>
  <conditionalFormatting sqref="E21 C23">
    <cfRule type="aboveAverage" dxfId="3802" priority="453"/>
  </conditionalFormatting>
  <conditionalFormatting sqref="F21 C24">
    <cfRule type="aboveAverage" dxfId="3801" priority="452"/>
  </conditionalFormatting>
  <conditionalFormatting sqref="E22 D23">
    <cfRule type="aboveAverage" dxfId="3800" priority="451"/>
  </conditionalFormatting>
  <conditionalFormatting sqref="G21 C25">
    <cfRule type="aboveAverage" dxfId="3799" priority="450"/>
  </conditionalFormatting>
  <conditionalFormatting sqref="F22 D24">
    <cfRule type="aboveAverage" dxfId="3798" priority="449"/>
  </conditionalFormatting>
  <conditionalFormatting sqref="G22 D25">
    <cfRule type="aboveAverage" dxfId="3797" priority="448"/>
  </conditionalFormatting>
  <conditionalFormatting sqref="F23 E24">
    <cfRule type="aboveAverage" dxfId="3796" priority="447"/>
  </conditionalFormatting>
  <conditionalFormatting sqref="G23 E25">
    <cfRule type="aboveAverage" dxfId="3795" priority="446"/>
  </conditionalFormatting>
  <conditionalFormatting sqref="F25 G24">
    <cfRule type="aboveAverage" dxfId="3794" priority="445"/>
  </conditionalFormatting>
  <conditionalFormatting sqref="D28 C29">
    <cfRule type="aboveAverage" dxfId="3793" priority="444"/>
  </conditionalFormatting>
  <conditionalFormatting sqref="E28 C30">
    <cfRule type="aboveAverage" dxfId="3792" priority="443"/>
  </conditionalFormatting>
  <conditionalFormatting sqref="F28 C31">
    <cfRule type="aboveAverage" dxfId="3791" priority="442"/>
  </conditionalFormatting>
  <conditionalFormatting sqref="E29 D30">
    <cfRule type="aboveAverage" dxfId="3790" priority="441"/>
  </conditionalFormatting>
  <conditionalFormatting sqref="G28 C32">
    <cfRule type="aboveAverage" dxfId="3789" priority="440"/>
  </conditionalFormatting>
  <conditionalFormatting sqref="F29 D31">
    <cfRule type="aboveAverage" dxfId="3788" priority="439"/>
  </conditionalFormatting>
  <conditionalFormatting sqref="G29 D32">
    <cfRule type="aboveAverage" dxfId="3787" priority="438"/>
  </conditionalFormatting>
  <conditionalFormatting sqref="F30 E31">
    <cfRule type="aboveAverage" dxfId="3786" priority="437"/>
  </conditionalFormatting>
  <conditionalFormatting sqref="G30 E32">
    <cfRule type="aboveAverage" dxfId="3785" priority="436"/>
  </conditionalFormatting>
  <conditionalFormatting sqref="F32 G31">
    <cfRule type="aboveAverage" dxfId="3784" priority="435"/>
  </conditionalFormatting>
  <conditionalFormatting sqref="H14:H18">
    <cfRule type="expression" dxfId="3783" priority="325">
      <formula>AND(Q14=4,IF(COUNTIF(Q$14:Q$18,"=4")&gt;=2,TRUE))</formula>
    </cfRule>
    <cfRule type="expression" dxfId="3782" priority="475">
      <formula>AND(Q14=3,IF(COUNTIF(Q$14:Q$18,"=3")&gt;=2,TRUE))</formula>
    </cfRule>
    <cfRule type="expression" dxfId="3781" priority="476">
      <formula>AND(Q14=2,IF(COUNTIF(Q$14:Q$18,"=2")&gt;=2,TRUE))</formula>
    </cfRule>
    <cfRule type="expression" dxfId="3780" priority="477">
      <formula>AND(Q14=1,IF(COUNTIF(Q$14:Q$18,"=1")&gt;=2,TRUE))</formula>
    </cfRule>
  </conditionalFormatting>
  <conditionalFormatting sqref="B7:B33">
    <cfRule type="duplicateValues" dxfId="3779" priority="380"/>
  </conditionalFormatting>
  <conditionalFormatting sqref="L7:L11">
    <cfRule type="expression" dxfId="3778" priority="363">
      <formula>K7=0</formula>
    </cfRule>
    <cfRule type="expression" dxfId="3777" priority="372">
      <formula>IF(COUNTIF(J$7:J$11,"=2")=2,TRUE)</formula>
    </cfRule>
    <cfRule type="expression" dxfId="3776" priority="373">
      <formula>IF(COUNTIF(J$7:J$11,"=1")=2,TRUE)</formula>
    </cfRule>
    <cfRule type="expression" dxfId="3775" priority="374">
      <formula>AND(IF(COUNTIF(Q$7:Q$11,"=1")=2,TRUE),IF(COUNTIF(Q$7:Q$11,"=2")=2,TRUE))</formula>
    </cfRule>
    <cfRule type="expression" dxfId="3774" priority="375">
      <formula>AND(Q7=4,IF(COUNTIF(Q$7:Q$11,"=4")=1,TRUE))</formula>
    </cfRule>
    <cfRule type="expression" dxfId="3773" priority="376">
      <formula>AND(Q7=3,IF(COUNTIF(Q$7:Q$11,"=3")=1,TRUE))</formula>
    </cfRule>
    <cfRule type="expression" dxfId="3772" priority="377">
      <formula>AND(Q7=2,IF(COUNTIF(Q$7:Q$11,"=2")=1,TRUE))</formula>
    </cfRule>
    <cfRule type="expression" dxfId="3771" priority="378">
      <formula>AND(Q7=1,IF(COUNTIF(Q$7:Q$11,"=1")=1,TRUE))</formula>
    </cfRule>
    <cfRule type="expression" dxfId="3770" priority="379">
      <formula>OR(Q7=0,Q7=5)</formula>
    </cfRule>
  </conditionalFormatting>
  <conditionalFormatting sqref="O7:O11">
    <cfRule type="expression" dxfId="3769" priority="371">
      <formula>OR(AND(J7=1,K7=1,L7=0,M7=1),AND(J7=2,K7=2,L7=0,M7=2))</formula>
    </cfRule>
  </conditionalFormatting>
  <conditionalFormatting sqref="M7:M11">
    <cfRule type="expression" dxfId="3768" priority="364">
      <formula>AND(L7&gt;0,IF(COUNTIF(L$7:L$11,L7)&gt;1,TRUE,FALSE))</formula>
    </cfRule>
    <cfRule type="expression" dxfId="3767" priority="365">
      <formula>AND(IF(COUNTIF(R$7:R$11,"=1")=2,TRUE),IF(COUNTIF(R$7:R$11,"=2")=2,TRUE))</formula>
    </cfRule>
    <cfRule type="expression" dxfId="3766" priority="366">
      <formula>AND(R7=4,IF(COUNTIF(R$7:R$11,"=4")=1,TRUE))</formula>
    </cfRule>
    <cfRule type="expression" dxfId="3765" priority="367">
      <formula>AND(R7=3,IF(COUNTIF(R$7:R$11,"=3")=1,TRUE))</formula>
    </cfRule>
    <cfRule type="expression" dxfId="3764" priority="368">
      <formula>AND(R7=2,IF(COUNTIF(R$7:R$11,"=2")=1,TRUE))</formula>
    </cfRule>
    <cfRule type="expression" dxfId="3763" priority="369">
      <formula>AND(R7=1,IF(COUNTIF(R$7:R$11,"=1")=1,TRUE))</formula>
    </cfRule>
    <cfRule type="expression" dxfId="3762" priority="370">
      <formula>OR(R7=0,R7=5)</formula>
    </cfRule>
  </conditionalFormatting>
  <conditionalFormatting sqref="J7:J11">
    <cfRule type="expression" dxfId="3761" priority="359">
      <formula>AND(Q7=4,IF(COUNTIF(Q$7:Q$11,"=4")&gt;=2,TRUE))</formula>
    </cfRule>
    <cfRule type="expression" dxfId="3760" priority="360">
      <formula>AND(Q7=3,IF(COUNTIF(Q$7:Q$11,"=3")&gt;=2,TRUE))</formula>
    </cfRule>
    <cfRule type="expression" dxfId="3759" priority="361">
      <formula>AND(Q7=2,IF(COUNTIF(Q$7:Q$11,"=2")&gt;=2,TRUE))</formula>
    </cfRule>
    <cfRule type="expression" dxfId="3758" priority="362">
      <formula>AND(Q7=1,IF(COUNTIF(Q$7:Q$11,"=1")&gt;=2,TRUE))</formula>
    </cfRule>
  </conditionalFormatting>
  <conditionalFormatting sqref="H7:H11">
    <cfRule type="expression" dxfId="3757" priority="326">
      <formula>AND(Q7=4,IF(COUNTIF(Q$7:Q$11,"=4")&gt;=2,TRUE))</formula>
    </cfRule>
    <cfRule type="expression" dxfId="3756" priority="478">
      <formula>AND(Q7=3,IF(COUNTIF(Q$7:Q$11,"=3")&gt;=2,TRUE))</formula>
    </cfRule>
    <cfRule type="expression" dxfId="3755" priority="479">
      <formula>AND(Q7=2,IF(COUNTIF(Q$7:Q$11,"=2")&gt;=2,TRUE))</formula>
    </cfRule>
    <cfRule type="expression" dxfId="3754" priority="480">
      <formula>AND(Q7=1,IF(COUNTIF(Q$7:Q$11,"=1")&gt;=2,TRUE))</formula>
    </cfRule>
  </conditionalFormatting>
  <conditionalFormatting sqref="K7:K11">
    <cfRule type="expression" dxfId="3753" priority="481">
      <formula>AND(J7&gt;0,IF(COUNTIF(J$7:J$11,"=1")=2,TRUE),IF(COUNTIF(J$7:J$11,"=2")=2,TRUE))</formula>
    </cfRule>
    <cfRule type="expression" dxfId="3752" priority="482">
      <formula>IF(COUNTIF(L$7:L$11,"=2")=2,TRUE)</formula>
    </cfRule>
    <cfRule type="expression" dxfId="3751" priority="483">
      <formula>IF(COUNTIF(L$7:L$11,"=1")=2,TRUE)</formula>
    </cfRule>
    <cfRule type="expression" dxfId="3750" priority="484">
      <formula>AND(IF(COUNTIF(R$7:R$11,"=1")=2,TRUE),IF(COUNTIF(S$7:S$11,"=2")=2,TRUE))</formula>
    </cfRule>
    <cfRule type="expression" dxfId="3749" priority="485">
      <formula>AND(R7=4,IF(COUNTIF(R$7:R$11,"=4")=1,TRUE))</formula>
    </cfRule>
    <cfRule type="expression" dxfId="3748" priority="486">
      <formula>AND(R7=3,IF(COUNTIF(R$7:R$11,"=3")=1,TRUE))</formula>
    </cfRule>
    <cfRule type="expression" dxfId="3747" priority="487">
      <formula>AND(R7=2,IF(COUNTIF(R$7:R$11,"=2")=1,TRUE))</formula>
    </cfRule>
    <cfRule type="expression" dxfId="3746" priority="488">
      <formula>AND(R7=1,IF(COUNTIF(R$7:R$11,"=1")=1,TRUE))</formula>
    </cfRule>
    <cfRule type="expression" dxfId="3745" priority="489">
      <formula>OR(R7=0,R7=5)</formula>
    </cfRule>
  </conditionalFormatting>
  <conditionalFormatting sqref="L14:L18">
    <cfRule type="expression" dxfId="3744" priority="331">
      <formula>K14=0</formula>
    </cfRule>
    <cfRule type="expression" dxfId="3743" priority="340">
      <formula>IF(COUNTIF(J$14:J$18,"=2")=2,TRUE)</formula>
    </cfRule>
    <cfRule type="expression" dxfId="3742" priority="341">
      <formula>IF(COUNTIF(J$14:J$18,"=1")=2,TRUE)</formula>
    </cfRule>
    <cfRule type="expression" dxfId="3741" priority="342">
      <formula>AND(IF(COUNTIF(Q$14:Q$18,"=1")=2,TRUE),IF(COUNTIF(Q$14:Q$18,"=2")=2,TRUE))</formula>
    </cfRule>
    <cfRule type="expression" dxfId="3740" priority="343">
      <formula>AND(Q14=4,IF(COUNTIF(Q$14:Q$18,"=4")=1,TRUE))</formula>
    </cfRule>
    <cfRule type="expression" dxfId="3739" priority="344">
      <formula>AND(Q14=3,IF(COUNTIF(Q$14:Q$18,"=3")=1,TRUE))</formula>
    </cfRule>
    <cfRule type="expression" dxfId="3738" priority="345">
      <formula>AND(Q14=2,IF(COUNTIF(Q$14:Q$18,"=2")=1,TRUE))</formula>
    </cfRule>
    <cfRule type="expression" dxfId="3737" priority="346">
      <formula>AND(Q14=1,IF(COUNTIF(Q$14:Q$18,"=1")=1,TRUE))</formula>
    </cfRule>
    <cfRule type="expression" dxfId="3736" priority="347">
      <formula>OR(Q14=0,Q14=5)</formula>
    </cfRule>
  </conditionalFormatting>
  <conditionalFormatting sqref="O14:O18">
    <cfRule type="expression" dxfId="3735" priority="339">
      <formula>OR(AND(J14=1,K14=1,L14=0,M14=1),AND(J14=2,K14=2,L14=0,M14=2))</formula>
    </cfRule>
  </conditionalFormatting>
  <conditionalFormatting sqref="M14:M18">
    <cfRule type="expression" dxfId="3734" priority="332">
      <formula>AND(L14&gt;0,IF(COUNTIF(L$14:L$18,L14)&gt;1,TRUE,FALSE))</formula>
    </cfRule>
    <cfRule type="expression" dxfId="3733" priority="333">
      <formula>AND(IF(COUNTIF(R$14:R$18,"=1")=2,TRUE),IF(COUNTIF(R$14:R$18,"=2")=2,TRUE))</formula>
    </cfRule>
    <cfRule type="expression" dxfId="3732" priority="334">
      <formula>AND(R14=4,IF(COUNTIF(R$14:R$18,"=4")=1,TRUE))</formula>
    </cfRule>
    <cfRule type="expression" dxfId="3731" priority="335">
      <formula>AND(R14=3,IF(COUNTIF(R$14:R$18,"=3")=1,TRUE))</formula>
    </cfRule>
    <cfRule type="expression" dxfId="3730" priority="336">
      <formula>AND(R14=2,IF(COUNTIF(R$14:R$18,"=2")=1,TRUE))</formula>
    </cfRule>
    <cfRule type="expression" dxfId="3729" priority="337">
      <formula>AND(R14=1,IF(COUNTIF(R$14:R$18,"=1")=1,TRUE))</formula>
    </cfRule>
    <cfRule type="expression" dxfId="3728" priority="338">
      <formula>OR(R14=0,R14=5)</formula>
    </cfRule>
  </conditionalFormatting>
  <conditionalFormatting sqref="J14:J18">
    <cfRule type="expression" dxfId="3727" priority="327">
      <formula>AND(Q14=4,IF(COUNTIF(Q$14:Q$18,"=4")&gt;=2,TRUE))</formula>
    </cfRule>
    <cfRule type="expression" dxfId="3726" priority="328">
      <formula>AND(Q14=3,IF(COUNTIF(Q$14:Q$18,"=3")&gt;=2,TRUE))</formula>
    </cfRule>
    <cfRule type="expression" dxfId="3725" priority="329">
      <formula>AND(Q14=2,IF(COUNTIF(Q$14:Q$18,"=2")&gt;=2,TRUE))</formula>
    </cfRule>
    <cfRule type="expression" dxfId="3724" priority="330">
      <formula>AND(Q14=1,IF(COUNTIF(Q$14:Q$18,"=1")&gt;=2,TRUE))</formula>
    </cfRule>
  </conditionalFormatting>
  <conditionalFormatting sqref="K14:K18">
    <cfRule type="expression" dxfId="3723" priority="350">
      <formula>AND(J14&gt;0,IF(COUNTIF(J$14:J$18,"=1")=2,TRUE),IF(COUNTIF(J$14:J$18,"=2")=2,TRUE))</formula>
    </cfRule>
    <cfRule type="expression" dxfId="3722" priority="351">
      <formula>IF(COUNTIF(L$14:L$18,"=2")=2,TRUE)</formula>
    </cfRule>
    <cfRule type="expression" dxfId="3721" priority="352">
      <formula>IF(COUNTIF(L$14:L$18,"=1")=2,TRUE)</formula>
    </cfRule>
    <cfRule type="expression" dxfId="3720" priority="353">
      <formula>AND(IF(COUNTIF(R$14:R$18,"=1")=2,TRUE),IF(COUNTIF(S$14:S$18,"=2")=2,TRUE))</formula>
    </cfRule>
    <cfRule type="expression" dxfId="3719" priority="354">
      <formula>AND(R14=4,IF(COUNTIF(R$14:R$18,"=4")=1,TRUE))</formula>
    </cfRule>
    <cfRule type="expression" dxfId="3718" priority="355">
      <formula>AND(R14=3,IF(COUNTIF(R$14:R$18,"=3")=1,TRUE))</formula>
    </cfRule>
    <cfRule type="expression" dxfId="3717" priority="356">
      <formula>AND(R14=2,IF(COUNTIF(R$14:R$18,"=2")=1,TRUE))</formula>
    </cfRule>
    <cfRule type="expression" dxfId="3716" priority="357">
      <formula>AND(R14=1,IF(COUNTIF(R$14:R$18,"=1")=1,TRUE))</formula>
    </cfRule>
    <cfRule type="expression" dxfId="3715" priority="358">
      <formula>OR(R14=0,R14=5)</formula>
    </cfRule>
  </conditionalFormatting>
  <conditionalFormatting sqref="L21:L25">
    <cfRule type="expression" dxfId="3714" priority="299">
      <formula>K21=0</formula>
    </cfRule>
    <cfRule type="expression" dxfId="3713" priority="308">
      <formula>IF(COUNTIF(J$21:J$25,"=2")=2,TRUE)</formula>
    </cfRule>
    <cfRule type="expression" dxfId="3712" priority="309">
      <formula>IF(COUNTIF(J$21:J$25,"=1")=2,TRUE)</formula>
    </cfRule>
    <cfRule type="expression" dxfId="3711" priority="310">
      <formula>AND(IF(COUNTIF(Q$21:Q$25,"=1")=2,TRUE),IF(COUNTIF(Q$21:Q$25,"=2")=2,TRUE))</formula>
    </cfRule>
    <cfRule type="expression" dxfId="3710" priority="311">
      <formula>AND(Q21=4,IF(COUNTIF(Q$21:Q$25,"=4")=1,TRUE))</formula>
    </cfRule>
    <cfRule type="expression" dxfId="3709" priority="312">
      <formula>AND(Q21=3,IF(COUNTIF(Q$21:Q$25,"=3")=1,TRUE))</formula>
    </cfRule>
    <cfRule type="expression" dxfId="3708" priority="313">
      <formula>AND(Q21=2,IF(COUNTIF(Q$21:Q$25,"=2")=1,TRUE))</formula>
    </cfRule>
    <cfRule type="expression" dxfId="3707" priority="314">
      <formula>AND(Q21=1,IF(COUNTIF(Q$21:Q$25,"=1")=1,TRUE))</formula>
    </cfRule>
    <cfRule type="expression" dxfId="3706" priority="315">
      <formula>OR(Q21=0,Q21=5)</formula>
    </cfRule>
  </conditionalFormatting>
  <conditionalFormatting sqref="O21:O25">
    <cfRule type="expression" dxfId="3705" priority="307">
      <formula>OR(AND(J21=1,K21=1,L21=0,M21=1),AND(J21=2,K21=2,L21=0,M21=2))</formula>
    </cfRule>
  </conditionalFormatting>
  <conditionalFormatting sqref="M21:M25">
    <cfRule type="expression" dxfId="3704" priority="300">
      <formula>AND(L21&gt;0,IF(COUNTIF(L$21:L$25,L21)&gt;1,TRUE,FALSE))</formula>
    </cfRule>
    <cfRule type="expression" dxfId="3703" priority="301">
      <formula>AND(IF(COUNTIF(R$21:R$25,"=1")=2,TRUE),IF(COUNTIF(R$21:R$25,"=2")=2,TRUE))</formula>
    </cfRule>
    <cfRule type="expression" dxfId="3702" priority="302">
      <formula>AND(R21=4,IF(COUNTIF(R$21:R$25,"=4")=1,TRUE))</formula>
    </cfRule>
    <cfRule type="expression" dxfId="3701" priority="303">
      <formula>AND(R21=3,IF(COUNTIF(R$21:R$25,"=3")=1,TRUE))</formula>
    </cfRule>
    <cfRule type="expression" dxfId="3700" priority="304">
      <formula>AND(R21=2,IF(COUNTIF(R$21:R$25,"=2")=1,TRUE))</formula>
    </cfRule>
    <cfRule type="expression" dxfId="3699" priority="305">
      <formula>AND(R21=1,IF(COUNTIF(R$21:R$25,"=1")=1,TRUE))</formula>
    </cfRule>
    <cfRule type="expression" dxfId="3698" priority="306">
      <formula>OR(R21=0,R21=5)</formula>
    </cfRule>
  </conditionalFormatting>
  <conditionalFormatting sqref="J21:J25">
    <cfRule type="expression" dxfId="3697" priority="295">
      <formula>AND(Q21=4,IF(COUNTIF(Q$21:Q$25,"=4")&gt;=2,TRUE))</formula>
    </cfRule>
    <cfRule type="expression" dxfId="3696" priority="296">
      <formula>AND(Q21=3,IF(COUNTIF(Q$21:Q$25,"=3")&gt;=2,TRUE))</formula>
    </cfRule>
    <cfRule type="expression" dxfId="3695" priority="297">
      <formula>AND(Q21=2,IF(COUNTIF(Q$21:Q$25,"=2")&gt;=2,TRUE))</formula>
    </cfRule>
    <cfRule type="expression" dxfId="3694" priority="298">
      <formula>AND(Q21=1,IF(COUNTIF(Q$21:Q$25,"=1")&gt;=2,TRUE))</formula>
    </cfRule>
  </conditionalFormatting>
  <conditionalFormatting sqref="K21:K25">
    <cfRule type="expression" dxfId="3693" priority="316">
      <formula>AND(J21&gt;0,IF(COUNTIF(J$21:J$25,"=1")=2,TRUE),IF(COUNTIF(J$21:J$25,"=2")=2,TRUE))</formula>
    </cfRule>
    <cfRule type="expression" dxfId="3692" priority="317">
      <formula>IF(COUNTIF(L$21:L$25,"=2")=2,TRUE)</formula>
    </cfRule>
    <cfRule type="expression" dxfId="3691" priority="318">
      <formula>IF(COUNTIF(L$21:L$25,"=1")=2,TRUE)</formula>
    </cfRule>
    <cfRule type="expression" dxfId="3690" priority="319">
      <formula>AND(IF(COUNTIF(R$21:R$25,"=1")=2,TRUE),IF(COUNTIF(S$21:S$25,"=2")=2,TRUE))</formula>
    </cfRule>
    <cfRule type="expression" dxfId="3689" priority="320">
      <formula>AND(R21=4,IF(COUNTIF(R$21:R$25,"=4")=1,TRUE))</formula>
    </cfRule>
    <cfRule type="expression" dxfId="3688" priority="321">
      <formula>AND(R21=3,IF(COUNTIF(R$21:R$25,"=3")=1,TRUE))</formula>
    </cfRule>
    <cfRule type="expression" dxfId="3687" priority="322">
      <formula>AND(R21=2,IF(COUNTIF(R$21:R$25,"=2")=1,TRUE))</formula>
    </cfRule>
    <cfRule type="expression" dxfId="3686" priority="323">
      <formula>AND(R21=1,IF(COUNTIF(R$21:R$25,"=1")=1,TRUE))</formula>
    </cfRule>
    <cfRule type="expression" dxfId="3685" priority="324">
      <formula>OR(R21=0,R21=5)</formula>
    </cfRule>
  </conditionalFormatting>
  <conditionalFormatting sqref="H21:H25">
    <cfRule type="expression" dxfId="3684" priority="291">
      <formula>AND(Q21=4,IF(COUNTIF(Q$21:Q$25,"=4")&gt;=2,TRUE))</formula>
    </cfRule>
    <cfRule type="expression" dxfId="3683" priority="292">
      <formula>AND(Q21=3,IF(COUNTIF(Q$21:Q$25,"=3")&gt;=2,TRUE))</formula>
    </cfRule>
    <cfRule type="expression" dxfId="3682" priority="293">
      <formula>AND(Q21=2,IF(COUNTIF(Q$21:Q$25,"=2")&gt;=2,TRUE))</formula>
    </cfRule>
    <cfRule type="expression" dxfId="3681" priority="294">
      <formula>AND(Q21=1,IF(COUNTIF(Q$21:Q$25,"=1")&gt;=2,TRUE))</formula>
    </cfRule>
  </conditionalFormatting>
  <conditionalFormatting sqref="L28:L32">
    <cfRule type="expression" dxfId="3680" priority="265">
      <formula>K28=0</formula>
    </cfRule>
    <cfRule type="expression" dxfId="3679" priority="274">
      <formula>IF(COUNTIF(J$28:J$32,"=2")=2,TRUE)</formula>
    </cfRule>
    <cfRule type="expression" dxfId="3678" priority="275">
      <formula>IF(COUNTIF(J$28:J$32,"=1")=2,TRUE)</formula>
    </cfRule>
    <cfRule type="expression" dxfId="3677" priority="276">
      <formula>AND(IF(COUNTIF(Q$28:Q$32,"=1")=2,TRUE),IF(COUNTIF(Q$28:Q$32,"=2")=2,TRUE))</formula>
    </cfRule>
    <cfRule type="expression" dxfId="3676" priority="277">
      <formula>AND(Q28=4,IF(COUNTIF(Q$28:Q$32,"=4")=1,TRUE))</formula>
    </cfRule>
    <cfRule type="expression" dxfId="3675" priority="278">
      <formula>AND(Q28=3,IF(COUNTIF(Q$28:Q$32,"=3")=1,TRUE))</formula>
    </cfRule>
    <cfRule type="expression" dxfId="3674" priority="279">
      <formula>AND(Q28=2,IF(COUNTIF(Q$28:Q$32,"=2")=1,TRUE))</formula>
    </cfRule>
    <cfRule type="expression" dxfId="3673" priority="280">
      <formula>AND(Q28=1,IF(COUNTIF(Q$28:Q$32,"=1")=1,TRUE))</formula>
    </cfRule>
    <cfRule type="expression" dxfId="3672" priority="281">
      <formula>OR(Q28=0,Q28=5)</formula>
    </cfRule>
  </conditionalFormatting>
  <conditionalFormatting sqref="O28:O32">
    <cfRule type="expression" dxfId="3671" priority="273">
      <formula>OR(AND(J28=1,K28=1,L28=0,M28=1),AND(J28=2,K28=2,L28=0,M28=2))</formula>
    </cfRule>
  </conditionalFormatting>
  <conditionalFormatting sqref="M28:M32">
    <cfRule type="expression" dxfId="3670" priority="266">
      <formula>AND(L28&gt;0,IF(COUNTIF(L$28:L$32,L28)&gt;1,TRUE,FALSE))</formula>
    </cfRule>
    <cfRule type="expression" dxfId="3669" priority="267">
      <formula>AND(IF(COUNTIF(R$28:R$32,"=1")=2,TRUE),IF(COUNTIF(R$28:R$32,"=2")=2,TRUE))</formula>
    </cfRule>
    <cfRule type="expression" dxfId="3668" priority="268">
      <formula>AND(R28=4,IF(COUNTIF(R$28:R$32,"=4")=1,TRUE))</formula>
    </cfRule>
    <cfRule type="expression" dxfId="3667" priority="269">
      <formula>AND(R28=3,IF(COUNTIF(R$28:R$32,"=3")=1,TRUE))</formula>
    </cfRule>
    <cfRule type="expression" dxfId="3666" priority="270">
      <formula>AND(R28=2,IF(COUNTIF(R$28:R$32,"=2")=1,TRUE))</formula>
    </cfRule>
    <cfRule type="expression" dxfId="3665" priority="271">
      <formula>AND(R28=1,IF(COUNTIF(R$28:R$32,"=1")=1,TRUE))</formula>
    </cfRule>
    <cfRule type="expression" dxfId="3664" priority="272">
      <formula>OR(R28=0,R28=5)</formula>
    </cfRule>
  </conditionalFormatting>
  <conditionalFormatting sqref="J28:J32">
    <cfRule type="expression" dxfId="3663" priority="261">
      <formula>AND(Q28=4,IF(COUNTIF(Q$28:Q$32,"=4")&gt;=2,TRUE))</formula>
    </cfRule>
    <cfRule type="expression" dxfId="3662" priority="262">
      <formula>AND(Q28=3,IF(COUNTIF(Q$28:Q$32,"=3")&gt;=2,TRUE))</formula>
    </cfRule>
    <cfRule type="expression" dxfId="3661" priority="263">
      <formula>AND(Q28=2,IF(COUNTIF(Q$28:Q$32,"=2")&gt;=2,TRUE))</formula>
    </cfRule>
    <cfRule type="expression" dxfId="3660" priority="264">
      <formula>AND(Q28=1,IF(COUNTIF(Q$28:Q$32,"=1")&gt;=2,TRUE))</formula>
    </cfRule>
  </conditionalFormatting>
  <conditionalFormatting sqref="K28:K32">
    <cfRule type="expression" dxfId="3659" priority="282">
      <formula>AND(J28&gt;0,IF(COUNTIF(J$28:J$32,"=1")=2,TRUE),IF(COUNTIF(J$28:J$32,"=2")=2,TRUE))</formula>
    </cfRule>
    <cfRule type="expression" dxfId="3658" priority="283">
      <formula>IF(COUNTIF(L$28:L$32,"=2")=2,TRUE)</formula>
    </cfRule>
    <cfRule type="expression" dxfId="3657" priority="284">
      <formula>IF(COUNTIF(L$28:L$32,"=1")=2,TRUE)</formula>
    </cfRule>
    <cfRule type="expression" dxfId="3656" priority="285">
      <formula>AND(IF(COUNTIF(R$28:R$32,"=1")=2,TRUE),IF(COUNTIF(S$28:S$32,"=2")=2,TRUE))</formula>
    </cfRule>
    <cfRule type="expression" dxfId="3655" priority="286">
      <formula>AND(R28=4,IF(COUNTIF(R$28:R$32,"=4")=1,TRUE))</formula>
    </cfRule>
    <cfRule type="expression" dxfId="3654" priority="287">
      <formula>AND(R28=3,IF(COUNTIF(R$28:R$32,"=3")=1,TRUE))</formula>
    </cfRule>
    <cfRule type="expression" dxfId="3653" priority="288">
      <formula>AND(R28=2,IF(COUNTIF(R$28:R$32,"=2")=1,TRUE))</formula>
    </cfRule>
    <cfRule type="expression" dxfId="3652" priority="289">
      <formula>AND(R28=1,IF(COUNTIF(R$28:R$32,"=1")=1,TRUE))</formula>
    </cfRule>
    <cfRule type="expression" dxfId="3651" priority="290">
      <formula>OR(R28=0,R28=5)</formula>
    </cfRule>
  </conditionalFormatting>
  <conditionalFormatting sqref="H28:H32">
    <cfRule type="expression" dxfId="3650" priority="257">
      <formula>AND(Q28=4,IF(COUNTIF(Q$28:Q$32,"=4")&gt;=2,TRUE))</formula>
    </cfRule>
    <cfRule type="expression" dxfId="3649" priority="258">
      <formula>AND(Q28=3,IF(COUNTIF(Q$28:Q$32,"=3")&gt;=2,TRUE))</formula>
    </cfRule>
    <cfRule type="expression" dxfId="3648" priority="259">
      <formula>AND(Q28=2,IF(COUNTIF(Q$28:Q$32,"=2")&gt;=2,TRUE))</formula>
    </cfRule>
    <cfRule type="expression" dxfId="3647" priority="260">
      <formula>AND(Q28=1,IF(COUNTIF(Q$28:Q$32,"=1")&gt;=2,TRUE))</formula>
    </cfRule>
  </conditionalFormatting>
  <conditionalFormatting sqref="A102:A116">
    <cfRule type="cellIs" dxfId="3646" priority="69" operator="equal">
      <formula>"-"</formula>
    </cfRule>
    <cfRule type="duplicateValues" dxfId="3645" priority="70"/>
  </conditionalFormatting>
  <conditionalFormatting sqref="A140:A154">
    <cfRule type="cellIs" dxfId="3644" priority="67" operator="equal">
      <formula>"-"</formula>
    </cfRule>
    <cfRule type="duplicateValues" dxfId="3643" priority="68"/>
  </conditionalFormatting>
  <conditionalFormatting sqref="G124 G128 G131 G133">
    <cfRule type="containsBlanks" dxfId="3642" priority="64">
      <formula>LEN(TRIM(G124))=0</formula>
    </cfRule>
  </conditionalFormatting>
  <conditionalFormatting sqref="E123 E125">
    <cfRule type="containsBlanks" dxfId="3641" priority="62">
      <formula>LEN(TRIM(E123))=0</formula>
    </cfRule>
  </conditionalFormatting>
  <conditionalFormatting sqref="E127 E129">
    <cfRule type="containsBlanks" dxfId="3640" priority="60">
      <formula>LEN(TRIM(E127))=0</formula>
    </cfRule>
  </conditionalFormatting>
  <conditionalFormatting sqref="G124 G128">
    <cfRule type="aboveAverage" dxfId="3639" priority="66"/>
  </conditionalFormatting>
  <conditionalFormatting sqref="G131 G133">
    <cfRule type="aboveAverage" dxfId="3638" priority="65"/>
  </conditionalFormatting>
  <conditionalFormatting sqref="E123 E125">
    <cfRule type="aboveAverage" dxfId="3637" priority="63"/>
  </conditionalFormatting>
  <conditionalFormatting sqref="E127 E129">
    <cfRule type="aboveAverage" dxfId="3636" priority="61"/>
  </conditionalFormatting>
  <conditionalFormatting sqref="G117 G119">
    <cfRule type="aboveAverage" dxfId="3635" priority="59"/>
  </conditionalFormatting>
  <conditionalFormatting sqref="G117 G119">
    <cfRule type="containsBlanks" dxfId="3634" priority="58">
      <formula>LEN(TRIM(G117))=0</formula>
    </cfRule>
  </conditionalFormatting>
  <conditionalFormatting sqref="E103 E107">
    <cfRule type="containsBlanks" dxfId="3633" priority="56">
      <formula>LEN(TRIM(E103))=0</formula>
    </cfRule>
    <cfRule type="aboveAverage" dxfId="3632" priority="57"/>
  </conditionalFormatting>
  <conditionalFormatting sqref="C106 C108">
    <cfRule type="aboveAverage" dxfId="3631" priority="55"/>
  </conditionalFormatting>
  <conditionalFormatting sqref="C110 C112">
    <cfRule type="aboveAverage" dxfId="3630" priority="54"/>
  </conditionalFormatting>
  <conditionalFormatting sqref="C114 C116">
    <cfRule type="aboveAverage" dxfId="3629" priority="53"/>
  </conditionalFormatting>
  <conditionalFormatting sqref="C106 C108 C110 C112 C114 C116">
    <cfRule type="containsBlanks" dxfId="3628" priority="52">
      <formula>LEN(TRIM(C106))=0</formula>
    </cfRule>
  </conditionalFormatting>
  <conditionalFormatting sqref="C102 C104">
    <cfRule type="aboveAverage" dxfId="3627" priority="51"/>
  </conditionalFormatting>
  <conditionalFormatting sqref="C102 C104">
    <cfRule type="containsBlanks" dxfId="3626" priority="50">
      <formula>LEN(TRIM(C102))=0</formula>
    </cfRule>
  </conditionalFormatting>
  <conditionalFormatting sqref="E111 E115">
    <cfRule type="containsBlanks" dxfId="3625" priority="48">
      <formula>LEN(TRIM(E111))=0</formula>
    </cfRule>
    <cfRule type="aboveAverage" dxfId="3624" priority="49"/>
  </conditionalFormatting>
  <conditionalFormatting sqref="G105 G113">
    <cfRule type="containsBlanks" dxfId="3623" priority="46">
      <formula>LEN(TRIM(G105))=0</formula>
    </cfRule>
    <cfRule type="aboveAverage" dxfId="3622" priority="47"/>
  </conditionalFormatting>
  <conditionalFormatting sqref="G162 G166 G169 G171">
    <cfRule type="containsBlanks" dxfId="3621" priority="43">
      <formula>LEN(TRIM(G162))=0</formula>
    </cfRule>
  </conditionalFormatting>
  <conditionalFormatting sqref="E161 E163">
    <cfRule type="containsBlanks" dxfId="3620" priority="41">
      <formula>LEN(TRIM(E161))=0</formula>
    </cfRule>
  </conditionalFormatting>
  <conditionalFormatting sqref="E165 E167">
    <cfRule type="containsBlanks" dxfId="3619" priority="39">
      <formula>LEN(TRIM(E165))=0</formula>
    </cfRule>
  </conditionalFormatting>
  <conditionalFormatting sqref="G162 G166">
    <cfRule type="aboveAverage" dxfId="3618" priority="45"/>
  </conditionalFormatting>
  <conditionalFormatting sqref="G169 G171">
    <cfRule type="aboveAverage" dxfId="3617" priority="44"/>
  </conditionalFormatting>
  <conditionalFormatting sqref="E161 E163">
    <cfRule type="aboveAverage" dxfId="3616" priority="42"/>
  </conditionalFormatting>
  <conditionalFormatting sqref="E165 E167">
    <cfRule type="aboveAverage" dxfId="3615" priority="40"/>
  </conditionalFormatting>
  <conditionalFormatting sqref="G155 G157">
    <cfRule type="aboveAverage" dxfId="3614" priority="38"/>
  </conditionalFormatting>
  <conditionalFormatting sqref="G155 G157">
    <cfRule type="containsBlanks" dxfId="3613" priority="37">
      <formula>LEN(TRIM(G155))=0</formula>
    </cfRule>
  </conditionalFormatting>
  <conditionalFormatting sqref="E141 E145">
    <cfRule type="containsBlanks" dxfId="3612" priority="35">
      <formula>LEN(TRIM(E141))=0</formula>
    </cfRule>
    <cfRule type="aboveAverage" dxfId="3611" priority="36"/>
  </conditionalFormatting>
  <conditionalFormatting sqref="C144 C146">
    <cfRule type="aboveAverage" dxfId="3610" priority="34"/>
  </conditionalFormatting>
  <conditionalFormatting sqref="C148 C150">
    <cfRule type="aboveAverage" dxfId="3609" priority="33"/>
  </conditionalFormatting>
  <conditionalFormatting sqref="C152 C154">
    <cfRule type="aboveAverage" dxfId="3608" priority="32"/>
  </conditionalFormatting>
  <conditionalFormatting sqref="C144 C146 C148 C150 C152 C154">
    <cfRule type="containsBlanks" dxfId="3607" priority="31">
      <formula>LEN(TRIM(C144))=0</formula>
    </cfRule>
  </conditionalFormatting>
  <conditionalFormatting sqref="C140 C142">
    <cfRule type="aboveAverage" dxfId="3606" priority="30"/>
  </conditionalFormatting>
  <conditionalFormatting sqref="C140 C142">
    <cfRule type="containsBlanks" dxfId="3605" priority="29">
      <formula>LEN(TRIM(C140))=0</formula>
    </cfRule>
  </conditionalFormatting>
  <conditionalFormatting sqref="E149 E153">
    <cfRule type="containsBlanks" dxfId="3604" priority="27">
      <formula>LEN(TRIM(E149))=0</formula>
    </cfRule>
    <cfRule type="aboveAverage" dxfId="3603" priority="28"/>
  </conditionalFormatting>
  <conditionalFormatting sqref="G143 G151">
    <cfRule type="containsBlanks" dxfId="3602" priority="25">
      <formula>LEN(TRIM(G143))=0</formula>
    </cfRule>
    <cfRule type="aboveAverage" dxfId="3601" priority="26"/>
  </conditionalFormatting>
  <conditionalFormatting sqref="B300:B315">
    <cfRule type="expression" dxfId="3600" priority="20">
      <formula>A300=3</formula>
    </cfRule>
    <cfRule type="expression" dxfId="3599" priority="21">
      <formula>A300=2</formula>
    </cfRule>
    <cfRule type="expression" dxfId="3598" priority="22">
      <formula>A300=1</formula>
    </cfRule>
    <cfRule type="containsBlanks" dxfId="3597" priority="23">
      <formula>LEN(TRIM(B300))=0</formula>
    </cfRule>
    <cfRule type="duplicateValues" dxfId="3596" priority="24"/>
  </conditionalFormatting>
  <conditionalFormatting sqref="AJ7:AJ31">
    <cfRule type="expression" dxfId="3595" priority="13">
      <formula>AND(AI7="",FIND(",",AJ7))</formula>
    </cfRule>
    <cfRule type="expression" dxfId="3594" priority="15">
      <formula>AND(AI7="",COUNTIF(AJ7,"*,*")=0)</formula>
    </cfRule>
  </conditionalFormatting>
  <conditionalFormatting sqref="AH7:AH31">
    <cfRule type="expression" dxfId="3593" priority="16">
      <formula>AND(AG7="",FIND(",",AH7))</formula>
    </cfRule>
    <cfRule type="expression" dxfId="3592" priority="17">
      <formula>AND(AG7="",COUNTIF(AH7,"*,*")=0)</formula>
    </cfRule>
  </conditionalFormatting>
  <conditionalFormatting sqref="AL7:AL31">
    <cfRule type="expression" dxfId="3591" priority="18">
      <formula>AND(AK7="",FIND(",",AL7))</formula>
    </cfRule>
    <cfRule type="expression" dxfId="3590" priority="19">
      <formula>AND(AK7="",COUNTIF(AL7,"*,*")=0)</formula>
    </cfRule>
  </conditionalFormatting>
  <conditionalFormatting sqref="AF7:AF31">
    <cfRule type="expression" dxfId="3589" priority="14">
      <formula>AND(AE7="",COUNTIF(AF7,"*,*")=0)</formula>
    </cfRule>
  </conditionalFormatting>
  <conditionalFormatting sqref="AN7:AN31">
    <cfRule type="expression" dxfId="3588" priority="10">
      <formula>AND(AM7="",COUNTIF(AN7,"*,*")=0)</formula>
    </cfRule>
    <cfRule type="expression" dxfId="3587" priority="12">
      <formula>AND(AM7="",FIND(",",AN7))</formula>
    </cfRule>
  </conditionalFormatting>
  <conditionalFormatting sqref="AP7:AP31">
    <cfRule type="expression" dxfId="3586" priority="9">
      <formula>AND(AO7="",COUNTIF(AP7,"*,*")=0)</formula>
    </cfRule>
    <cfRule type="expression" dxfId="3585" priority="11">
      <formula>AND(AO7="",FIND(",",AP7))</formula>
    </cfRule>
  </conditionalFormatting>
  <conditionalFormatting sqref="I28:I32">
    <cfRule type="expression" dxfId="3584" priority="3">
      <formula>FIND(2,I28,1)</formula>
    </cfRule>
    <cfRule type="expression" dxfId="3583" priority="4">
      <formula>FIND(1,I28,1)</formula>
    </cfRule>
  </conditionalFormatting>
  <conditionalFormatting sqref="I21:I25">
    <cfRule type="expression" dxfId="3582" priority="5">
      <formula>FIND(2,I21,1)</formula>
    </cfRule>
    <cfRule type="expression" dxfId="3581" priority="6">
      <formula>FIND(1,I21,1)</formula>
    </cfRule>
  </conditionalFormatting>
  <conditionalFormatting sqref="I7:I11">
    <cfRule type="expression" dxfId="3580" priority="7">
      <formula>FIND(2,I7,1)</formula>
    </cfRule>
    <cfRule type="expression" dxfId="3579" priority="8">
      <formula>FIND(1,I7,1)</formula>
    </cfRule>
  </conditionalFormatting>
  <conditionalFormatting sqref="I14:I18">
    <cfRule type="expression" dxfId="3578" priority="1">
      <formula>FIND(2,I14,1)</formula>
    </cfRule>
    <cfRule type="expression" dxfId="3577" priority="2">
      <formula>FIND(1,I14,1)</formula>
    </cfRule>
  </conditionalFormatting>
  <pageMargins left="0.78740157480314965" right="0.39370078740157483" top="0.78740157480314965" bottom="0.39370078740157483" header="0.78740157480314965" footer="0"/>
  <pageSetup paperSize="9" fitToHeight="0" orientation="landscape" verticalDpi="1200" r:id="rId1"/>
  <headerFooter>
    <oddHeader>&amp;R&amp;P. leht &amp;N&amp; -st</oddHeader>
  </headerFooter>
  <rowBreaks count="3" manualBreakCount="3">
    <brk id="98" max="16383" man="1"/>
    <brk id="136" max="16383" man="1"/>
    <brk id="297"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pageSetUpPr fitToPage="1"/>
  </sheetPr>
  <dimension ref="A1:AP315"/>
  <sheetViews>
    <sheetView showGridLines="0" showRowColHeaders="0" workbookViewId="0">
      <pane ySplit="1" topLeftCell="A2" activePane="bottomLeft" state="frozen"/>
      <selection pane="bottomLeft" activeCell="A5" sqref="A5"/>
    </sheetView>
  </sheetViews>
  <sheetFormatPr defaultRowHeight="12.75" x14ac:dyDescent="0.2"/>
  <cols>
    <col min="1" max="1" width="3.28515625" style="1" customWidth="1"/>
    <col min="2" max="2" width="37.5703125" style="1" bestFit="1" customWidth="1"/>
    <col min="3" max="7" width="7.7109375" style="1" customWidth="1"/>
    <col min="8" max="9" width="6.7109375" style="1" customWidth="1"/>
    <col min="10" max="15" width="5.5703125" style="1" customWidth="1"/>
    <col min="16" max="18" width="9.140625" style="1" hidden="1" customWidth="1"/>
    <col min="19" max="19" width="11.5703125" style="1" hidden="1" customWidth="1"/>
    <col min="20" max="20" width="9.140625" style="1" hidden="1" customWidth="1"/>
    <col min="21" max="21" width="9.140625" style="1"/>
    <col min="22" max="28" width="0" style="1" hidden="1" customWidth="1"/>
    <col min="29" max="29" width="9.140625" style="1"/>
    <col min="30" max="31" width="9.140625" style="1" hidden="1" customWidth="1"/>
    <col min="32" max="32" width="16.5703125" style="1" hidden="1" customWidth="1"/>
    <col min="33" max="33" width="9.140625" style="1" hidden="1" customWidth="1"/>
    <col min="34" max="34" width="24.85546875" style="1" hidden="1" customWidth="1"/>
    <col min="35" max="35" width="9.140625" style="1" hidden="1" customWidth="1"/>
    <col min="36" max="36" width="17.28515625" style="1" hidden="1" customWidth="1"/>
    <col min="37" max="37" width="9.140625" style="1" hidden="1" customWidth="1"/>
    <col min="38" max="38" width="13.85546875" style="1" hidden="1" customWidth="1"/>
    <col min="39" max="39" width="9.140625" style="1" hidden="1" customWidth="1"/>
    <col min="40" max="40" width="17.28515625" style="1" hidden="1" customWidth="1"/>
    <col min="41" max="41" width="9.140625" style="1" hidden="1" customWidth="1"/>
    <col min="42" max="42" width="13.85546875" style="1" hidden="1" customWidth="1"/>
    <col min="43" max="16384" width="9.140625" style="1"/>
  </cols>
  <sheetData>
    <row r="1" spans="1:42" x14ac:dyDescent="0.2">
      <c r="A1" s="400" t="str">
        <f>UPPER((Kalend!E13)&amp;" - "&amp;(Kalend!C13))&amp;" - "&amp;LOWER(Kalend!D13)&amp;" - "&amp;(Kalend!A13)&amp;" kell "&amp;(Kalend!B13)&amp;" - "&amp;(Kalend!F13)</f>
        <v>V6 - VOKA III SISE-KV 6. ETAPP - duo - P, 22.12.2019 kell 11:00 - Voka petangihall</v>
      </c>
      <c r="C1" s="271"/>
      <c r="D1" s="271"/>
      <c r="E1" s="271"/>
      <c r="F1" s="271"/>
      <c r="G1" s="271"/>
      <c r="H1" s="271"/>
      <c r="I1" s="271"/>
      <c r="J1" s="271"/>
      <c r="K1" s="271"/>
      <c r="L1" s="271"/>
      <c r="M1" s="271"/>
      <c r="N1" s="271"/>
      <c r="P1" s="447" t="s">
        <v>94</v>
      </c>
      <c r="Q1" s="448"/>
      <c r="R1" s="448"/>
      <c r="S1" s="448"/>
      <c r="T1" s="448"/>
      <c r="U1" s="70"/>
      <c r="V1" s="70"/>
      <c r="W1" s="271"/>
      <c r="X1" s="291"/>
      <c r="Y1" s="271"/>
      <c r="Z1" s="271"/>
      <c r="AA1" s="271"/>
      <c r="AD1" s="152" t="s">
        <v>94</v>
      </c>
      <c r="AE1" s="402"/>
      <c r="AF1" s="402"/>
      <c r="AG1" s="402"/>
      <c r="AH1" s="402"/>
      <c r="AI1" s="402"/>
      <c r="AJ1" s="402"/>
      <c r="AK1" s="402"/>
      <c r="AL1" s="402"/>
      <c r="AM1" s="402"/>
      <c r="AN1" s="402"/>
      <c r="AO1" s="532"/>
      <c r="AP1" s="532"/>
    </row>
    <row r="2" spans="1:42" hidden="1" x14ac:dyDescent="0.2">
      <c r="A2" s="271"/>
      <c r="C2" s="271"/>
      <c r="D2" s="271"/>
      <c r="E2" s="271"/>
      <c r="F2" s="271"/>
      <c r="G2" s="271"/>
      <c r="H2" s="271"/>
      <c r="I2" s="271"/>
      <c r="J2" s="271"/>
      <c r="K2" s="271"/>
      <c r="L2" s="271"/>
      <c r="M2" s="271"/>
      <c r="N2" s="271"/>
      <c r="O2" s="271"/>
      <c r="P2" s="271"/>
      <c r="Q2" s="271"/>
      <c r="R2" s="271"/>
      <c r="S2" s="271"/>
      <c r="T2" s="409"/>
      <c r="U2" s="409"/>
      <c r="V2" s="409"/>
      <c r="W2" s="271"/>
      <c r="X2" s="271"/>
      <c r="Y2" s="271"/>
      <c r="Z2" s="271"/>
      <c r="AD2" s="271"/>
      <c r="AE2" s="271"/>
      <c r="AF2" s="271"/>
      <c r="AG2" s="271"/>
      <c r="AH2" s="271"/>
      <c r="AI2" s="271"/>
      <c r="AJ2" s="412"/>
      <c r="AK2" s="271"/>
      <c r="AL2" s="271"/>
      <c r="AM2" s="271"/>
      <c r="AN2" s="271"/>
    </row>
    <row r="3" spans="1:42" hidden="1" x14ac:dyDescent="0.2">
      <c r="A3" s="271"/>
      <c r="C3" s="271"/>
      <c r="D3" s="271"/>
      <c r="E3" s="271"/>
      <c r="F3" s="271"/>
      <c r="G3" s="271"/>
      <c r="H3" s="271"/>
      <c r="I3" s="271"/>
      <c r="J3" s="271"/>
      <c r="K3" s="271"/>
      <c r="L3" s="271"/>
      <c r="M3" s="271"/>
      <c r="N3" s="271"/>
      <c r="O3" s="271"/>
      <c r="P3" s="271"/>
      <c r="Q3" s="271"/>
      <c r="R3" s="271"/>
      <c r="S3" s="271"/>
      <c r="T3" s="409"/>
      <c r="U3" s="409"/>
      <c r="V3" s="409"/>
      <c r="W3" s="271"/>
      <c r="X3" s="271"/>
      <c r="Y3" s="271"/>
      <c r="Z3" s="271"/>
      <c r="AA3" s="271"/>
      <c r="AE3" s="271"/>
      <c r="AG3" s="271"/>
      <c r="AH3" s="271"/>
      <c r="AI3" s="271"/>
      <c r="AJ3" s="271"/>
      <c r="AK3" s="271"/>
      <c r="AL3" s="271"/>
      <c r="AM3" s="271"/>
      <c r="AN3" s="271"/>
    </row>
    <row r="4" spans="1:42" hidden="1" x14ac:dyDescent="0.2">
      <c r="A4" s="271"/>
      <c r="F4" s="271"/>
      <c r="G4" s="312"/>
      <c r="H4" s="312"/>
      <c r="I4" s="141"/>
      <c r="J4" s="141"/>
      <c r="K4" s="415"/>
      <c r="L4" s="312"/>
      <c r="M4" s="271"/>
      <c r="N4" s="271"/>
      <c r="O4" s="271"/>
      <c r="P4" s="271"/>
      <c r="Q4" s="271"/>
      <c r="R4" s="271"/>
      <c r="S4" s="271"/>
      <c r="T4" s="271"/>
      <c r="U4" s="271"/>
      <c r="V4" s="271"/>
      <c r="W4" s="271"/>
      <c r="X4" s="271"/>
      <c r="Y4" s="271"/>
      <c r="Z4" s="271"/>
      <c r="AA4" s="271"/>
      <c r="AE4" s="409"/>
      <c r="AF4" s="409"/>
      <c r="AG4" s="409"/>
      <c r="AH4" s="376"/>
      <c r="AI4" s="409"/>
      <c r="AJ4" s="409"/>
      <c r="AK4" s="409"/>
      <c r="AL4" s="409"/>
      <c r="AM4" s="409"/>
      <c r="AN4" s="409"/>
      <c r="AO4" s="409"/>
      <c r="AP4" s="409"/>
    </row>
    <row r="5" spans="1:42" x14ac:dyDescent="0.2">
      <c r="F5" s="271"/>
      <c r="G5" s="53"/>
      <c r="H5" s="53"/>
      <c r="I5" s="53"/>
      <c r="J5" s="53"/>
      <c r="K5" s="53"/>
      <c r="L5" s="312"/>
      <c r="M5" s="271"/>
      <c r="N5" s="967" t="s">
        <v>476</v>
      </c>
      <c r="O5" s="271"/>
      <c r="P5" s="271"/>
      <c r="Q5" s="271"/>
      <c r="R5" s="271"/>
      <c r="S5" s="271"/>
      <c r="T5" s="271"/>
      <c r="U5" s="271"/>
      <c r="V5" s="271"/>
      <c r="W5" s="271"/>
      <c r="X5" s="271"/>
      <c r="Y5" s="271"/>
      <c r="Z5" s="271"/>
      <c r="AA5" s="271"/>
      <c r="AC5" s="271"/>
      <c r="AD5" s="964" t="s">
        <v>214</v>
      </c>
    </row>
    <row r="6" spans="1:42" x14ac:dyDescent="0.2">
      <c r="A6" s="316" t="s">
        <v>0</v>
      </c>
      <c r="B6" s="466"/>
      <c r="C6" s="467">
        <v>1</v>
      </c>
      <c r="D6" s="467">
        <v>2</v>
      </c>
      <c r="E6" s="467">
        <v>3</v>
      </c>
      <c r="F6" s="467">
        <v>4</v>
      </c>
      <c r="G6" s="467"/>
      <c r="H6" s="467" t="s">
        <v>168</v>
      </c>
      <c r="I6" s="275" t="s">
        <v>169</v>
      </c>
      <c r="J6" s="469" t="s">
        <v>257</v>
      </c>
      <c r="K6" s="470" t="s">
        <v>258</v>
      </c>
      <c r="L6" s="471" t="s">
        <v>259</v>
      </c>
      <c r="M6" s="471" t="s">
        <v>260</v>
      </c>
      <c r="N6" s="472" t="s">
        <v>170</v>
      </c>
      <c r="O6" s="472" t="s">
        <v>170</v>
      </c>
      <c r="P6" s="473" t="s">
        <v>261</v>
      </c>
      <c r="Q6" s="474" t="s">
        <v>21</v>
      </c>
      <c r="R6" s="474" t="b">
        <f>OR(AND(COUNTA(B7:B11)=3,COUNTA(C7:G11)=6),AND(COUNTA(B7:B11)=4,COUNTA(C7:G11)=12),AND(COUNTA(B7:B11)=5,COUNTA(C7:G11)=20))</f>
        <v>1</v>
      </c>
      <c r="S6" s="475" t="s">
        <v>262</v>
      </c>
      <c r="T6" s="476" t="s">
        <v>263</v>
      </c>
      <c r="U6" s="477"/>
      <c r="V6" s="477"/>
      <c r="W6" s="477"/>
      <c r="X6" s="477"/>
      <c r="Y6" s="477"/>
      <c r="Z6" s="477"/>
      <c r="AA6" s="477"/>
      <c r="AB6" s="477"/>
      <c r="AC6" s="478"/>
      <c r="AD6" s="272" t="s">
        <v>370</v>
      </c>
      <c r="AE6" s="273"/>
      <c r="AF6" s="273" t="s">
        <v>249</v>
      </c>
      <c r="AG6" s="273"/>
      <c r="AH6" s="403" t="s">
        <v>250</v>
      </c>
      <c r="AI6" s="273"/>
      <c r="AJ6" s="273" t="s">
        <v>251</v>
      </c>
      <c r="AK6" s="274"/>
      <c r="AL6" s="273" t="s">
        <v>252</v>
      </c>
      <c r="AM6" s="274"/>
      <c r="AN6" s="274" t="s">
        <v>472</v>
      </c>
      <c r="AO6" s="945"/>
      <c r="AP6" s="274" t="s">
        <v>473</v>
      </c>
    </row>
    <row r="7" spans="1:42" x14ac:dyDescent="0.2">
      <c r="A7" s="316">
        <v>1</v>
      </c>
      <c r="B7" s="479" t="s">
        <v>278</v>
      </c>
      <c r="C7" s="319"/>
      <c r="D7" s="534">
        <v>3</v>
      </c>
      <c r="E7" s="318">
        <v>13</v>
      </c>
      <c r="F7" s="534">
        <v>13</v>
      </c>
      <c r="G7" s="318"/>
      <c r="H7" s="317" t="str">
        <f>(IF(D7-C8&gt;0,1)+IF(E7-C9&gt;0,1)+IF(F7-C10&gt;0,1)+IF(G7-C11&gt;0,1))&amp;"-"&amp;(IF(D7-C8&lt;0,1)+IF(E7-C9&lt;0,1)+IF(F7-C10&lt;0,1)+IF(G7-C11&lt;0,1))</f>
        <v>2-1</v>
      </c>
      <c r="I7" s="318" t="str">
        <f>IF(AND(B7&lt;&gt;"",R$6=TRUE),A$6&amp;RANK(S7,S$7:S$11,0)," ")</f>
        <v>A3</v>
      </c>
      <c r="J7" s="480">
        <f>IF(AND(Q7=1,Q8=1,D7&gt;C8),1)+IF(AND(Q7=1,Q9=1,E7&gt;C9),1)+IF(AND(Q7=1,Q10=1,F7&gt;C10),1)+IF(AND(Q7=1,Q11=1,G7&gt;C11),1)+IF(AND(Q7=2,Q8=2,D7&gt;C8),1)+IF(AND(Q7=2,Q9=2,E7&gt;C9),1)+IF(AND(Q7=2,Q10=2,F7&gt;C10),1)+IF(AND(Q7=2,Q11=2,G7&gt;C11),1)+IF(AND(Q7=3,Q8=3,D7&gt;C8),1)+IF(AND(Q7=3,Q9=3,E7&gt;C9),1)+IF(AND(Q7=3,Q10=3,F7&gt;C10),1)+IF(AND(Q7=3,Q11=3,G7&gt;C11),1)</f>
        <v>1</v>
      </c>
      <c r="K7" s="481">
        <f>SUM(AND(T7=T8,D7&gt;C8),AND(T7=T9,E7&gt;C9),AND(T7=T10,F7&gt;C10),AND(T7=T11,G7&gt;C11))</f>
        <v>1</v>
      </c>
      <c r="L7" s="482">
        <f>IF(AND(Q7=1,Q8=1),D7-C8)+IF(AND(Q7=1,Q9=1),E7-C9)+IF(AND(Q7=1,Q10=1),F7-C10)+IF(AND(Q7=1,Q11=1),G7-C11)+IF(AND(Q7=2,Q8=2),D7-C8)+IF(AND(Q7=2,Q9=2),E7-C9)+IF(AND(Q7=2,Q10=2),F7-C10)+IF(AND(Q7=2,Q11=2),G7-C11)+IF(AND(Q7=3,Q8=3),D7-C8)+IF(AND(Q7=3,Q9=3),E7-C9)+IF(AND(Q7=3,Q10=3),F7-C10)+IF(AND(Q7=3,Q11=3),G7-C11)+IF(AND(Q7=4,Q8=4),D7-C8)+IF(AND(Q7=4,Q9=4),E7-C9)+IF(AND(Q7=4,Q10=4),F7-C10)+IF(AND(Q7=4,Q11=4),G7-C11)</f>
        <v>-6</v>
      </c>
      <c r="M7" s="483">
        <f>SUM(AND(R7=R8,D7&gt;C8),AND(R7=R9,E7&gt;C9),AND(R7=R10,F7&gt;C10),AND(R7=R11,G7&gt;C11))</f>
        <v>0</v>
      </c>
      <c r="N7" s="537" t="str">
        <f>SUM(C7:G7)&amp;"-"&amp;SUM(C7:C11)</f>
        <v>29-23</v>
      </c>
      <c r="O7" s="538">
        <f>D7+E7+F7+G7-C8-C9-C10-C11</f>
        <v>6</v>
      </c>
      <c r="P7" s="485">
        <f>SUM(C7:G7,C7:C11)/SUM(C7:C11)</f>
        <v>2.2608695652173911</v>
      </c>
      <c r="Q7" s="320">
        <f>VALUE(LEFT(H7,1))</f>
        <v>2</v>
      </c>
      <c r="R7" s="321">
        <f>Q7*100000+J7*10000+K7*1000+100*L7</f>
        <v>210400</v>
      </c>
      <c r="S7" s="486">
        <f>R7+M7*0.1+IF(ISNONTEXT(B7),0,0.01)+0.0001*O7</f>
        <v>210400.01060000001</v>
      </c>
      <c r="T7" s="487" t="str">
        <f>Q7&amp;J7</f>
        <v>21</v>
      </c>
      <c r="U7" s="477"/>
      <c r="V7" s="477"/>
      <c r="W7" s="477"/>
      <c r="X7" s="477"/>
      <c r="Y7" s="477"/>
      <c r="Z7" s="477"/>
      <c r="AA7" s="477"/>
      <c r="AB7" s="477"/>
      <c r="AC7" s="477"/>
      <c r="AD7" s="405">
        <f>SUM(AE7:AP7)</f>
        <v>365</v>
      </c>
      <c r="AE7" s="406">
        <f>IFERROR(INDEX(V!$R:$R,MATCH(AF7,V!$L:$L,0)),"")</f>
        <v>187</v>
      </c>
      <c r="AF7" s="407" t="str">
        <f>IFERROR(LEFT($B7,(FIND(",",$B7,1)-1)),"")</f>
        <v>Kenneth Muusikus</v>
      </c>
      <c r="AG7" s="406">
        <f>IFERROR(INDEX(V!$R:$R,MATCH(AH7,V!$L:$L,0)),"")</f>
        <v>178</v>
      </c>
      <c r="AH7" s="407" t="str">
        <f>IFERROR(MID($B7,FIND(", ",$B7)+2,256),"")</f>
        <v>Mait Metsla</v>
      </c>
      <c r="AI7" s="406" t="str">
        <f>IFERROR(INDEX(V!$R:$R,MATCH(AJ7,V!$L:$L,0)),"")</f>
        <v/>
      </c>
      <c r="AJ7" s="407" t="str">
        <f>IFERROR(MID($B7,FIND("^",SUBSTITUTE($B7,", ","^",1))+2,FIND("^",SUBSTITUTE($B7,", ","^",2))-FIND("^",SUBSTITUTE($B7,", ","^",1))-2),"")</f>
        <v/>
      </c>
      <c r="AK7" s="406" t="str">
        <f>IFERROR(INDEX(V!$R:$R,MATCH(AL7,V!$L:$L,0)),"")</f>
        <v/>
      </c>
      <c r="AL7" s="407" t="str">
        <f>IFERROR(MID($B7,FIND(", ",$B7,FIND(", ",$B7,FIND(", ",$B7))+1)+2,30000),"")</f>
        <v/>
      </c>
      <c r="AM7" s="406" t="str">
        <f>IFERROR(INDEX(V!$R:$R,MATCH(AN7,V!$L:$L,0)),"")</f>
        <v/>
      </c>
      <c r="AN7" s="407" t="str">
        <f>IFERROR(MID($B7,FIND(", ",$B7,FIND(", ",$B7)+1)+2,FIND(", ",$B7,FIND(", ",$B7,FIND(", ",$B7)+1)+1)-FIND(", ",$B7,FIND(", ",$B7)+1)-2),"")</f>
        <v/>
      </c>
      <c r="AO7" s="406" t="str">
        <f>IFERROR(INDEX(V!$R:$R,MATCH(AP7,V!$L:$L,0)),"")</f>
        <v/>
      </c>
      <c r="AP7" s="407" t="str">
        <f>IFERROR(MID($B7,FIND(", ",$B7,FIND(", ",$B7,FIND(", ",$B7)+1)+1)+2,30000),"")</f>
        <v/>
      </c>
    </row>
    <row r="8" spans="1:42" x14ac:dyDescent="0.2">
      <c r="A8" s="316">
        <v>2</v>
      </c>
      <c r="B8" s="488" t="s">
        <v>313</v>
      </c>
      <c r="C8" s="534">
        <v>13</v>
      </c>
      <c r="D8" s="319"/>
      <c r="E8" s="318">
        <v>13</v>
      </c>
      <c r="F8" s="534">
        <v>10</v>
      </c>
      <c r="G8" s="318"/>
      <c r="H8" s="317" t="str">
        <f>(IF(C8-D7&gt;0,1)+IF(E8-D9&gt;0,1)+IF(F8-D10&gt;0,1)+IF(G8-D11&gt;0,1))&amp;"-"&amp;(IF(C8-D7&lt;0,1)+IF(E8-D9&lt;0,1)+IF(F8-D10&lt;0,1)+IF(G8-D11&lt;0,1))</f>
        <v>2-1</v>
      </c>
      <c r="I8" s="318" t="str">
        <f>IF(AND(B8&lt;&gt;"",R$6=TRUE),A$6&amp;RANK(S8,S$7:S$11,0)," ")</f>
        <v>A1</v>
      </c>
      <c r="J8" s="489">
        <f>IF(AND(Q8=1,Q7=1,C8&gt;D7),1)+IF(AND(Q8=1,Q9=1,E8&gt;D9),1)+IF(AND(Q8=1,Q10=1,F8&gt;D10),1)+IF(AND(Q8=1,Q11=1,G8&gt;D11),1)+IF(AND(Q8=2,Q7=2,C8&gt;D7),1)+IF(AND(Q8=2,Q9=2,E8&gt;D9),1)+IF(AND(Q8=2,Q10=2,F8&gt;D10),1)+IF(AND(Q8=2,Q11=2,G8&gt;D11),1)+IF(AND(Q8=3,Q7=3,C8&gt;D7),1)+IF(AND(Q8=3,Q9=3,E8&gt;D9),1)+IF(AND(Q8=3,Q10=3,F8&gt;D10),1)+IF(AND(Q8=3,Q11=3,G8&gt;D11),1)</f>
        <v>1</v>
      </c>
      <c r="K8" s="483">
        <f>SUM(AND(T8=T7,C8&gt;D7),AND(T8=T9,E8&gt;D9),AND(T8=T10,F8&gt;D10),AND(T8=T11,G8&gt;D11))</f>
        <v>1</v>
      </c>
      <c r="L8" s="490">
        <f>IF(AND(Q8=1,Q7=1),C8-D7)+IF(AND(Q8=1,Q9=1),E8-D9)+IF(AND(Q8=1,Q10=1),F8-D10)+IF(AND(Q8=1,Q11=1),G8-D11)+IF(AND(Q8=2,Q7=2),C8-D7)+IF(AND(Q8=2,Q9=2),E8-D9)+IF(AND(Q8=2,Q10=2),F8-D10)+IF(AND(Q8=2,Q11=2),G8-D11)+IF(AND(Q8=3,Q7=3),C8-D7)+IF(AND(Q8=3,Q9=3),E8-D9)+IF(AND(Q8=3,Q10=3),F8-D10)+IF(AND(Q8=3,Q11=3),G8-D11)+IF(AND(Q8=4,Q7=4),C8-D7)+IF(AND(Q8=4,Q9=4),E8-D9)+IF(AND(Q8=4,Q10=4),F8-D10)+IF(AND(Q8=4,Q11=4),G8-D11)</f>
        <v>7</v>
      </c>
      <c r="M8" s="483">
        <f>SUM(AND(R8=R7,C8&gt;D7),AND(R8=R9,E8&gt;D9),AND(R8=R10,F8&gt;D10),AND(R8=R11,G8&gt;D11))</f>
        <v>0</v>
      </c>
      <c r="N8" s="537" t="str">
        <f>SUM(C8:G8)&amp;"-"&amp;SUM(D7:D11)</f>
        <v>36-25</v>
      </c>
      <c r="O8" s="538">
        <f>C8+E8+F8+G8-D7-D9-D10-D11</f>
        <v>11</v>
      </c>
      <c r="P8" s="485">
        <f>SUM(C8:G8,D7:D11)/SUM(D7:D11)</f>
        <v>2.44</v>
      </c>
      <c r="Q8" s="491">
        <f>VALUE(LEFT(H8,1))</f>
        <v>2</v>
      </c>
      <c r="R8" s="321">
        <f>Q8*100000+J8*10000+K8*1000+100*L8</f>
        <v>211700</v>
      </c>
      <c r="S8" s="486">
        <f>R8+M8*0.1+IF(ISNONTEXT(B8),0,0.01)+0.0001*O8</f>
        <v>211700.0111</v>
      </c>
      <c r="T8" s="487" t="str">
        <f>Q8&amp;J8</f>
        <v>21</v>
      </c>
      <c r="U8" s="477"/>
      <c r="V8" s="477"/>
      <c r="W8" s="477"/>
      <c r="X8" s="477"/>
      <c r="Y8" s="477"/>
      <c r="Z8" s="477"/>
      <c r="AA8" s="477"/>
      <c r="AB8" s="477"/>
      <c r="AC8" s="485"/>
      <c r="AD8" s="405">
        <f t="shared" ref="AD8:AD31" si="0">SUM(AE8:AP8)</f>
        <v>278</v>
      </c>
      <c r="AE8" s="406">
        <f>IFERROR(INDEX(V!$R:$R,MATCH(AF8,V!$L:$L,0)),"")</f>
        <v>145</v>
      </c>
      <c r="AF8" s="407" t="str">
        <f t="shared" ref="AF8:AF31" si="1">IFERROR(LEFT($B8,(FIND(",",$B8,1)-1)),"")</f>
        <v>Aigi Orro</v>
      </c>
      <c r="AG8" s="406">
        <f>IFERROR(INDEX(V!$R:$R,MATCH(AH8,V!$L:$L,0)),"")</f>
        <v>133</v>
      </c>
      <c r="AH8" s="407" t="str">
        <f t="shared" ref="AH8:AH64" si="2">IFERROR(MID($B8,FIND(", ",$B8)+2,256),"")</f>
        <v>Kalle Orro</v>
      </c>
      <c r="AI8" s="406" t="str">
        <f>IFERROR(INDEX(V!$R:$R,MATCH(AJ8,V!$L:$L,0)),"")</f>
        <v/>
      </c>
      <c r="AJ8" s="407" t="str">
        <f t="shared" ref="AJ8:AJ31" si="3">IFERROR(MID($B8,FIND("^",SUBSTITUTE($B8,", ","^",1))+2,FIND("^",SUBSTITUTE($B8,", ","^",2))-FIND("^",SUBSTITUTE($B8,", ","^",1))-2),"")</f>
        <v/>
      </c>
      <c r="AK8" s="406" t="str">
        <f>IFERROR(INDEX(V!$R:$R,MATCH(AL8,V!$L:$L,0)),"")</f>
        <v/>
      </c>
      <c r="AL8" s="407" t="str">
        <f t="shared" ref="AL8:AL31" si="4">IFERROR(MID($B8,FIND(", ",$B8,FIND(", ",$B8,FIND(", ",$B8))+1)+2,30000),"")</f>
        <v/>
      </c>
      <c r="AM8" s="406" t="str">
        <f>IFERROR(INDEX(V!$R:$R,MATCH(AN8,V!$L:$L,0)),"")</f>
        <v/>
      </c>
      <c r="AN8" s="407" t="str">
        <f t="shared" ref="AN8:AN31" si="5">IFERROR(MID($B8,FIND(", ",$B8,FIND(", ",$B8)+1)+2,FIND(", ",$B8,FIND(", ",$B8,FIND(", ",$B8)+1)+1)-FIND(", ",$B8,FIND(", ",$B8)+1)-2),"")</f>
        <v/>
      </c>
      <c r="AO8" s="406" t="str">
        <f>IFERROR(INDEX(V!$R:$R,MATCH(AP8,V!$L:$L,0)),"")</f>
        <v/>
      </c>
      <c r="AP8" s="407" t="str">
        <f t="shared" ref="AP8:AP31" si="6">IFERROR(MID($B8,FIND(", ",$B8,FIND(", ",$B8,FIND(", ",$B8)+1)+1)+2,30000),"")</f>
        <v/>
      </c>
    </row>
    <row r="9" spans="1:42" x14ac:dyDescent="0.2">
      <c r="A9" s="316">
        <v>3</v>
      </c>
      <c r="B9" s="488" t="s">
        <v>280</v>
      </c>
      <c r="C9" s="318">
        <v>1</v>
      </c>
      <c r="D9" s="492">
        <v>9</v>
      </c>
      <c r="E9" s="319"/>
      <c r="F9" s="318">
        <v>11</v>
      </c>
      <c r="G9" s="318"/>
      <c r="H9" s="317" t="str">
        <f>(IF(C9-E7&gt;0,1)+IF(D9-E8&gt;0,1)+IF(F9-E10&gt;0,1)+IF(G9-E11&gt;0,1))&amp;"-"&amp;(IF(C9-E7&lt;0,1)+IF(D9-E8&lt;0,1)+IF(F9-E10&lt;0,1)+IF(G9-E11&lt;0,1))</f>
        <v>0-3</v>
      </c>
      <c r="I9" s="318" t="str">
        <f>IF(AND(B9&lt;&gt;"",R$6=TRUE),A$6&amp;RANK(S9,S$7:S$11,0)," ")</f>
        <v>A4</v>
      </c>
      <c r="J9" s="489">
        <f>IF(AND(Q9=1,Q7=1,C9&gt;E7),1)+IF(AND(Q9=1,Q8=1,D9&gt;E8),1)+IF(AND(Q9=1,Q10=1,F9&gt;E10),1)+IF(AND(Q9=1,Q11=1,G9&gt;E11),1)+IF(AND(Q9=2,Q7=2,C9&gt;E7),1)+IF(AND(Q9=2,Q8=2,D9&gt;E8),1)+IF(AND(Q9=2,Q10=2,F9&gt;E10),1)+IF(AND(Q9=2,Q11=2,G9&gt;E11),1)+IF(AND(Q9=3,Q7=3,C9&gt;E7),1)+IF(AND(Q9=3,Q8=3,D9&gt;E8),1)+IF(AND(Q9=3,Q10=3,F9&gt;E10),1)+IF(AND(Q9=3,Q11=3,G9&gt;E11),1)</f>
        <v>0</v>
      </c>
      <c r="K9" s="483">
        <f>SUM(AND(T9=T7,C9&gt;E7),AND(T9=T8,D9&gt;E8),AND(T9=T10,F9&gt;E10),AND(T9=T11,G9&gt;E11))</f>
        <v>0</v>
      </c>
      <c r="L9" s="490">
        <f>IF(AND(Q9=1,Q7=1),C9-E7)+IF(AND(Q9=1,Q8=1),D9-E8)+IF(AND(Q9=1,Q10=1),F9-E10)+IF(AND(Q9=1,Q11=1),G9-E11)+IF(AND(Q9=2,Q7=2),C9-E7)+IF(AND(Q9=2,Q8=2),D9-E8)+IF(AND(Q9=2,Q10=2),F9-E10)+IF(AND(Q9=2,Q11=2),G9-E11)+IF(AND(Q9=3,Q7=3),C9-E7)+IF(AND(Q9=3,Q8=3),D9-E8)+IF(AND(Q9=3,Q10=3),F9-E10)+IF(AND(Q9=3,Q11=3),G9-E11)+IF(AND(Q9=4,Q7=4),C9-E7)+IF(AND(Q9=4,Q8=4),D9-E8)+IF(AND(Q9=4,Q10=4),F9-E10)+IF(AND(Q9=4,Q11=4),G9-E11)</f>
        <v>0</v>
      </c>
      <c r="M9" s="483">
        <f>SUM(AND(R9=R7,C9&gt;E7),AND(R9=R8,D9&gt;E8),AND(R9=R10,F9&gt;E10),AND(R9=R11,G9&gt;E11))</f>
        <v>0</v>
      </c>
      <c r="N9" s="537" t="str">
        <f>SUM(C9:G9)&amp;"-"&amp;SUM(E7:E11)</f>
        <v>21-39</v>
      </c>
      <c r="O9" s="538">
        <f>C9+D9+F9+G9-E7-E8-E10-E11</f>
        <v>-18</v>
      </c>
      <c r="P9" s="485">
        <f>SUM(C9:G9,E7:E11)/SUM(E7:E11)</f>
        <v>1.5384615384615385</v>
      </c>
      <c r="Q9" s="491">
        <f>VALUE(LEFT(H9,1))</f>
        <v>0</v>
      </c>
      <c r="R9" s="321">
        <f>Q9*100000+J9*10000+K9*1000+100*L9</f>
        <v>0</v>
      </c>
      <c r="S9" s="486">
        <f>R9+M9*0.1+IF(ISNONTEXT(B9),0,0.01)+0.0001*O9</f>
        <v>8.2000000000000007E-3</v>
      </c>
      <c r="T9" s="487" t="str">
        <f>Q9&amp;J9</f>
        <v>00</v>
      </c>
      <c r="U9" s="477"/>
      <c r="V9" s="477"/>
      <c r="W9" s="477"/>
      <c r="X9" s="477"/>
      <c r="Y9" s="477"/>
      <c r="Z9" s="477"/>
      <c r="AA9" s="477"/>
      <c r="AB9" s="477"/>
      <c r="AC9" s="485"/>
      <c r="AD9" s="405">
        <f t="shared" si="0"/>
        <v>223</v>
      </c>
      <c r="AE9" s="406">
        <f>IFERROR(INDEX(V!$R:$R,MATCH(AF9,V!$L:$L,0)),"")</f>
        <v>118</v>
      </c>
      <c r="AF9" s="407" t="str">
        <f t="shared" si="1"/>
        <v>Enn Tokman</v>
      </c>
      <c r="AG9" s="406">
        <f>IFERROR(INDEX(V!$R:$R,MATCH(AH9,V!$L:$L,0)),"")</f>
        <v>105</v>
      </c>
      <c r="AH9" s="407" t="str">
        <f t="shared" si="2"/>
        <v>Tarmo Bombe</v>
      </c>
      <c r="AI9" s="406" t="str">
        <f>IFERROR(INDEX(V!$R:$R,MATCH(AJ9,V!$L:$L,0)),"")</f>
        <v/>
      </c>
      <c r="AJ9" s="407" t="str">
        <f t="shared" si="3"/>
        <v/>
      </c>
      <c r="AK9" s="406" t="str">
        <f>IFERROR(INDEX(V!$R:$R,MATCH(AL9,V!$L:$L,0)),"")</f>
        <v/>
      </c>
      <c r="AL9" s="407" t="str">
        <f t="shared" si="4"/>
        <v/>
      </c>
      <c r="AM9" s="406" t="str">
        <f>IFERROR(INDEX(V!$R:$R,MATCH(AN9,V!$L:$L,0)),"")</f>
        <v/>
      </c>
      <c r="AN9" s="407" t="str">
        <f t="shared" si="5"/>
        <v/>
      </c>
      <c r="AO9" s="406" t="str">
        <f>IFERROR(INDEX(V!$R:$R,MATCH(AP9,V!$L:$L,0)),"")</f>
        <v/>
      </c>
      <c r="AP9" s="407" t="str">
        <f t="shared" si="6"/>
        <v/>
      </c>
    </row>
    <row r="10" spans="1:42" x14ac:dyDescent="0.2">
      <c r="A10" s="316">
        <v>4</v>
      </c>
      <c r="B10" s="493" t="s">
        <v>409</v>
      </c>
      <c r="C10" s="534">
        <v>9</v>
      </c>
      <c r="D10" s="535">
        <v>13</v>
      </c>
      <c r="E10" s="318">
        <v>13</v>
      </c>
      <c r="F10" s="319"/>
      <c r="G10" s="318"/>
      <c r="H10" s="317" t="str">
        <f>(IF(C10-F7&gt;0,1)+IF(D10-F8&gt;0,1)+IF(E10-F9&gt;0,1)+IF(G10-F11&gt;0,1))&amp;"-"&amp;(IF(C10-F7&lt;0,1)+IF(D10-F8&lt;0,1)+IF(E10-F9&lt;0,1)+IF(G10-F11&lt;0,1))</f>
        <v>2-1</v>
      </c>
      <c r="I10" s="318" t="str">
        <f>IF(AND(B10&lt;&gt;"",R$6=TRUE),A$6&amp;RANK(S10,S$7:S$11,0)," ")</f>
        <v>A2</v>
      </c>
      <c r="J10" s="489">
        <f>IF(AND(Q10=1,Q7=1,C10&gt;F7),1)+IF(AND(Q10=1,Q8=1,D10&gt;F8),1)+IF(AND(Q10=1,Q9=1,E10&gt;F9),1)+IF(AND(Q10=1,Q11=1,G10&gt;F11),1)+IF(AND(Q10=2,Q7=2,C10&gt;F7),1)+IF(AND(Q10=2,Q8=2,D10&gt;F8),1)+IF(AND(Q10=2,Q9=2,E10&gt;F9),1)+IF(AND(Q10=2,Q11=2,G10&gt;F11),1)+IF(AND(Q10=3,Q7=3,C10&gt;F7),1)+IF(AND(Q10=3,Q8=3,D10&gt;F8),1)+IF(AND(Q10=3,Q9=3,E10&gt;F9),1)+IF(AND(Q10=3,Q11=3,G10&gt;F11),1)</f>
        <v>1</v>
      </c>
      <c r="K10" s="483">
        <f>SUM(AND(T10=T7,C10&gt;F7),AND(T10=T8,D10&gt;F8),AND(T10=T9,E10&gt;F9),AND(T10=T11,G10&gt;F11))</f>
        <v>1</v>
      </c>
      <c r="L10" s="490">
        <f>IF(AND(Q10=1,Q7=1),C10-F7)+IF(AND(Q10=1,Q8=1),D10-F8)+IF(AND(Q10=1,Q9=1),E10-F9)+IF(AND(Q10=1,Q11=1),G10-F11)+IF(AND(Q10=2,Q7=2),C10-F7)+IF(AND(Q10=2,Q8=2),D10-F8)+IF(AND(Q10=2,Q9=2),E10-F9)+IF(AND(Q10=2,Q11=2),G10-F11)+IF(AND(Q10=3,Q7=3),C10-F7)+IF(AND(Q10=3,Q8=3),D10-F8)+IF(AND(Q10=3,Q9=3),E10-F9)+IF(AND(Q10=3,Q11=3),G10-F11)+IF(AND(Q10=4,Q7=4),C10-F7)+IF(AND(Q10=4,Q8=4),D10-F8)+IF(AND(Q10=4,Q9=4),E10-F9)+IF(AND(Q10=4,Q11=4),G10-F11)</f>
        <v>-1</v>
      </c>
      <c r="M10" s="483">
        <f>SUM(AND(R10=R7,C10&gt;F7),AND(R10=R8,D10&gt;F8),AND(R10=R9,E10&gt;F9),AND(R10=R11,G10&gt;F11))</f>
        <v>0</v>
      </c>
      <c r="N10" s="537" t="str">
        <f>SUM(C10:G10)&amp;"-"&amp;SUM(F7:F11)</f>
        <v>35-34</v>
      </c>
      <c r="O10" s="538">
        <f>C10+D10+E10+G10-F7-F8-F9-F11</f>
        <v>1</v>
      </c>
      <c r="P10" s="485">
        <f>SUM(C10:G10,F7:F11)/SUM(F7:F11)</f>
        <v>2.0294117647058822</v>
      </c>
      <c r="Q10" s="491">
        <f>VALUE(LEFT(H10,1))</f>
        <v>2</v>
      </c>
      <c r="R10" s="321">
        <f>Q10*100000+J10*10000+K10*1000+100*L10</f>
        <v>210900</v>
      </c>
      <c r="S10" s="486">
        <f>R10+M10*0.1+IF(ISNONTEXT(B10),0,0.01)+0.0001*O10</f>
        <v>210900.01010000001</v>
      </c>
      <c r="T10" s="487" t="str">
        <f>Q10&amp;J10</f>
        <v>21</v>
      </c>
      <c r="U10" s="477"/>
      <c r="V10" s="477"/>
      <c r="W10" s="477"/>
      <c r="X10" s="477"/>
      <c r="Y10" s="477"/>
      <c r="Z10" s="477"/>
      <c r="AA10" s="477"/>
      <c r="AB10" s="477"/>
      <c r="AC10" s="485"/>
      <c r="AD10" s="405">
        <f t="shared" si="0"/>
        <v>70</v>
      </c>
      <c r="AE10" s="406">
        <f>IFERROR(INDEX(V!$R:$R,MATCH(AF10,V!$L:$L,0)),"")</f>
        <v>53</v>
      </c>
      <c r="AF10" s="407" t="str">
        <f t="shared" si="1"/>
        <v>Marta Bernat</v>
      </c>
      <c r="AG10" s="406">
        <f>IFERROR(INDEX(V!$R:$R,MATCH(AH10,V!$L:$L,0)),"")</f>
        <v>17</v>
      </c>
      <c r="AH10" s="407" t="str">
        <f t="shared" si="2"/>
        <v>Aleksandr Tipakov</v>
      </c>
      <c r="AI10" s="406" t="str">
        <f>IFERROR(INDEX(V!$R:$R,MATCH(AJ10,V!$L:$L,0)),"")</f>
        <v/>
      </c>
      <c r="AJ10" s="407" t="str">
        <f t="shared" si="3"/>
        <v/>
      </c>
      <c r="AK10" s="406" t="str">
        <f>IFERROR(INDEX(V!$R:$R,MATCH(AL10,V!$L:$L,0)),"")</f>
        <v/>
      </c>
      <c r="AL10" s="407" t="str">
        <f t="shared" si="4"/>
        <v/>
      </c>
      <c r="AM10" s="406" t="str">
        <f>IFERROR(INDEX(V!$R:$R,MATCH(AN10,V!$L:$L,0)),"")</f>
        <v/>
      </c>
      <c r="AN10" s="407" t="str">
        <f t="shared" si="5"/>
        <v/>
      </c>
      <c r="AO10" s="406" t="str">
        <f>IFERROR(INDEX(V!$R:$R,MATCH(AP10,V!$L:$L,0)),"")</f>
        <v/>
      </c>
      <c r="AP10" s="407" t="str">
        <f t="shared" si="6"/>
        <v/>
      </c>
    </row>
    <row r="11" spans="1:42" hidden="1" x14ac:dyDescent="0.2">
      <c r="A11" s="316">
        <v>5</v>
      </c>
      <c r="B11" s="493"/>
      <c r="C11" s="318"/>
      <c r="D11" s="318"/>
      <c r="E11" s="318"/>
      <c r="F11" s="318"/>
      <c r="G11" s="319"/>
      <c r="H11" s="317" t="str">
        <f>(IF(C11-G7&gt;0,1)+IF(D11-G8&gt;0,1)+IF(E11-G9&gt;0,1)+IF(F11-G10&gt;0,1))&amp;"-"&amp;(IF(C11-G7&lt;0,1)+IF(D11-G8&lt;0,1)+IF(E11-G9&lt;0,1)+IF(F11-G10&lt;0,1))</f>
        <v>0-0</v>
      </c>
      <c r="I11" s="318" t="str">
        <f>IF(AND(B11&lt;&gt;"",R$6=TRUE),A$6&amp;RANK(S11,S$7:S$11,0)," ")</f>
        <v xml:space="preserve"> </v>
      </c>
      <c r="J11" s="489">
        <f>IF(AND(Q11=1,Q7=1,C11&gt;G7),1)+IF(AND(Q11=1,Q8=1,D11&gt;G8),1)+IF(AND(Q11=1,Q9=1,E11&gt;G9),1)+IF(AND(Q11=1,Q10=1,F11&gt;G10),1)+IF(AND(Q11=2,Q7=2,C11&gt;G7),1)+IF(AND(Q11=2,Q8=2,D11&gt;G8),1)+IF(AND(Q11=2,Q9=2,E11&gt;G9),1)+IF(AND(Q11=2,Q10=2,F11&gt;G10),1)+IF(AND(Q11=3,Q7=3,C11&gt;G7),1)+IF(AND(Q11=3,Q8=3,D11&gt;G8),1)+IF(AND(Q11=3,Q9=3,E11&gt;G9),1)+IF(AND(Q11=3,Q10=3,F11&gt;G10),1)</f>
        <v>0</v>
      </c>
      <c r="K11" s="483">
        <f>SUM(AND(T11=T7,C11&gt;G7),AND(T11=T8,D11&gt;G8),AND(T11=T9,E11&gt;G9),AND(T11=T10,F11&gt;G10))</f>
        <v>0</v>
      </c>
      <c r="L11" s="490">
        <f>IF(AND(Q11=1,Q7=1),C11-G7)+IF(AND(Q11=1,Q8=1),D11-G8)+IF(AND(Q11=1,Q9=1),E11-G9)+IF(AND(Q11=1,Q10=1),F11-G10)+IF(AND(Q11=2,Q7=2),C11-G7)+IF(AND(Q11=2,Q8=2),D11-G8)+IF(AND(Q11=2,Q9=2),E11-G9)+IF(AND(Q11=2,Q10=2),F11-G10)+IF(AND(Q11=3,Q7=3),C11-G7)+IF(AND(Q11=3,Q8=3),D11-G8)+IF(AND(Q11=3,Q9=3),E11-G9)+IF(AND(Q11=3,Q10=3),F11-G10)+IF(AND(Q11=4,Q7=4),C11-G7)+IF(AND(Q11=4,Q8=4),D11-G8)+IF(AND(Q11=4,Q9=4),E11-G9)+IF(AND(Q11=4,Q10=4),F11-G10)</f>
        <v>0</v>
      </c>
      <c r="M11" s="483">
        <f>SUM(AND(R11=R7,C11&gt;G7),AND(R11=R8,D11&gt;G8),AND(R11=R9,E11&gt;G9),AND(R11=R10,F11&gt;G10))</f>
        <v>0</v>
      </c>
      <c r="N11" s="537" t="str">
        <f>SUM(C11:G11)&amp;"-"&amp;SUM(G7:G11)</f>
        <v>0-0</v>
      </c>
      <c r="O11" s="538">
        <f>C11+D11+E11+F11-G7-G8-G9-G10</f>
        <v>0</v>
      </c>
      <c r="P11" s="485" t="e">
        <f>SUM(C11:G11,G7:G11)/SUM(G7:G11)</f>
        <v>#DIV/0!</v>
      </c>
      <c r="Q11" s="491">
        <f>VALUE(LEFT(H11,1))</f>
        <v>0</v>
      </c>
      <c r="R11" s="321">
        <f>Q11*100000+J11*10000+K11*1000+100*L11</f>
        <v>0</v>
      </c>
      <c r="S11" s="486">
        <f>R11+M11*0.1+IF(ISNONTEXT(B11),0,0.01)+0.0001*O11</f>
        <v>0</v>
      </c>
      <c r="T11" s="487" t="str">
        <f>Q11&amp;J11</f>
        <v>00</v>
      </c>
      <c r="U11" s="477"/>
      <c r="V11" s="477"/>
      <c r="W11" s="477"/>
      <c r="X11" s="477"/>
      <c r="Y11" s="477"/>
      <c r="Z11" s="477"/>
      <c r="AA11" s="477"/>
      <c r="AB11" s="477"/>
      <c r="AC11" s="485"/>
      <c r="AD11" s="405">
        <f t="shared" si="0"/>
        <v>0</v>
      </c>
      <c r="AE11" s="406" t="str">
        <f>IFERROR(INDEX(V!$R:$R,MATCH(AF11,V!$L:$L,0)),"")</f>
        <v/>
      </c>
      <c r="AF11" s="407" t="str">
        <f t="shared" si="1"/>
        <v/>
      </c>
      <c r="AG11" s="406" t="str">
        <f>IFERROR(INDEX(V!$R:$R,MATCH(AH11,V!$L:$L,0)),"")</f>
        <v/>
      </c>
      <c r="AH11" s="407" t="str">
        <f t="shared" si="2"/>
        <v/>
      </c>
      <c r="AI11" s="406" t="str">
        <f>IFERROR(INDEX(V!$R:$R,MATCH(AJ11,V!$L:$L,0)),"")</f>
        <v/>
      </c>
      <c r="AJ11" s="407" t="str">
        <f t="shared" si="3"/>
        <v/>
      </c>
      <c r="AK11" s="406" t="str">
        <f>IFERROR(INDEX(V!$R:$R,MATCH(AL11,V!$L:$L,0)),"")</f>
        <v/>
      </c>
      <c r="AL11" s="407" t="str">
        <f t="shared" si="4"/>
        <v/>
      </c>
      <c r="AM11" s="406" t="str">
        <f>IFERROR(INDEX(V!$R:$R,MATCH(AN11,V!$L:$L,0)),"")</f>
        <v/>
      </c>
      <c r="AN11" s="407" t="str">
        <f t="shared" si="5"/>
        <v/>
      </c>
      <c r="AO11" s="406" t="str">
        <f>IFERROR(INDEX(V!$R:$R,MATCH(AP11,V!$L:$L,0)),"")</f>
        <v/>
      </c>
      <c r="AP11" s="407" t="str">
        <f t="shared" si="6"/>
        <v/>
      </c>
    </row>
    <row r="12" spans="1:42" x14ac:dyDescent="0.2">
      <c r="A12" s="494"/>
      <c r="B12" s="495"/>
      <c r="C12" s="496"/>
      <c r="D12" s="497"/>
      <c r="E12" s="498"/>
      <c r="F12" s="498"/>
      <c r="G12" s="499"/>
      <c r="H12" s="500"/>
      <c r="I12" s="501"/>
      <c r="J12" s="477"/>
      <c r="K12" s="477"/>
      <c r="L12" s="477"/>
      <c r="M12" s="477"/>
      <c r="N12" s="539"/>
      <c r="O12" s="539"/>
      <c r="P12" s="477"/>
      <c r="Q12" s="477"/>
      <c r="R12" s="502" t="s">
        <v>264</v>
      </c>
      <c r="S12" s="477"/>
      <c r="T12" s="477"/>
      <c r="U12" s="477"/>
      <c r="V12" s="477"/>
      <c r="W12" s="477"/>
      <c r="X12" s="477"/>
      <c r="Y12" s="477"/>
      <c r="Z12" s="477"/>
      <c r="AA12" s="477"/>
      <c r="AB12" s="477"/>
      <c r="AC12" s="485"/>
      <c r="AD12" s="405">
        <f t="shared" si="0"/>
        <v>0</v>
      </c>
      <c r="AE12" s="406" t="str">
        <f>IFERROR(INDEX(V!$R:$R,MATCH(AF12,V!$L:$L,0)),"")</f>
        <v/>
      </c>
      <c r="AF12" s="407" t="str">
        <f t="shared" si="1"/>
        <v/>
      </c>
      <c r="AG12" s="406" t="str">
        <f>IFERROR(INDEX(V!$R:$R,MATCH(AH12,V!$L:$L,0)),"")</f>
        <v/>
      </c>
      <c r="AH12" s="407" t="str">
        <f t="shared" si="2"/>
        <v/>
      </c>
      <c r="AI12" s="406" t="str">
        <f>IFERROR(INDEX(V!$R:$R,MATCH(AJ12,V!$L:$L,0)),"")</f>
        <v/>
      </c>
      <c r="AJ12" s="407" t="str">
        <f t="shared" si="3"/>
        <v/>
      </c>
      <c r="AK12" s="406" t="str">
        <f>IFERROR(INDEX(V!$R:$R,MATCH(AL12,V!$L:$L,0)),"")</f>
        <v/>
      </c>
      <c r="AL12" s="407" t="str">
        <f t="shared" si="4"/>
        <v/>
      </c>
      <c r="AM12" s="406" t="str">
        <f>IFERROR(INDEX(V!$R:$R,MATCH(AN12,V!$L:$L,0)),"")</f>
        <v/>
      </c>
      <c r="AN12" s="407" t="str">
        <f t="shared" si="5"/>
        <v/>
      </c>
      <c r="AO12" s="406" t="str">
        <f>IFERROR(INDEX(V!$R:$R,MATCH(AP12,V!$L:$L,0)),"")</f>
        <v/>
      </c>
      <c r="AP12" s="407" t="str">
        <f t="shared" si="6"/>
        <v/>
      </c>
    </row>
    <row r="13" spans="1:42" x14ac:dyDescent="0.2">
      <c r="A13" s="316" t="s">
        <v>1</v>
      </c>
      <c r="B13" s="503"/>
      <c r="C13" s="467">
        <v>1</v>
      </c>
      <c r="D13" s="467">
        <v>2</v>
      </c>
      <c r="E13" s="467">
        <v>3</v>
      </c>
      <c r="F13" s="467">
        <v>4</v>
      </c>
      <c r="G13" s="467"/>
      <c r="H13" s="468" t="s">
        <v>168</v>
      </c>
      <c r="I13" s="468" t="s">
        <v>169</v>
      </c>
      <c r="J13" s="504" t="s">
        <v>257</v>
      </c>
      <c r="K13" s="505" t="s">
        <v>258</v>
      </c>
      <c r="L13" s="506" t="s">
        <v>259</v>
      </c>
      <c r="M13" s="506" t="s">
        <v>260</v>
      </c>
      <c r="N13" s="472" t="s">
        <v>170</v>
      </c>
      <c r="O13" s="472" t="s">
        <v>170</v>
      </c>
      <c r="P13" s="473" t="s">
        <v>261</v>
      </c>
      <c r="Q13" s="507" t="s">
        <v>21</v>
      </c>
      <c r="R13" s="507" t="b">
        <f>OR(AND(COUNTA(B14:B18)=3,COUNTA(C14:G18)=6),AND(COUNTA(B14:B18)=4,COUNTA(C14:G18)=12),AND(COUNTA(B14:B18)=5,COUNTA(C14:G18)=20))</f>
        <v>1</v>
      </c>
      <c r="S13" s="508" t="s">
        <v>262</v>
      </c>
      <c r="T13" s="509" t="s">
        <v>263</v>
      </c>
      <c r="U13" s="477"/>
      <c r="V13" s="477"/>
      <c r="W13" s="477"/>
      <c r="X13" s="477"/>
      <c r="Y13" s="477"/>
      <c r="Z13" s="477"/>
      <c r="AA13" s="477"/>
      <c r="AB13" s="477"/>
      <c r="AC13" s="485"/>
      <c r="AD13" s="405">
        <f t="shared" si="0"/>
        <v>0</v>
      </c>
      <c r="AE13" s="406" t="str">
        <f>IFERROR(INDEX(V!$R:$R,MATCH(AF13,V!$L:$L,0)),"")</f>
        <v/>
      </c>
      <c r="AF13" s="407" t="str">
        <f t="shared" si="1"/>
        <v/>
      </c>
      <c r="AG13" s="406" t="str">
        <f>IFERROR(INDEX(V!$R:$R,MATCH(AH13,V!$L:$L,0)),"")</f>
        <v/>
      </c>
      <c r="AH13" s="407" t="str">
        <f t="shared" si="2"/>
        <v/>
      </c>
      <c r="AI13" s="406" t="str">
        <f>IFERROR(INDEX(V!$R:$R,MATCH(AJ13,V!$L:$L,0)),"")</f>
        <v/>
      </c>
      <c r="AJ13" s="407" t="str">
        <f t="shared" si="3"/>
        <v/>
      </c>
      <c r="AK13" s="406" t="str">
        <f>IFERROR(INDEX(V!$R:$R,MATCH(AL13,V!$L:$L,0)),"")</f>
        <v/>
      </c>
      <c r="AL13" s="407" t="str">
        <f t="shared" si="4"/>
        <v/>
      </c>
      <c r="AM13" s="406" t="str">
        <f>IFERROR(INDEX(V!$R:$R,MATCH(AN13,V!$L:$L,0)),"")</f>
        <v/>
      </c>
      <c r="AN13" s="407" t="str">
        <f t="shared" si="5"/>
        <v/>
      </c>
      <c r="AO13" s="406" t="str">
        <f>IFERROR(INDEX(V!$R:$R,MATCH(AP13,V!$L:$L,0)),"")</f>
        <v/>
      </c>
      <c r="AP13" s="407" t="str">
        <f t="shared" si="6"/>
        <v/>
      </c>
    </row>
    <row r="14" spans="1:42" x14ac:dyDescent="0.2">
      <c r="A14" s="316">
        <v>1</v>
      </c>
      <c r="B14" s="510" t="s">
        <v>272</v>
      </c>
      <c r="C14" s="319"/>
      <c r="D14" s="318">
        <v>2</v>
      </c>
      <c r="E14" s="318">
        <v>13</v>
      </c>
      <c r="F14" s="318">
        <v>7</v>
      </c>
      <c r="G14" s="318"/>
      <c r="H14" s="317" t="str">
        <f>(IF(D14-C15&gt;0,1)+IF(E14-C16&gt;0,1)+IF(F14-C17&gt;0,1)+IF(G14-C18&gt;0,1))&amp;"-"&amp;(IF(D14-C15&lt;0,1)+IF(E14-C16&lt;0,1)+IF(F14-C17&lt;0,1)+IF(G14-C18&lt;0,1))</f>
        <v>1-2</v>
      </c>
      <c r="I14" s="318" t="str">
        <f>IF(AND(B14&lt;&gt;"",R$6=TRUE),A$13&amp;RANK(S14,S$14:S$18,0)," ")</f>
        <v>B3</v>
      </c>
      <c r="J14" s="480">
        <f>IF(AND(Q14=1,Q15=1,D14&gt;C15),1)+IF(AND(Q14=1,Q16=1,E14&gt;C16),1)+IF(AND(Q14=1,Q17=1,F14&gt;C17),1)+IF(AND(Q14=1,Q18=1,G14&gt;C18),1)+IF(AND(Q14=2,Q15=2,D14&gt;C15),1)+IF(AND(Q14=2,Q16=2,E14&gt;C16),1)+IF(AND(Q14=2,Q17=2,F14&gt;C17),1)+IF(AND(Q14=2,Q18=2,G14&gt;C18),1)+IF(AND(Q14=3,Q15=3,D14&gt;C15),1)+IF(AND(Q14=3,Q16=3,E14&gt;C16),1)+IF(AND(Q14=3,Q17=3,F14&gt;C17),1)+IF(AND(Q14=3,Q18=3,G14&gt;C18),1)</f>
        <v>0</v>
      </c>
      <c r="K14" s="481">
        <f>SUM(AND(T14=T15,D14&gt;C15),AND(T14=T16,E14&gt;C16),AND(T14=T17,F14&gt;C17),AND(T14=T18,G14&gt;C18))</f>
        <v>0</v>
      </c>
      <c r="L14" s="482">
        <f>IF(AND(Q14=1,Q15=1),D14-C15)+IF(AND(Q14=1,Q16=1),E14-C16)+IF(AND(Q14=1,Q17=1),F14-C17)+IF(AND(Q14=1,Q18=1),G14-C18)+IF(AND(Q14=2,Q15=2),D14-C15)+IF(AND(Q14=2,Q16=2),E14-C16)+IF(AND(Q14=2,Q17=2),F14-C17)+IF(AND(Q14=2,Q18=2),G14-C18)+IF(AND(Q14=3,Q15=3),D14-C15)+IF(AND(Q14=3,Q16=3),E14-C16)+IF(AND(Q14=3,Q17=3),F14-C17)+IF(AND(Q14=3,Q18=3),G14-C18)+IF(AND(Q14=4,Q15=4),D14-C15)+IF(AND(Q14=4,Q16=4),E14-C16)+IF(AND(Q14=4,Q17=4),F14-C17)+IF(AND(Q14=4,Q18=4),G14-C18)</f>
        <v>0</v>
      </c>
      <c r="M14" s="483">
        <f>SUM(AND(R14=R15,D14&gt;C15),AND(R14=R16,E14&gt;C16),AND(R14=R17,F14&gt;C17),AND(R14=R18,G14&gt;C18))</f>
        <v>0</v>
      </c>
      <c r="N14" s="537" t="str">
        <f>SUM(C14:G14)&amp;"-"&amp;SUM(C14:C18)</f>
        <v>22-34</v>
      </c>
      <c r="O14" s="538">
        <f>D14+E14+F14+G14-C15-C16-C17-C18</f>
        <v>-12</v>
      </c>
      <c r="P14" s="485">
        <f>SUM(C14:G14,C14:C18)/SUM(C14:C18)</f>
        <v>1.6470588235294117</v>
      </c>
      <c r="Q14" s="320">
        <f>VALUE(LEFT(H14,1))</f>
        <v>1</v>
      </c>
      <c r="R14" s="321">
        <f>Q14*100000+J14*10000+K14*1000+100*L14</f>
        <v>100000</v>
      </c>
      <c r="S14" s="486">
        <f>R14+M14*0.1+IF(ISNONTEXT(B14),0,0.01)+0.0001*O14</f>
        <v>100000.0088</v>
      </c>
      <c r="T14" s="487" t="str">
        <f>Q14&amp;J14</f>
        <v>10</v>
      </c>
      <c r="U14" s="477"/>
      <c r="V14" s="477"/>
      <c r="W14" s="477"/>
      <c r="X14" s="477"/>
      <c r="Y14" s="477"/>
      <c r="Z14" s="477"/>
      <c r="AA14" s="477"/>
      <c r="AB14" s="477"/>
      <c r="AC14" s="485"/>
      <c r="AD14" s="405">
        <f t="shared" si="0"/>
        <v>272</v>
      </c>
      <c r="AE14" s="406">
        <f>IFERROR(INDEX(V!$R:$R,MATCH(AF14,V!$L:$L,0)),"")</f>
        <v>148</v>
      </c>
      <c r="AF14" s="407" t="str">
        <f t="shared" si="1"/>
        <v>Andrei Grintšak</v>
      </c>
      <c r="AG14" s="406">
        <f>IFERROR(INDEX(V!$R:$R,MATCH(AH14,V!$L:$L,0)),"")</f>
        <v>124</v>
      </c>
      <c r="AH14" s="407" t="str">
        <f t="shared" si="2"/>
        <v>Boriss Klubov</v>
      </c>
      <c r="AI14" s="406" t="str">
        <f>IFERROR(INDEX(V!$R:$R,MATCH(AJ14,V!$L:$L,0)),"")</f>
        <v/>
      </c>
      <c r="AJ14" s="407" t="str">
        <f t="shared" si="3"/>
        <v/>
      </c>
      <c r="AK14" s="406" t="str">
        <f>IFERROR(INDEX(V!$R:$R,MATCH(AL14,V!$L:$L,0)),"")</f>
        <v/>
      </c>
      <c r="AL14" s="407" t="str">
        <f t="shared" si="4"/>
        <v/>
      </c>
      <c r="AM14" s="406" t="str">
        <f>IFERROR(INDEX(V!$R:$R,MATCH(AN14,V!$L:$L,0)),"")</f>
        <v/>
      </c>
      <c r="AN14" s="407" t="str">
        <f t="shared" si="5"/>
        <v/>
      </c>
      <c r="AO14" s="406" t="str">
        <f>IFERROR(INDEX(V!$R:$R,MATCH(AP14,V!$L:$L,0)),"")</f>
        <v/>
      </c>
      <c r="AP14" s="407" t="str">
        <f t="shared" si="6"/>
        <v/>
      </c>
    </row>
    <row r="15" spans="1:42" x14ac:dyDescent="0.2">
      <c r="A15" s="316">
        <v>2</v>
      </c>
      <c r="B15" s="479" t="s">
        <v>410</v>
      </c>
      <c r="C15" s="318">
        <v>13</v>
      </c>
      <c r="D15" s="319"/>
      <c r="E15" s="318">
        <v>13</v>
      </c>
      <c r="F15" s="318">
        <v>13</v>
      </c>
      <c r="G15" s="318"/>
      <c r="H15" s="317" t="str">
        <f>(IF(C15-D14&gt;0,1)+IF(E15-D16&gt;0,1)+IF(F15-D17&gt;0,1)+IF(G15-D18&gt;0,1))&amp;"-"&amp;(IF(C15-D14&lt;0,1)+IF(E15-D16&lt;0,1)+IF(F15-D17&lt;0,1)+IF(G15-D18&lt;0,1))</f>
        <v>3-0</v>
      </c>
      <c r="I15" s="318" t="str">
        <f>IF(AND(B15&lt;&gt;"",R$6=TRUE),A$13&amp;RANK(S15,S$14:S$18,0)," ")</f>
        <v>B1</v>
      </c>
      <c r="J15" s="489">
        <f>IF(AND(Q15=1,Q14=1,C15&gt;D14),1)+IF(AND(Q15=1,Q16=1,E15&gt;D16),1)+IF(AND(Q15=1,Q17=1,F15&gt;D17),1)+IF(AND(Q15=1,Q18=1,G15&gt;D18),1)+IF(AND(Q15=2,Q14=2,C15&gt;D14),1)+IF(AND(Q15=2,Q16=2,E15&gt;D16),1)+IF(AND(Q15=2,Q17=2,F15&gt;D17),1)+IF(AND(Q15=2,Q18=2,G15&gt;D18),1)+IF(AND(Q15=3,Q14=3,C15&gt;D14),1)+IF(AND(Q15=3,Q16=3,E15&gt;D16),1)+IF(AND(Q15=3,Q17=3,F15&gt;D17),1)+IF(AND(Q15=3,Q18=3,G15&gt;D18),1)</f>
        <v>0</v>
      </c>
      <c r="K15" s="483">
        <f>SUM(AND(T15=T14,C15&gt;D14),AND(T15=T16,E15&gt;D16),AND(T15=T17,F15&gt;D17),AND(T15=T18,G15&gt;D18))</f>
        <v>0</v>
      </c>
      <c r="L15" s="490">
        <f>IF(AND(Q15=1,Q14=1),C15-D14)+IF(AND(Q15=1,Q16=1),E15-D16)+IF(AND(Q15=1,Q17=1),F15-D17)+IF(AND(Q15=1,Q18=1),G15-D18)+IF(AND(Q15=2,Q14=2),C15-D14)+IF(AND(Q15=2,Q16=2),E15-D16)+IF(AND(Q15=2,Q17=2),F15-D17)+IF(AND(Q15=2,Q18=2),G15-D18)+IF(AND(Q15=3,Q14=3),C15-D14)+IF(AND(Q15=3,Q16=3),E15-D16)+IF(AND(Q15=3,Q17=3),F15-D17)+IF(AND(Q15=3,Q18=3),G15-D18)+IF(AND(Q15=4,Q14=4),C15-D14)+IF(AND(Q15=4,Q16=4),E15-D16)+IF(AND(Q15=4,Q17=4),F15-D17)+IF(AND(Q15=4,Q18=4),G15-D18)</f>
        <v>0</v>
      </c>
      <c r="M15" s="483">
        <f>SUM(AND(R15=R14,C15&gt;D14),AND(R15=R16,E15&gt;D16),AND(R15=R17,F15&gt;D17),AND(R15=R18,G15&gt;D18))</f>
        <v>0</v>
      </c>
      <c r="N15" s="537" t="str">
        <f>SUM(C15:G15)&amp;"-"&amp;SUM(D14:D18)</f>
        <v>39-14</v>
      </c>
      <c r="O15" s="538">
        <f>C15+E15+F15+G15-D14-D16-D17-D18</f>
        <v>25</v>
      </c>
      <c r="P15" s="485">
        <f>SUM(C15:G15,D14:D18)/SUM(D14:D18)</f>
        <v>3.7857142857142856</v>
      </c>
      <c r="Q15" s="491">
        <f>VALUE(LEFT(H15,1))</f>
        <v>3</v>
      </c>
      <c r="R15" s="321">
        <f>Q15*100000+J15*10000+K15*1000+100*L15</f>
        <v>300000</v>
      </c>
      <c r="S15" s="486">
        <f>R15+M15*0.1+IF(ISNONTEXT(B15),0,0.01)+0.0001*O15</f>
        <v>300000.01250000001</v>
      </c>
      <c r="T15" s="487" t="str">
        <f>Q15&amp;J15</f>
        <v>30</v>
      </c>
      <c r="U15" s="477"/>
      <c r="V15" s="477"/>
      <c r="W15" s="477"/>
      <c r="X15" s="477"/>
      <c r="Y15" s="477"/>
      <c r="Z15" s="477"/>
      <c r="AA15" s="477"/>
      <c r="AB15" s="477"/>
      <c r="AC15" s="485"/>
      <c r="AD15" s="405">
        <f t="shared" si="0"/>
        <v>290</v>
      </c>
      <c r="AE15" s="406">
        <f>IFERROR(INDEX(V!$R:$R,MATCH(AF15,V!$L:$L,0)),"")</f>
        <v>164</v>
      </c>
      <c r="AF15" s="407" t="str">
        <f t="shared" si="1"/>
        <v>Kaspar Mänd</v>
      </c>
      <c r="AG15" s="406">
        <f>IFERROR(INDEX(V!$R:$R,MATCH(AH15,V!$L:$L,0)),"")</f>
        <v>126</v>
      </c>
      <c r="AH15" s="407" t="str">
        <f t="shared" si="2"/>
        <v>Oleg Rõndenkov</v>
      </c>
      <c r="AI15" s="406" t="str">
        <f>IFERROR(INDEX(V!$R:$R,MATCH(AJ15,V!$L:$L,0)),"")</f>
        <v/>
      </c>
      <c r="AJ15" s="407" t="str">
        <f t="shared" si="3"/>
        <v/>
      </c>
      <c r="AK15" s="406" t="str">
        <f>IFERROR(INDEX(V!$R:$R,MATCH(AL15,V!$L:$L,0)),"")</f>
        <v/>
      </c>
      <c r="AL15" s="407" t="str">
        <f t="shared" si="4"/>
        <v/>
      </c>
      <c r="AM15" s="406" t="str">
        <f>IFERROR(INDEX(V!$R:$R,MATCH(AN15,V!$L:$L,0)),"")</f>
        <v/>
      </c>
      <c r="AN15" s="407" t="str">
        <f t="shared" si="5"/>
        <v/>
      </c>
      <c r="AO15" s="406" t="str">
        <f>IFERROR(INDEX(V!$R:$R,MATCH(AP15,V!$L:$L,0)),"")</f>
        <v/>
      </c>
      <c r="AP15" s="407" t="str">
        <f t="shared" si="6"/>
        <v/>
      </c>
    </row>
    <row r="16" spans="1:42" x14ac:dyDescent="0.2">
      <c r="A16" s="316">
        <v>3</v>
      </c>
      <c r="B16" s="488" t="s">
        <v>279</v>
      </c>
      <c r="C16" s="318">
        <v>8</v>
      </c>
      <c r="D16" s="492">
        <v>5</v>
      </c>
      <c r="E16" s="319"/>
      <c r="F16" s="318">
        <v>6</v>
      </c>
      <c r="G16" s="318"/>
      <c r="H16" s="317" t="str">
        <f>(IF(C16-E14&gt;0,1)+IF(D16-E15&gt;0,1)+IF(F16-E17&gt;0,1)+IF(G16-E18&gt;0,1))&amp;"-"&amp;(IF(C16-E14&lt;0,1)+IF(D16-E15&lt;0,1)+IF(F16-E17&lt;0,1)+IF(G16-E18&lt;0,1))</f>
        <v>0-3</v>
      </c>
      <c r="I16" s="318" t="str">
        <f>IF(AND(B16&lt;&gt;"",R$6=TRUE),A$13&amp;RANK(S16,S$14:S$18,0)," ")</f>
        <v>B4</v>
      </c>
      <c r="J16" s="489">
        <f>IF(AND(Q16=1,Q14=1,C16&gt;E14),1)+IF(AND(Q16=1,Q15=1,D16&gt;E15),1)+IF(AND(Q16=1,Q17=1,F16&gt;E17),1)+IF(AND(Q16=1,Q18=1,G16&gt;E18),1)+IF(AND(Q16=2,Q14=2,C16&gt;E14),1)+IF(AND(Q16=2,Q15=2,D16&gt;E15),1)+IF(AND(Q16=2,Q17=2,F16&gt;E17),1)+IF(AND(Q16=2,Q18=2,G16&gt;E18),1)+IF(AND(Q16=3,Q14=3,C16&gt;E14),1)+IF(AND(Q16=3,Q15=3,D16&gt;E15),1)+IF(AND(Q16=3,Q17=3,F16&gt;E17),1)+IF(AND(Q16=3,Q18=3,G16&gt;E18),1)</f>
        <v>0</v>
      </c>
      <c r="K16" s="483">
        <f>SUM(AND(T16=T14,C16&gt;E14),AND(T16=T15,D16&gt;E15),AND(T16=T17,F16&gt;E17),AND(T16=T18,G16&gt;E18))</f>
        <v>0</v>
      </c>
      <c r="L16" s="490">
        <f>IF(AND(Q16=1,Q14=1),C16-E14)+IF(AND(Q16=1,Q15=1),D16-E15)+IF(AND(Q16=1,Q17=1),F16-E17)+IF(AND(Q16=1,Q18=1),G16-E18)+IF(AND(Q16=2,Q14=2),C16-E14)+IF(AND(Q16=2,Q15=2),D16-E15)+IF(AND(Q16=2,Q17=2),F16-E17)+IF(AND(Q16=2,Q18=2),G16-E18)+IF(AND(Q16=3,Q14=3),C16-E14)+IF(AND(Q16=3,Q15=3),D16-E15)+IF(AND(Q16=3,Q17=3),F16-E17)+IF(AND(Q16=3,Q18=3),G16-E18)+IF(AND(Q16=4,Q14=4),C16-E14)+IF(AND(Q16=4,Q15=4),D16-E15)+IF(AND(Q16=4,Q17=4),F16-E17)+IF(AND(Q16=4,Q18=4),G16-E18)</f>
        <v>0</v>
      </c>
      <c r="M16" s="483">
        <f>SUM(AND(R16=R14,C16&gt;E14),AND(R16=R15,D16&gt;E15),AND(R16=R17,F16&gt;E17),AND(R16=R18,G16&gt;E18))</f>
        <v>0</v>
      </c>
      <c r="N16" s="537" t="str">
        <f>SUM(C16:G16)&amp;"-"&amp;SUM(E14:E18)</f>
        <v>19-39</v>
      </c>
      <c r="O16" s="538">
        <f>C16+D16+F16+G16-E14-E15-E17-E18</f>
        <v>-20</v>
      </c>
      <c r="P16" s="485">
        <f>SUM(C16:G16,E14:E18)/SUM(E14:E18)</f>
        <v>1.4871794871794872</v>
      </c>
      <c r="Q16" s="491">
        <f>VALUE(LEFT(H16,1))</f>
        <v>0</v>
      </c>
      <c r="R16" s="321">
        <f>Q16*100000+J16*10000+K16*1000+100*L16</f>
        <v>0</v>
      </c>
      <c r="S16" s="486">
        <f>R16+M16*0.1+IF(ISNONTEXT(B16),0,0.01)+0.0001*O16</f>
        <v>8.0000000000000002E-3</v>
      </c>
      <c r="T16" s="487" t="str">
        <f>Q16&amp;J16</f>
        <v>00</v>
      </c>
      <c r="U16" s="477"/>
      <c r="V16" s="477"/>
      <c r="W16" s="477"/>
      <c r="X16" s="477"/>
      <c r="Y16" s="477"/>
      <c r="Z16" s="477"/>
      <c r="AA16" s="477"/>
      <c r="AB16" s="477"/>
      <c r="AC16" s="485"/>
      <c r="AD16" s="405">
        <f t="shared" si="0"/>
        <v>160</v>
      </c>
      <c r="AE16" s="406">
        <f>IFERROR(INDEX(V!$R:$R,MATCH(AF16,V!$L:$L,0)),"")</f>
        <v>81</v>
      </c>
      <c r="AF16" s="407" t="str">
        <f t="shared" si="1"/>
        <v>Jaan Saar</v>
      </c>
      <c r="AG16" s="406">
        <f>IFERROR(INDEX(V!$R:$R,MATCH(AH16,V!$L:$L,0)),"")</f>
        <v>79</v>
      </c>
      <c r="AH16" s="407" t="str">
        <f t="shared" si="2"/>
        <v>Liidia Põllu</v>
      </c>
      <c r="AI16" s="406" t="str">
        <f>IFERROR(INDEX(V!$R:$R,MATCH(AJ16,V!$L:$L,0)),"")</f>
        <v/>
      </c>
      <c r="AJ16" s="407" t="str">
        <f t="shared" si="3"/>
        <v/>
      </c>
      <c r="AK16" s="406" t="str">
        <f>IFERROR(INDEX(V!$R:$R,MATCH(AL16,V!$L:$L,0)),"")</f>
        <v/>
      </c>
      <c r="AL16" s="407" t="str">
        <f t="shared" si="4"/>
        <v/>
      </c>
      <c r="AM16" s="406" t="str">
        <f>IFERROR(INDEX(V!$R:$R,MATCH(AN16,V!$L:$L,0)),"")</f>
        <v/>
      </c>
      <c r="AN16" s="407" t="str">
        <f t="shared" si="5"/>
        <v/>
      </c>
      <c r="AO16" s="406" t="str">
        <f>IFERROR(INDEX(V!$R:$R,MATCH(AP16,V!$L:$L,0)),"")</f>
        <v/>
      </c>
      <c r="AP16" s="407" t="str">
        <f t="shared" si="6"/>
        <v/>
      </c>
    </row>
    <row r="17" spans="1:42" x14ac:dyDescent="0.2">
      <c r="A17" s="316">
        <v>4</v>
      </c>
      <c r="B17" s="493" t="s">
        <v>411</v>
      </c>
      <c r="C17" s="318">
        <v>13</v>
      </c>
      <c r="D17" s="492">
        <v>7</v>
      </c>
      <c r="E17" s="318">
        <v>13</v>
      </c>
      <c r="F17" s="319"/>
      <c r="G17" s="511"/>
      <c r="H17" s="317" t="str">
        <f>(IF(C17-F14&gt;0,1)+IF(D17-F15&gt;0,1)+IF(E17-F16&gt;0,1)+IF(G17-F18&gt;0,1))&amp;"-"&amp;(IF(C17-F14&lt;0,1)+IF(D17-F15&lt;0,1)+IF(E17-F16&lt;0,1)+IF(G17-F18&lt;0,1))</f>
        <v>2-1</v>
      </c>
      <c r="I17" s="318" t="str">
        <f>IF(AND(B17&lt;&gt;"",R$6=TRUE),A$13&amp;RANK(S17,S$14:S$18,0)," ")</f>
        <v>B2</v>
      </c>
      <c r="J17" s="489">
        <f>IF(AND(Q17=1,Q14=1,C17&gt;F14),1)+IF(AND(Q17=1,Q15=1,D17&gt;F15),1)+IF(AND(Q17=1,Q16=1,E17&gt;F16),1)+IF(AND(Q17=1,Q18=1,G17&gt;F18),1)+IF(AND(Q17=2,Q14=2,C17&gt;F14),1)+IF(AND(Q17=2,Q15=2,D17&gt;F15),1)+IF(AND(Q17=2,Q16=2,E17&gt;F16),1)+IF(AND(Q17=2,Q18=2,G17&gt;F18),1)+IF(AND(Q17=3,Q14=3,C17&gt;F14),1)+IF(AND(Q17=3,Q15=3,D17&gt;F15),1)+IF(AND(Q17=3,Q16=3,E17&gt;F16),1)+IF(AND(Q17=3,Q18=3,G17&gt;F18),1)</f>
        <v>0</v>
      </c>
      <c r="K17" s="483">
        <f>SUM(AND(T17=T14,C17&gt;F14),AND(T17=T15,D17&gt;F15),AND(T17=T16,E17&gt;F16),AND(T17=T18,G17&gt;F18))</f>
        <v>0</v>
      </c>
      <c r="L17" s="490">
        <f>IF(AND(Q17=1,Q14=1),C17-F14)+IF(AND(Q17=1,Q15=1),D17-F15)+IF(AND(Q17=1,Q16=1),E17-F16)+IF(AND(Q17=1,Q18=1),G17-F18)+IF(AND(Q17=2,Q14=2),C17-F14)+IF(AND(Q17=2,Q15=2),D17-F15)+IF(AND(Q17=2,Q16=2),E17-F16)+IF(AND(Q17=2,Q18=2),G17-F18)+IF(AND(Q17=3,Q14=3),C17-F14)+IF(AND(Q17=3,Q15=3),D17-F15)+IF(AND(Q17=3,Q16=3),E17-F16)+IF(AND(Q17=3,Q18=3),G17-F18)+IF(AND(Q17=4,Q14=4),C17-F14)+IF(AND(Q17=4,Q15=4),D17-F15)+IF(AND(Q17=4,Q16=4),E17-F16)+IF(AND(Q17=4,Q18=4),G17-F18)</f>
        <v>0</v>
      </c>
      <c r="M17" s="483">
        <f>SUM(AND(R17=R14,C17&gt;F14),AND(R17=R15,D17&gt;F15),AND(R17=R16,E17&gt;F16),AND(R17=R18,G17&gt;F18))</f>
        <v>0</v>
      </c>
      <c r="N17" s="537" t="str">
        <f>SUM(C17:G17)&amp;"-"&amp;SUM(F14:F18)</f>
        <v>33-26</v>
      </c>
      <c r="O17" s="538">
        <f>C17+D17+E17+G17-F14-F15-F16-F18</f>
        <v>7</v>
      </c>
      <c r="P17" s="485">
        <f>SUM(C17:G17,F14:F18)/SUM(F14:F18)</f>
        <v>2.2692307692307692</v>
      </c>
      <c r="Q17" s="491">
        <f>VALUE(LEFT(H17,1))</f>
        <v>2</v>
      </c>
      <c r="R17" s="321">
        <f>Q17*100000+J17*10000+K17*1000+100*L17</f>
        <v>200000</v>
      </c>
      <c r="S17" s="486">
        <f>R17+M17*0.1+IF(ISNONTEXT(B17),0,0.01)+0.0001*O17</f>
        <v>200000.01070000001</v>
      </c>
      <c r="T17" s="487" t="str">
        <f>Q17&amp;J17</f>
        <v>20</v>
      </c>
      <c r="U17" s="477"/>
      <c r="V17" s="477"/>
      <c r="W17" s="477"/>
      <c r="X17" s="477"/>
      <c r="Y17" s="477"/>
      <c r="Z17" s="477"/>
      <c r="AA17" s="477"/>
      <c r="AB17" s="477"/>
      <c r="AC17" s="485"/>
      <c r="AD17" s="405">
        <f t="shared" si="0"/>
        <v>87</v>
      </c>
      <c r="AE17" s="406">
        <f>IFERROR(INDEX(V!$R:$R,MATCH(AF17,V!$L:$L,0)),"")</f>
        <v>57</v>
      </c>
      <c r="AF17" s="407" t="str">
        <f t="shared" si="1"/>
        <v>Tõnu Kapper</v>
      </c>
      <c r="AG17" s="406">
        <f>IFERROR(INDEX(V!$R:$R,MATCH(AH17,V!$L:$L,0)),"")</f>
        <v>30</v>
      </c>
      <c r="AH17" s="407" t="str">
        <f t="shared" si="2"/>
        <v>Urmas Jõeäär</v>
      </c>
      <c r="AI17" s="406" t="str">
        <f>IFERROR(INDEX(V!$R:$R,MATCH(AJ17,V!$L:$L,0)),"")</f>
        <v/>
      </c>
      <c r="AJ17" s="407" t="str">
        <f t="shared" si="3"/>
        <v/>
      </c>
      <c r="AK17" s="406" t="str">
        <f>IFERROR(INDEX(V!$R:$R,MATCH(AL17,V!$L:$L,0)),"")</f>
        <v/>
      </c>
      <c r="AL17" s="407" t="str">
        <f t="shared" si="4"/>
        <v/>
      </c>
      <c r="AM17" s="406" t="str">
        <f>IFERROR(INDEX(V!$R:$R,MATCH(AN17,V!$L:$L,0)),"")</f>
        <v/>
      </c>
      <c r="AN17" s="407" t="str">
        <f t="shared" si="5"/>
        <v/>
      </c>
      <c r="AO17" s="406" t="str">
        <f>IFERROR(INDEX(V!$R:$R,MATCH(AP17,V!$L:$L,0)),"")</f>
        <v/>
      </c>
      <c r="AP17" s="407" t="str">
        <f t="shared" si="6"/>
        <v/>
      </c>
    </row>
    <row r="18" spans="1:42" hidden="1" x14ac:dyDescent="0.2">
      <c r="A18" s="316">
        <v>5</v>
      </c>
      <c r="B18" s="493"/>
      <c r="C18" s="318"/>
      <c r="D18" s="318"/>
      <c r="E18" s="318"/>
      <c r="F18" s="318"/>
      <c r="G18" s="319"/>
      <c r="H18" s="317" t="str">
        <f>(IF(C18-G14&gt;0,1)+IF(D18-G15&gt;0,1)+IF(E18-G16&gt;0,1)+IF(F18-G17&gt;0,1))&amp;"-"&amp;(IF(C18-G14&lt;0,1)+IF(D18-G15&lt;0,1)+IF(E18-G16&lt;0,1)+IF(F18-G17&lt;0,1))</f>
        <v>0-0</v>
      </c>
      <c r="I18" s="318" t="str">
        <f>IF(AND(B18&lt;&gt;"",R$6=TRUE),A$13&amp;RANK(S18,S$14:S$18,0)," ")</f>
        <v xml:space="preserve"> </v>
      </c>
      <c r="J18" s="489">
        <f>IF(AND(Q18=1,Q14=1,C18&gt;G14),1)+IF(AND(Q18=1,Q15=1,D18&gt;G15),1)+IF(AND(Q18=1,Q16=1,E18&gt;G16),1)+IF(AND(Q18=1,Q17=1,F18&gt;G17),1)+IF(AND(Q18=2,Q14=2,C18&gt;G14),1)+IF(AND(Q18=2,Q15=2,D18&gt;G15),1)+IF(AND(Q18=2,Q16=2,E18&gt;G16),1)+IF(AND(Q18=2,Q17=2,F18&gt;G17),1)+IF(AND(Q18=3,Q14=3,C18&gt;G14),1)+IF(AND(Q18=3,Q15=3,D18&gt;G15),1)+IF(AND(Q18=3,Q16=3,E18&gt;G16),1)+IF(AND(Q18=3,Q17=3,F18&gt;G17),1)</f>
        <v>0</v>
      </c>
      <c r="K18" s="483">
        <f>SUM(AND(T18=T14,C18&gt;G14),AND(T18=T15,D18&gt;G15),AND(T18=T16,E18&gt;G16),AND(T18=T17,F18&gt;G17))</f>
        <v>0</v>
      </c>
      <c r="L18" s="490">
        <f>IF(AND(Q18=1,Q14=1),C18-G14)+IF(AND(Q18=1,Q15=1),D18-G15)+IF(AND(Q18=1,Q16=1),E18-G16)+IF(AND(Q18=1,Q17=1),F18-G17)+IF(AND(Q18=2,Q14=2),C18-G14)+IF(AND(Q18=2,Q15=2),D18-G15)+IF(AND(Q18=2,Q16=2),E18-G16)+IF(AND(Q18=2,Q17=2),F18-G17)+IF(AND(Q18=3,Q14=3),C18-G14)+IF(AND(Q18=3,Q15=3),D18-G15)+IF(AND(Q18=3,Q16=3),E18-G16)+IF(AND(Q18=3,Q17=3),F18-G17)+IF(AND(Q18=4,Q14=4),C18-G14)+IF(AND(Q18=4,Q15=4),D18-G15)+IF(AND(Q18=4,Q16=4),E18-G16)+IF(AND(Q18=4,Q17=4),F18-G17)</f>
        <v>0</v>
      </c>
      <c r="M18" s="483">
        <f>SUM(AND(R18=R14,C18&gt;G14),AND(R18=R15,D18&gt;G15),AND(R18=R16,E18&gt;G16),AND(R18=R17,F18&gt;G17))</f>
        <v>0</v>
      </c>
      <c r="N18" s="537" t="str">
        <f>SUM(C18:G18)&amp;"-"&amp;SUM(G14:G18)</f>
        <v>0-0</v>
      </c>
      <c r="O18" s="538">
        <f>C18+D18+E18+F18-G14-G15-G16-G17</f>
        <v>0</v>
      </c>
      <c r="P18" s="485" t="e">
        <f>SUM(C18:G18,G14:G18)/SUM(G14:G18)</f>
        <v>#DIV/0!</v>
      </c>
      <c r="Q18" s="491">
        <f>VALUE(LEFT(H18,1))</f>
        <v>0</v>
      </c>
      <c r="R18" s="321">
        <f>Q18*100000+J18*10000+K18*1000+100*L18</f>
        <v>0</v>
      </c>
      <c r="S18" s="486">
        <f>R18+M18*0.1+IF(ISNONTEXT(B18),0,0.01)+0.0001*O18</f>
        <v>0</v>
      </c>
      <c r="T18" s="487" t="str">
        <f>Q18&amp;J18</f>
        <v>00</v>
      </c>
      <c r="U18" s="477"/>
      <c r="V18" s="477"/>
      <c r="W18" s="477"/>
      <c r="X18" s="477"/>
      <c r="Y18" s="477"/>
      <c r="Z18" s="477"/>
      <c r="AA18" s="477"/>
      <c r="AB18" s="477"/>
      <c r="AC18" s="485"/>
      <c r="AD18" s="405">
        <f t="shared" si="0"/>
        <v>0</v>
      </c>
      <c r="AE18" s="406" t="str">
        <f>IFERROR(INDEX(V!$R:$R,MATCH(AF18,V!$L:$L,0)),"")</f>
        <v/>
      </c>
      <c r="AF18" s="407" t="str">
        <f t="shared" si="1"/>
        <v/>
      </c>
      <c r="AG18" s="406" t="str">
        <f>IFERROR(INDEX(V!$R:$R,MATCH(AH18,V!$L:$L,0)),"")</f>
        <v/>
      </c>
      <c r="AH18" s="407" t="str">
        <f t="shared" si="2"/>
        <v/>
      </c>
      <c r="AI18" s="406" t="str">
        <f>IFERROR(INDEX(V!$R:$R,MATCH(AJ18,V!$L:$L,0)),"")</f>
        <v/>
      </c>
      <c r="AJ18" s="407" t="str">
        <f t="shared" si="3"/>
        <v/>
      </c>
      <c r="AK18" s="406" t="str">
        <f>IFERROR(INDEX(V!$R:$R,MATCH(AL18,V!$L:$L,0)),"")</f>
        <v/>
      </c>
      <c r="AL18" s="407" t="str">
        <f t="shared" si="4"/>
        <v/>
      </c>
      <c r="AM18" s="406" t="str">
        <f>IFERROR(INDEX(V!$R:$R,MATCH(AN18,V!$L:$L,0)),"")</f>
        <v/>
      </c>
      <c r="AN18" s="407" t="str">
        <f t="shared" si="5"/>
        <v/>
      </c>
      <c r="AO18" s="406" t="str">
        <f>IFERROR(INDEX(V!$R:$R,MATCH(AP18,V!$L:$L,0)),"")</f>
        <v/>
      </c>
      <c r="AP18" s="407" t="str">
        <f t="shared" si="6"/>
        <v/>
      </c>
    </row>
    <row r="19" spans="1:42" x14ac:dyDescent="0.2">
      <c r="A19" s="494"/>
      <c r="B19" s="495"/>
      <c r="C19" s="496"/>
      <c r="D19" s="497"/>
      <c r="E19" s="496"/>
      <c r="F19" s="498"/>
      <c r="G19" s="499"/>
      <c r="H19" s="500"/>
      <c r="I19" s="512"/>
      <c r="J19" s="477"/>
      <c r="K19" s="477"/>
      <c r="L19" s="477"/>
      <c r="M19" s="477"/>
      <c r="N19" s="539"/>
      <c r="O19" s="539"/>
      <c r="P19" s="477"/>
      <c r="Q19" s="477"/>
      <c r="R19" s="502" t="s">
        <v>264</v>
      </c>
      <c r="S19" s="477"/>
      <c r="T19" s="477"/>
      <c r="U19" s="477"/>
      <c r="V19" s="477"/>
      <c r="W19" s="477"/>
      <c r="X19" s="477"/>
      <c r="Y19" s="477"/>
      <c r="Z19" s="477"/>
      <c r="AA19" s="477"/>
      <c r="AB19" s="477"/>
      <c r="AC19" s="485"/>
      <c r="AD19" s="405">
        <f t="shared" si="0"/>
        <v>0</v>
      </c>
      <c r="AE19" s="406" t="str">
        <f>IFERROR(INDEX(V!$R:$R,MATCH(AF19,V!$L:$L,0)),"")</f>
        <v/>
      </c>
      <c r="AF19" s="407" t="str">
        <f t="shared" si="1"/>
        <v/>
      </c>
      <c r="AG19" s="406" t="str">
        <f>IFERROR(INDEX(V!$R:$R,MATCH(AH19,V!$L:$L,0)),"")</f>
        <v/>
      </c>
      <c r="AH19" s="407" t="str">
        <f t="shared" si="2"/>
        <v/>
      </c>
      <c r="AI19" s="406" t="str">
        <f>IFERROR(INDEX(V!$R:$R,MATCH(AJ19,V!$L:$L,0)),"")</f>
        <v/>
      </c>
      <c r="AJ19" s="407" t="str">
        <f t="shared" si="3"/>
        <v/>
      </c>
      <c r="AK19" s="406" t="str">
        <f>IFERROR(INDEX(V!$R:$R,MATCH(AL19,V!$L:$L,0)),"")</f>
        <v/>
      </c>
      <c r="AL19" s="407" t="str">
        <f t="shared" si="4"/>
        <v/>
      </c>
      <c r="AM19" s="406" t="str">
        <f>IFERROR(INDEX(V!$R:$R,MATCH(AN19,V!$L:$L,0)),"")</f>
        <v/>
      </c>
      <c r="AN19" s="407" t="str">
        <f t="shared" si="5"/>
        <v/>
      </c>
      <c r="AO19" s="406" t="str">
        <f>IFERROR(INDEX(V!$R:$R,MATCH(AP19,V!$L:$L,0)),"")</f>
        <v/>
      </c>
      <c r="AP19" s="407" t="str">
        <f t="shared" si="6"/>
        <v/>
      </c>
    </row>
    <row r="20" spans="1:42" x14ac:dyDescent="0.2">
      <c r="A20" s="316" t="s">
        <v>2</v>
      </c>
      <c r="B20" s="503"/>
      <c r="C20" s="467">
        <v>1</v>
      </c>
      <c r="D20" s="467">
        <v>2</v>
      </c>
      <c r="E20" s="467">
        <v>3</v>
      </c>
      <c r="F20" s="467">
        <v>4</v>
      </c>
      <c r="G20" s="467"/>
      <c r="H20" s="468" t="s">
        <v>168</v>
      </c>
      <c r="I20" s="468" t="s">
        <v>169</v>
      </c>
      <c r="J20" s="504" t="s">
        <v>257</v>
      </c>
      <c r="K20" s="505" t="s">
        <v>258</v>
      </c>
      <c r="L20" s="506" t="s">
        <v>259</v>
      </c>
      <c r="M20" s="506" t="s">
        <v>260</v>
      </c>
      <c r="N20" s="472" t="s">
        <v>170</v>
      </c>
      <c r="O20" s="472" t="s">
        <v>170</v>
      </c>
      <c r="P20" s="473" t="s">
        <v>261</v>
      </c>
      <c r="Q20" s="507" t="s">
        <v>21</v>
      </c>
      <c r="R20" s="507" t="b">
        <f>OR(AND(COUNTA(B21:B25)=3,COUNTA(C21:G25)=6),AND(COUNTA(B21:B25)=4,COUNTA(C21:G25)=12),AND(COUNTA(B21:B25)=5,COUNTA(C21:G25)=20))</f>
        <v>1</v>
      </c>
      <c r="S20" s="508" t="s">
        <v>262</v>
      </c>
      <c r="T20" s="509" t="s">
        <v>263</v>
      </c>
      <c r="U20" s="477"/>
      <c r="V20" s="477"/>
      <c r="W20" s="477"/>
      <c r="X20" s="477"/>
      <c r="Y20" s="477"/>
      <c r="Z20" s="477"/>
      <c r="AA20" s="477"/>
      <c r="AB20" s="477"/>
      <c r="AC20" s="477"/>
      <c r="AD20" s="405">
        <f t="shared" si="0"/>
        <v>0</v>
      </c>
      <c r="AE20" s="406" t="str">
        <f>IFERROR(INDEX(V!$R:$R,MATCH(AF20,V!$L:$L,0)),"")</f>
        <v/>
      </c>
      <c r="AF20" s="407" t="str">
        <f t="shared" si="1"/>
        <v/>
      </c>
      <c r="AG20" s="406" t="str">
        <f>IFERROR(INDEX(V!$R:$R,MATCH(AH20,V!$L:$L,0)),"")</f>
        <v/>
      </c>
      <c r="AH20" s="407" t="str">
        <f t="shared" si="2"/>
        <v/>
      </c>
      <c r="AI20" s="406" t="str">
        <f>IFERROR(INDEX(V!$R:$R,MATCH(AJ20,V!$L:$L,0)),"")</f>
        <v/>
      </c>
      <c r="AJ20" s="407" t="str">
        <f t="shared" si="3"/>
        <v/>
      </c>
      <c r="AK20" s="406" t="str">
        <f>IFERROR(INDEX(V!$R:$R,MATCH(AL20,V!$L:$L,0)),"")</f>
        <v/>
      </c>
      <c r="AL20" s="407" t="str">
        <f t="shared" si="4"/>
        <v/>
      </c>
      <c r="AM20" s="406" t="str">
        <f>IFERROR(INDEX(V!$R:$R,MATCH(AN20,V!$L:$L,0)),"")</f>
        <v/>
      </c>
      <c r="AN20" s="407" t="str">
        <f t="shared" si="5"/>
        <v/>
      </c>
      <c r="AO20" s="406" t="str">
        <f>IFERROR(INDEX(V!$R:$R,MATCH(AP20,V!$L:$L,0)),"")</f>
        <v/>
      </c>
      <c r="AP20" s="407" t="str">
        <f t="shared" si="6"/>
        <v/>
      </c>
    </row>
    <row r="21" spans="1:42" x14ac:dyDescent="0.2">
      <c r="A21" s="316">
        <v>1</v>
      </c>
      <c r="B21" s="479" t="s">
        <v>276</v>
      </c>
      <c r="C21" s="319"/>
      <c r="D21" s="318">
        <v>13</v>
      </c>
      <c r="E21" s="318">
        <v>13</v>
      </c>
      <c r="F21" s="318">
        <v>13</v>
      </c>
      <c r="G21" s="318"/>
      <c r="H21" s="317" t="str">
        <f>(IF(D21-C22&gt;0,1)+IF(E21-C23&gt;0,1)+IF(F21-C24&gt;0,1)+IF(G21-C25&gt;0,1))&amp;"-"&amp;(IF(D21-C22&lt;0,1)+IF(E21-C23&lt;0,1)+IF(F21-C24&lt;0,1)+IF(G21-C25&lt;0,1))</f>
        <v>3-0</v>
      </c>
      <c r="I21" s="318" t="str">
        <f>IF(AND(B21&lt;&gt;"",R$20=TRUE),A$20&amp;RANK(S21,S$21:S$25,0)," ")</f>
        <v>C1</v>
      </c>
      <c r="J21" s="480">
        <f>IF(AND(Q21=1,Q22=1,D21&gt;C22),1)+IF(AND(Q21=1,Q23=1,E21&gt;C23),1)+IF(AND(Q21=1,Q24=1,F21&gt;C24),1)+IF(AND(Q21=1,Q25=1,G21&gt;C25),1)+IF(AND(Q21=2,Q22=2,D21&gt;C22),1)+IF(AND(Q21=2,Q23=2,E21&gt;C23),1)+IF(AND(Q21=2,Q24=2,F21&gt;C24),1)+IF(AND(Q21=2,Q25=2,G21&gt;C25),1)+IF(AND(Q21=3,Q22=3,D21&gt;C22),1)+IF(AND(Q21=3,Q23=3,E21&gt;C23),1)+IF(AND(Q21=3,Q24=3,F21&gt;C24),1)+IF(AND(Q21=3,Q25=3,G21&gt;C25),1)</f>
        <v>0</v>
      </c>
      <c r="K21" s="481">
        <f>SUM(AND(T21=T22,D21&gt;C22),AND(T21=T23,E21&gt;C23),AND(T21=T24,F21&gt;C24),AND(T21=T25,G21&gt;C25))</f>
        <v>0</v>
      </c>
      <c r="L21" s="482">
        <f>IF(AND(Q21=1,Q22=1),D21-C22)+IF(AND(Q21=1,Q23=1),E21-C23)+IF(AND(Q21=1,Q24=1),F21-C24)+IF(AND(Q21=1,Q25=1),G21-C25)+IF(AND(Q21=2,Q22=2),D21-C22)+IF(AND(Q21=2,Q23=2),E21-C23)+IF(AND(Q21=2,Q24=2),F21-C24)+IF(AND(Q21=2,Q25=2),G21-C25)+IF(AND(Q21=3,Q22=3),D21-C22)+IF(AND(Q21=3,Q23=3),E21-C23)+IF(AND(Q21=3,Q24=3),F21-C24)+IF(AND(Q21=3,Q25=3),G21-C25)+IF(AND(Q21=4,Q22=4),D21-C22)+IF(AND(Q21=4,Q23=4),E21-C23)+IF(AND(Q21=4,Q24=4),F21-C24)+IF(AND(Q21=4,Q25=4),G21-C25)</f>
        <v>0</v>
      </c>
      <c r="M21" s="483">
        <f>SUM(AND(R21=R22,D21&gt;C22),AND(R21=R23,E21&gt;C23),AND(R21=R24,F21&gt;C24),AND(R21=R25,G21&gt;C25))</f>
        <v>0</v>
      </c>
      <c r="N21" s="537" t="str">
        <f>SUM(C21:G21)&amp;"-"&amp;SUM(C21:C25)</f>
        <v>39-9</v>
      </c>
      <c r="O21" s="538">
        <f>D21+E21+F21+G21-C22-C23-C24-C25</f>
        <v>30</v>
      </c>
      <c r="P21" s="485">
        <f>SUM(C21:G21,C21:C25)/SUM(C21:C25)</f>
        <v>5.333333333333333</v>
      </c>
      <c r="Q21" s="320">
        <f>VALUE(LEFT(H21,1))</f>
        <v>3</v>
      </c>
      <c r="R21" s="321">
        <f>Q21*100000+J21*10000+K21*1000+100*L21</f>
        <v>300000</v>
      </c>
      <c r="S21" s="486">
        <f>R21+M21*0.1+IF(ISNONTEXT(B21),0,0.01)+0.0001*O21</f>
        <v>300000.01300000004</v>
      </c>
      <c r="T21" s="487" t="str">
        <f>Q21&amp;J21</f>
        <v>30</v>
      </c>
      <c r="U21" s="477"/>
      <c r="V21" s="477"/>
      <c r="W21" s="477"/>
      <c r="X21" s="477"/>
      <c r="Y21" s="477"/>
      <c r="Z21" s="477"/>
      <c r="AA21" s="477"/>
      <c r="AB21" s="477"/>
      <c r="AC21" s="477"/>
      <c r="AD21" s="405">
        <f t="shared" si="0"/>
        <v>356</v>
      </c>
      <c r="AE21" s="406">
        <f>IFERROR(INDEX(V!$R:$R,MATCH(AF21,V!$L:$L,0)),"")</f>
        <v>178</v>
      </c>
      <c r="AF21" s="407" t="str">
        <f t="shared" si="1"/>
        <v>Jaan Sepp</v>
      </c>
      <c r="AG21" s="406">
        <f>IFERROR(INDEX(V!$R:$R,MATCH(AH21,V!$L:$L,0)),"")</f>
        <v>178</v>
      </c>
      <c r="AH21" s="407" t="str">
        <f t="shared" si="2"/>
        <v>Oskar Sepp</v>
      </c>
      <c r="AI21" s="406" t="str">
        <f>IFERROR(INDEX(V!$R:$R,MATCH(AJ21,V!$L:$L,0)),"")</f>
        <v/>
      </c>
      <c r="AJ21" s="407" t="str">
        <f t="shared" si="3"/>
        <v/>
      </c>
      <c r="AK21" s="406" t="str">
        <f>IFERROR(INDEX(V!$R:$R,MATCH(AL21,V!$L:$L,0)),"")</f>
        <v/>
      </c>
      <c r="AL21" s="407" t="str">
        <f t="shared" si="4"/>
        <v/>
      </c>
      <c r="AM21" s="406" t="str">
        <f>IFERROR(INDEX(V!$R:$R,MATCH(AN21,V!$L:$L,0)),"")</f>
        <v/>
      </c>
      <c r="AN21" s="407" t="str">
        <f t="shared" si="5"/>
        <v/>
      </c>
      <c r="AO21" s="406" t="str">
        <f>IFERROR(INDEX(V!$R:$R,MATCH(AP21,V!$L:$L,0)),"")</f>
        <v/>
      </c>
      <c r="AP21" s="407" t="str">
        <f t="shared" si="6"/>
        <v/>
      </c>
    </row>
    <row r="22" spans="1:42" x14ac:dyDescent="0.2">
      <c r="A22" s="316">
        <v>2</v>
      </c>
      <c r="B22" s="488" t="s">
        <v>274</v>
      </c>
      <c r="C22" s="318">
        <v>7</v>
      </c>
      <c r="D22" s="319"/>
      <c r="E22" s="318">
        <v>8</v>
      </c>
      <c r="F22" s="318">
        <v>13</v>
      </c>
      <c r="G22" s="318"/>
      <c r="H22" s="317" t="str">
        <f>(IF(C22-D21&gt;0,1)+IF(E22-D23&gt;0,1)+IF(F22-D24&gt;0,1)+IF(G22-D25&gt;0,1))&amp;"-"&amp;(IF(C22-D21&lt;0,1)+IF(E22-D23&lt;0,1)+IF(F22-D24&lt;0,1)+IF(G22-D25&lt;0,1))</f>
        <v>1-2</v>
      </c>
      <c r="I22" s="318" t="str">
        <f t="shared" ref="I22:I25" si="7">IF(AND(B22&lt;&gt;"",R$20=TRUE),A$20&amp;RANK(S22,S$21:S$25,0)," ")</f>
        <v>C3</v>
      </c>
      <c r="J22" s="489">
        <f>IF(AND(Q22=1,Q21=1,C22&gt;D21),1)+IF(AND(Q22=1,Q23=1,E22&gt;D23),1)+IF(AND(Q22=1,Q24=1,F22&gt;D24),1)+IF(AND(Q22=1,Q25=1,G22&gt;D25),1)+IF(AND(Q22=2,Q21=2,C22&gt;D21),1)+IF(AND(Q22=2,Q23=2,E22&gt;D23),1)+IF(AND(Q22=2,Q24=2,F22&gt;D24),1)+IF(AND(Q22=2,Q25=2,G22&gt;D25),1)+IF(AND(Q22=3,Q21=3,C22&gt;D21),1)+IF(AND(Q22=3,Q23=3,E22&gt;D23),1)+IF(AND(Q22=3,Q24=3,F22&gt;D24),1)+IF(AND(Q22=3,Q25=3,G22&gt;D25),1)</f>
        <v>0</v>
      </c>
      <c r="K22" s="483">
        <f>SUM(AND(T22=T21,C22&gt;D21),AND(T22=T23,E22&gt;D23),AND(T22=T24,F22&gt;D24),AND(T22=T25,G22&gt;D25))</f>
        <v>0</v>
      </c>
      <c r="L22" s="490">
        <f>IF(AND(Q22=1,Q21=1),C22-D21)+IF(AND(Q22=1,Q23=1),E22-D23)+IF(AND(Q22=1,Q24=1),F22-D24)+IF(AND(Q22=1,Q25=1),G22-D25)+IF(AND(Q22=2,Q21=2),C22-D21)+IF(AND(Q22=2,Q23=2),E22-D23)+IF(AND(Q22=2,Q24=2),F22-D24)+IF(AND(Q22=2,Q25=2),G22-D25)+IF(AND(Q22=3,Q21=3),C22-D21)+IF(AND(Q22=3,Q23=3),E22-D23)+IF(AND(Q22=3,Q24=3),F22-D24)+IF(AND(Q22=3,Q25=3),G22-D25)+IF(AND(Q22=4,Q21=4),C22-D21)+IF(AND(Q22=4,Q23=4),E22-D23)+IF(AND(Q22=4,Q24=4),F22-D24)+IF(AND(Q22=4,Q25=4),G22-D25)</f>
        <v>0</v>
      </c>
      <c r="M22" s="483">
        <f>SUM(AND(R22=R21,C22&gt;D21),AND(R22=R23,E22&gt;D23),AND(R22=R24,F22&gt;D24),AND(R22=R25,G22&gt;D25))</f>
        <v>0</v>
      </c>
      <c r="N22" s="537" t="str">
        <f>SUM(C22:G22)&amp;"-"&amp;SUM(D21:D25)</f>
        <v>28-33</v>
      </c>
      <c r="O22" s="538">
        <f>C22+E22+F22+G22-D21-D23-D24-D25</f>
        <v>-5</v>
      </c>
      <c r="P22" s="485">
        <f>SUM(C22:G22,D21:D25)/SUM(D21:D25)</f>
        <v>1.8484848484848484</v>
      </c>
      <c r="Q22" s="491">
        <f>VALUE(LEFT(H22,1))</f>
        <v>1</v>
      </c>
      <c r="R22" s="321">
        <f>Q22*100000+J22*10000+K22*1000+100*L22</f>
        <v>100000</v>
      </c>
      <c r="S22" s="486">
        <f>R22+M22*0.1+IF(ISNONTEXT(B22),0,0.01)+0.0001*O22</f>
        <v>100000.0095</v>
      </c>
      <c r="T22" s="487" t="str">
        <f>Q22&amp;J22</f>
        <v>10</v>
      </c>
      <c r="U22" s="477"/>
      <c r="V22" s="477"/>
      <c r="W22" s="477"/>
      <c r="X22" s="477"/>
      <c r="Y22" s="477"/>
      <c r="Z22" s="477"/>
      <c r="AA22" s="477"/>
      <c r="AB22" s="477"/>
      <c r="AC22" s="477"/>
      <c r="AD22" s="405">
        <f t="shared" si="0"/>
        <v>276</v>
      </c>
      <c r="AE22" s="406">
        <f>IFERROR(INDEX(V!$R:$R,MATCH(AF22,V!$L:$L,0)),"")</f>
        <v>150.5</v>
      </c>
      <c r="AF22" s="407" t="str">
        <f t="shared" si="1"/>
        <v>Karla Purgats</v>
      </c>
      <c r="AG22" s="406">
        <f>IFERROR(INDEX(V!$R:$R,MATCH(AH22,V!$L:$L,0)),"")</f>
        <v>125.5</v>
      </c>
      <c r="AH22" s="407" t="str">
        <f t="shared" si="2"/>
        <v>Lemmit Toomra</v>
      </c>
      <c r="AI22" s="406" t="str">
        <f>IFERROR(INDEX(V!$R:$R,MATCH(AJ22,V!$L:$L,0)),"")</f>
        <v/>
      </c>
      <c r="AJ22" s="407" t="str">
        <f t="shared" si="3"/>
        <v/>
      </c>
      <c r="AK22" s="406" t="str">
        <f>IFERROR(INDEX(V!$R:$R,MATCH(AL22,V!$L:$L,0)),"")</f>
        <v/>
      </c>
      <c r="AL22" s="407" t="str">
        <f t="shared" si="4"/>
        <v/>
      </c>
      <c r="AM22" s="406" t="str">
        <f>IFERROR(INDEX(V!$R:$R,MATCH(AN22,V!$L:$L,0)),"")</f>
        <v/>
      </c>
      <c r="AN22" s="407" t="str">
        <f t="shared" si="5"/>
        <v/>
      </c>
      <c r="AO22" s="406" t="str">
        <f>IFERROR(INDEX(V!$R:$R,MATCH(AP22,V!$L:$L,0)),"")</f>
        <v/>
      </c>
      <c r="AP22" s="407" t="str">
        <f t="shared" si="6"/>
        <v/>
      </c>
    </row>
    <row r="23" spans="1:42" x14ac:dyDescent="0.2">
      <c r="A23" s="316">
        <v>3</v>
      </c>
      <c r="B23" s="488" t="s">
        <v>412</v>
      </c>
      <c r="C23" s="318">
        <v>1</v>
      </c>
      <c r="D23" s="492">
        <v>13</v>
      </c>
      <c r="E23" s="319"/>
      <c r="F23" s="318">
        <v>13</v>
      </c>
      <c r="G23" s="318"/>
      <c r="H23" s="317" t="str">
        <f>(IF(C23-E21&gt;0,1)+IF(D23-E22&gt;0,1)+IF(F23-E24&gt;0,1)+IF(G23-E25&gt;0,1))&amp;"-"&amp;(IF(C23-E21&lt;0,1)+IF(D23-E22&lt;0,1)+IF(F23-E24&lt;0,1)+IF(G23-E25&lt;0,1))</f>
        <v>2-1</v>
      </c>
      <c r="I23" s="318" t="str">
        <f t="shared" si="7"/>
        <v>C2</v>
      </c>
      <c r="J23" s="489">
        <f>IF(AND(Q23=1,Q21=1,C23&gt;E21),1)+IF(AND(Q23=1,Q22=1,D23&gt;E22),1)+IF(AND(Q23=1,Q24=1,F23&gt;E24),1)+IF(AND(Q23=1,Q25=1,G23&gt;E25),1)+IF(AND(Q23=2,Q21=2,C23&gt;E21),1)+IF(AND(Q23=2,Q22=2,D23&gt;E22),1)+IF(AND(Q23=2,Q24=2,F23&gt;E24),1)+IF(AND(Q23=2,Q25=2,G23&gt;E25),1)+IF(AND(Q23=3,Q21=3,C23&gt;E21),1)+IF(AND(Q23=3,Q22=3,D23&gt;E22),1)+IF(AND(Q23=3,Q24=3,F23&gt;E24),1)+IF(AND(Q23=3,Q25=3,G23&gt;E25),1)</f>
        <v>0</v>
      </c>
      <c r="K23" s="483">
        <f>SUM(AND(T23=T21,C23&gt;E21),AND(T23=T22,D23&gt;E22),AND(T23=T24,F23&gt;E24),AND(T23=T25,G23&gt;E25))</f>
        <v>0</v>
      </c>
      <c r="L23" s="490">
        <f>IF(AND(Q23=1,Q21=1),C23-E21)+IF(AND(Q23=1,Q22=1),D23-E22)+IF(AND(Q23=1,Q24=1),F23-E24)+IF(AND(Q23=1,Q25=1),G23-E25)+IF(AND(Q23=2,Q21=2),C23-E21)+IF(AND(Q23=2,Q22=2),D23-E22)+IF(AND(Q23=2,Q24=2),F23-E24)+IF(AND(Q23=2,Q25=2),G23-E25)+IF(AND(Q23=3,Q21=3),C23-E21)+IF(AND(Q23=3,Q22=3),D23-E22)+IF(AND(Q23=3,Q24=3),F23-E24)+IF(AND(Q23=3,Q25=3),G23-E25)+IF(AND(Q23=4,Q21=4),C23-E21)+IF(AND(Q23=4,Q22=4),D23-E22)+IF(AND(Q23=4,Q24=4),F23-E24)+IF(AND(Q23=4,Q25=4),G23-E25)</f>
        <v>0</v>
      </c>
      <c r="M23" s="483">
        <f>SUM(AND(R23=R21,C23&gt;E21),AND(R23=R22,D23&gt;E22),AND(R23=R24,F23&gt;E24),AND(R23=R25,G23&gt;E25))</f>
        <v>0</v>
      </c>
      <c r="N23" s="537" t="str">
        <f>SUM(C23:G23)&amp;"-"&amp;SUM(E21:E25)</f>
        <v>27-33</v>
      </c>
      <c r="O23" s="538">
        <f>C23+D23+F23+G23-E21-E22-E24-E25</f>
        <v>-6</v>
      </c>
      <c r="P23" s="485">
        <f>SUM(C23:G23,E21:E25)/SUM(E21:E25)</f>
        <v>1.8181818181818181</v>
      </c>
      <c r="Q23" s="491">
        <f>VALUE(LEFT(H23,1))</f>
        <v>2</v>
      </c>
      <c r="R23" s="321">
        <f>Q23*100000+J23*10000+K23*1000+100*L23</f>
        <v>200000</v>
      </c>
      <c r="S23" s="486">
        <f>R23+M23*0.1+IF(ISNONTEXT(B23),0,0.01)+0.0001*O23</f>
        <v>200000.00940000001</v>
      </c>
      <c r="T23" s="487" t="str">
        <f>Q23&amp;J23</f>
        <v>20</v>
      </c>
      <c r="U23" s="477"/>
      <c r="V23" s="477"/>
      <c r="W23" s="477"/>
      <c r="X23" s="477"/>
      <c r="Y23" s="477"/>
      <c r="Z23" s="477"/>
      <c r="AA23" s="477"/>
      <c r="AB23" s="477"/>
      <c r="AC23" s="477"/>
      <c r="AD23" s="405">
        <f t="shared" si="0"/>
        <v>257</v>
      </c>
      <c r="AE23" s="406">
        <f>IFERROR(INDEX(V!$R:$R,MATCH(AF23,V!$L:$L,0)),"")</f>
        <v>104</v>
      </c>
      <c r="AF23" s="407" t="str">
        <f t="shared" si="1"/>
        <v>Andres Veski</v>
      </c>
      <c r="AG23" s="406" t="str">
        <f>IFERROR(INDEX(V!$R:$R,MATCH(AH23,V!$L:$L,0)),"")</f>
        <v/>
      </c>
      <c r="AH23" s="407" t="str">
        <f t="shared" si="2"/>
        <v>Meelis Luud, Svetlana Veski</v>
      </c>
      <c r="AI23" s="406">
        <f>IFERROR(INDEX(V!$R:$R,MATCH(AJ23,V!$L:$L,0)),"")</f>
        <v>86</v>
      </c>
      <c r="AJ23" s="407" t="str">
        <f t="shared" si="3"/>
        <v>Meelis Luud</v>
      </c>
      <c r="AK23" s="406">
        <f>IFERROR(INDEX(V!$R:$R,MATCH(AL23,V!$L:$L,0)),"")</f>
        <v>67</v>
      </c>
      <c r="AL23" s="407" t="str">
        <f t="shared" si="4"/>
        <v>Svetlana Veski</v>
      </c>
      <c r="AM23" s="406" t="str">
        <f>IFERROR(INDEX(V!$R:$R,MATCH(AN23,V!$L:$L,0)),"")</f>
        <v/>
      </c>
      <c r="AN23" s="407" t="str">
        <f t="shared" si="5"/>
        <v/>
      </c>
      <c r="AO23" s="406" t="str">
        <f>IFERROR(INDEX(V!$R:$R,MATCH(AP23,V!$L:$L,0)),"")</f>
        <v/>
      </c>
      <c r="AP23" s="407" t="str">
        <f t="shared" si="6"/>
        <v/>
      </c>
    </row>
    <row r="24" spans="1:42" x14ac:dyDescent="0.2">
      <c r="A24" s="316">
        <v>4</v>
      </c>
      <c r="B24" s="488" t="s">
        <v>309</v>
      </c>
      <c r="C24" s="318">
        <v>1</v>
      </c>
      <c r="D24" s="492">
        <v>7</v>
      </c>
      <c r="E24" s="318">
        <v>12</v>
      </c>
      <c r="F24" s="319"/>
      <c r="G24" s="511"/>
      <c r="H24" s="317" t="str">
        <f>(IF(C24-F21&gt;0,1)+IF(D24-F22&gt;0,1)+IF(E24-F23&gt;0,1)+IF(G24-F25&gt;0,1))&amp;"-"&amp;(IF(C24-F21&lt;0,1)+IF(D24-F22&lt;0,1)+IF(E24-F23&lt;0,1)+IF(G24-F25&lt;0,1))</f>
        <v>0-3</v>
      </c>
      <c r="I24" s="318" t="str">
        <f t="shared" si="7"/>
        <v>C4</v>
      </c>
      <c r="J24" s="489">
        <f>IF(AND(Q24=1,Q21=1,C24&gt;F21),1)+IF(AND(Q24=1,Q22=1,D24&gt;F22),1)+IF(AND(Q24=1,Q23=1,E24&gt;F23),1)+IF(AND(Q24=1,Q25=1,G24&gt;F25),1)+IF(AND(Q24=2,Q21=2,C24&gt;F21),1)+IF(AND(Q24=2,Q22=2,D24&gt;F22),1)+IF(AND(Q24=2,Q23=2,E24&gt;F23),1)+IF(AND(Q24=2,Q25=2,G24&gt;F25),1)+IF(AND(Q24=3,Q21=3,C24&gt;F21),1)+IF(AND(Q24=3,Q22=3,D24&gt;F22),1)+IF(AND(Q24=3,Q23=3,E24&gt;F23),1)+IF(AND(Q24=3,Q25=3,G24&gt;F25),1)</f>
        <v>0</v>
      </c>
      <c r="K24" s="483">
        <f>SUM(AND(T24=T21,C24&gt;F21),AND(T24=T22,D24&gt;F22),AND(T24=T23,E24&gt;F23),AND(T24=T25,G24&gt;F25))</f>
        <v>0</v>
      </c>
      <c r="L24" s="490">
        <f>IF(AND(Q24=1,Q21=1),C24-F21)+IF(AND(Q24=1,Q22=1),D24-F22)+IF(AND(Q24=1,Q23=1),E24-F23)+IF(AND(Q24=1,Q25=1),G24-F25)+IF(AND(Q24=2,Q21=2),C24-F21)+IF(AND(Q24=2,Q22=2),D24-F22)+IF(AND(Q24=2,Q23=2),E24-F23)+IF(AND(Q24=2,Q25=2),G24-F25)+IF(AND(Q24=3,Q21=3),C24-F21)+IF(AND(Q24=3,Q22=3),D24-F22)+IF(AND(Q24=3,Q23=3),E24-F23)+IF(AND(Q24=3,Q25=3),G24-F25)+IF(AND(Q24=4,Q21=4),C24-F21)+IF(AND(Q24=4,Q22=4),D24-F22)+IF(AND(Q24=4,Q23=4),E24-F23)+IF(AND(Q24=4,Q25=4),G24-F25)</f>
        <v>0</v>
      </c>
      <c r="M24" s="483">
        <f>SUM(AND(R24=R21,C24&gt;F21),AND(R24=R22,D24&gt;F22),AND(R24=R23,E24&gt;F23),AND(R24=R25,G24&gt;F25))</f>
        <v>0</v>
      </c>
      <c r="N24" s="537" t="str">
        <f>SUM(C24:G24)&amp;"-"&amp;SUM(F21:F25)</f>
        <v>20-39</v>
      </c>
      <c r="O24" s="538">
        <f>C24+D24+E24+G24-F21-F22-F23-F25</f>
        <v>-19</v>
      </c>
      <c r="P24" s="485">
        <f>SUM(C24:G24,F21:F25)/SUM(F21:F25)</f>
        <v>1.5128205128205128</v>
      </c>
      <c r="Q24" s="491">
        <f>VALUE(LEFT(H24,1))</f>
        <v>0</v>
      </c>
      <c r="R24" s="321">
        <f>Q24*100000+J24*10000+K24*1000+100*L24</f>
        <v>0</v>
      </c>
      <c r="S24" s="486">
        <f>R24+M24*0.1+IF(ISNONTEXT(B24),0,0.01)+0.0001*O24</f>
        <v>8.0999999999999996E-3</v>
      </c>
      <c r="T24" s="487" t="str">
        <f>Q24&amp;J24</f>
        <v>00</v>
      </c>
      <c r="U24" s="477"/>
      <c r="V24" s="477"/>
      <c r="W24" s="477"/>
      <c r="X24" s="477"/>
      <c r="Y24" s="477"/>
      <c r="Z24" s="477"/>
      <c r="AA24" s="477"/>
      <c r="AB24" s="477"/>
      <c r="AC24" s="477"/>
      <c r="AD24" s="405">
        <f t="shared" si="0"/>
        <v>224</v>
      </c>
      <c r="AE24" s="406">
        <f>IFERROR(INDEX(V!$R:$R,MATCH(AF24,V!$L:$L,0)),"")</f>
        <v>112</v>
      </c>
      <c r="AF24" s="407" t="str">
        <f t="shared" si="1"/>
        <v>Ljudmila Varendi</v>
      </c>
      <c r="AG24" s="406">
        <f>IFERROR(INDEX(V!$R:$R,MATCH(AH24,V!$L:$L,0)),"")</f>
        <v>112</v>
      </c>
      <c r="AH24" s="407" t="str">
        <f t="shared" si="2"/>
        <v>Viktor Švarõgin</v>
      </c>
      <c r="AI24" s="406" t="str">
        <f>IFERROR(INDEX(V!$R:$R,MATCH(AJ24,V!$L:$L,0)),"")</f>
        <v/>
      </c>
      <c r="AJ24" s="407" t="str">
        <f t="shared" si="3"/>
        <v/>
      </c>
      <c r="AK24" s="406" t="str">
        <f>IFERROR(INDEX(V!$R:$R,MATCH(AL24,V!$L:$L,0)),"")</f>
        <v/>
      </c>
      <c r="AL24" s="407" t="str">
        <f t="shared" si="4"/>
        <v/>
      </c>
      <c r="AM24" s="406" t="str">
        <f>IFERROR(INDEX(V!$R:$R,MATCH(AN24,V!$L:$L,0)),"")</f>
        <v/>
      </c>
      <c r="AN24" s="407" t="str">
        <f t="shared" si="5"/>
        <v/>
      </c>
      <c r="AO24" s="406" t="str">
        <f>IFERROR(INDEX(V!$R:$R,MATCH(AP24,V!$L:$L,0)),"")</f>
        <v/>
      </c>
      <c r="AP24" s="407" t="str">
        <f t="shared" si="6"/>
        <v/>
      </c>
    </row>
    <row r="25" spans="1:42" hidden="1" x14ac:dyDescent="0.2">
      <c r="A25" s="316">
        <v>5</v>
      </c>
      <c r="B25" s="493"/>
      <c r="C25" s="318"/>
      <c r="D25" s="318"/>
      <c r="E25" s="318"/>
      <c r="F25" s="318"/>
      <c r="G25" s="319"/>
      <c r="H25" s="317" t="str">
        <f>(IF(C25-G21&gt;0,1)+IF(D25-G22&gt;0,1)+IF(E25-G23&gt;0,1)+IF(F25-G24&gt;0,1))&amp;"-"&amp;(IF(C25-G21&lt;0,1)+IF(D25-G22&lt;0,1)+IF(E25-G23&lt;0,1)+IF(F25-G24&lt;0,1))</f>
        <v>0-0</v>
      </c>
      <c r="I25" s="318" t="str">
        <f t="shared" si="7"/>
        <v xml:space="preserve"> </v>
      </c>
      <c r="J25" s="489">
        <f>IF(AND(Q25=1,Q21=1,C25&gt;G21),1)+IF(AND(Q25=1,Q22=1,D25&gt;G22),1)+IF(AND(Q25=1,Q23=1,E25&gt;G23),1)+IF(AND(Q25=1,Q24=1,F25&gt;G24),1)+IF(AND(Q25=2,Q21=2,C25&gt;G21),1)+IF(AND(Q25=2,Q22=2,D25&gt;G22),1)+IF(AND(Q25=2,Q23=2,E25&gt;G23),1)+IF(AND(Q25=2,Q24=2,F25&gt;G24),1)+IF(AND(Q25=3,Q21=3,C25&gt;G21),1)+IF(AND(Q25=3,Q22=3,D25&gt;G22),1)+IF(AND(Q25=3,Q23=3,E25&gt;G23),1)+IF(AND(Q25=3,Q24=3,F25&gt;G24),1)</f>
        <v>0</v>
      </c>
      <c r="K25" s="483">
        <f>SUM(AND(T25=T21,C25&gt;G21),AND(T25=T22,D25&gt;G22),AND(T25=T23,E25&gt;G23),AND(T25=T24,F25&gt;G24))</f>
        <v>0</v>
      </c>
      <c r="L25" s="490">
        <f>IF(AND(Q25=1,Q21=1),C25-G21)+IF(AND(Q25=1,Q22=1),D25-G22)+IF(AND(Q25=1,Q23=1),E25-G23)+IF(AND(Q25=1,Q24=1),F25-G24)+IF(AND(Q25=2,Q21=2),C25-G21)+IF(AND(Q25=2,Q22=2),D25-G22)+IF(AND(Q25=2,Q23=2),E25-G23)+IF(AND(Q25=2,Q24=2),F25-G24)+IF(AND(Q25=3,Q21=3),C25-G21)+IF(AND(Q25=3,Q22=3),D25-G22)+IF(AND(Q25=3,Q23=3),E25-G23)+IF(AND(Q25=3,Q24=3),F25-G24)+IF(AND(Q25=4,Q21=4),C25-G21)+IF(AND(Q25=4,Q22=4),D25-G22)+IF(AND(Q25=4,Q23=4),E25-G23)+IF(AND(Q25=4,Q24=4),F25-G24)</f>
        <v>0</v>
      </c>
      <c r="M25" s="483">
        <f>SUM(AND(R25=R21,C25&gt;G21),AND(R25=R22,D25&gt;G22),AND(R25=R23,E25&gt;G23),AND(R25=R24,F25&gt;G24))</f>
        <v>0</v>
      </c>
      <c r="N25" s="537" t="str">
        <f>SUM(C25:G25)&amp;"-"&amp;SUM(G21:G25)</f>
        <v>0-0</v>
      </c>
      <c r="O25" s="538">
        <f>C25+D25+E25+F25-G21-G22-G23-G24</f>
        <v>0</v>
      </c>
      <c r="P25" s="485" t="e">
        <f>SUM(C25:G25,G21:G25)/SUM(G21:G25)</f>
        <v>#DIV/0!</v>
      </c>
      <c r="Q25" s="491">
        <f>VALUE(LEFT(H25,1))</f>
        <v>0</v>
      </c>
      <c r="R25" s="321">
        <f>Q25*100000+J25*10000+K25*1000+100*L25</f>
        <v>0</v>
      </c>
      <c r="S25" s="486">
        <f>R25+M25*0.1+IF(ISNONTEXT(B25),0,0.01)+0.0001*O25</f>
        <v>0</v>
      </c>
      <c r="T25" s="487" t="str">
        <f>Q25&amp;J25</f>
        <v>00</v>
      </c>
      <c r="U25" s="477"/>
      <c r="V25" s="477"/>
      <c r="W25" s="477"/>
      <c r="X25" s="477"/>
      <c r="Y25" s="477"/>
      <c r="Z25" s="477"/>
      <c r="AA25" s="477"/>
      <c r="AB25" s="477"/>
      <c r="AC25" s="477"/>
      <c r="AD25" s="405">
        <f t="shared" si="0"/>
        <v>0</v>
      </c>
      <c r="AE25" s="406" t="str">
        <f>IFERROR(INDEX(V!$R:$R,MATCH(AF25,V!$L:$L,0)),"")</f>
        <v/>
      </c>
      <c r="AF25" s="407" t="str">
        <f t="shared" si="1"/>
        <v/>
      </c>
      <c r="AG25" s="406" t="str">
        <f>IFERROR(INDEX(V!$R:$R,MATCH(AH25,V!$L:$L,0)),"")</f>
        <v/>
      </c>
      <c r="AH25" s="407" t="str">
        <f t="shared" si="2"/>
        <v/>
      </c>
      <c r="AI25" s="406" t="str">
        <f>IFERROR(INDEX(V!$R:$R,MATCH(AJ25,V!$L:$L,0)),"")</f>
        <v/>
      </c>
      <c r="AJ25" s="407" t="str">
        <f t="shared" si="3"/>
        <v/>
      </c>
      <c r="AK25" s="406" t="str">
        <f>IFERROR(INDEX(V!$R:$R,MATCH(AL25,V!$L:$L,0)),"")</f>
        <v/>
      </c>
      <c r="AL25" s="407" t="str">
        <f t="shared" si="4"/>
        <v/>
      </c>
      <c r="AM25" s="406" t="str">
        <f>IFERROR(INDEX(V!$R:$R,MATCH(AN25,V!$L:$L,0)),"")</f>
        <v/>
      </c>
      <c r="AN25" s="407" t="str">
        <f t="shared" si="5"/>
        <v/>
      </c>
      <c r="AO25" s="406" t="str">
        <f>IFERROR(INDEX(V!$R:$R,MATCH(AP25,V!$L:$L,0)),"")</f>
        <v/>
      </c>
      <c r="AP25" s="407" t="str">
        <f t="shared" si="6"/>
        <v/>
      </c>
    </row>
    <row r="26" spans="1:42" x14ac:dyDescent="0.2">
      <c r="A26" s="513"/>
      <c r="B26" s="514"/>
      <c r="C26" s="499"/>
      <c r="D26" s="499"/>
      <c r="E26" s="499"/>
      <c r="F26" s="515"/>
      <c r="G26" s="515"/>
      <c r="H26" s="516"/>
      <c r="I26" s="517"/>
      <c r="J26" s="477"/>
      <c r="K26" s="477"/>
      <c r="L26" s="477"/>
      <c r="M26" s="477"/>
      <c r="N26" s="539"/>
      <c r="O26" s="539"/>
      <c r="P26" s="477"/>
      <c r="Q26" s="477"/>
      <c r="R26" s="502" t="s">
        <v>264</v>
      </c>
      <c r="S26" s="477"/>
      <c r="T26" s="477"/>
      <c r="U26" s="477"/>
      <c r="V26" s="477"/>
      <c r="W26" s="477"/>
      <c r="X26" s="477"/>
      <c r="Y26" s="477"/>
      <c r="Z26" s="477"/>
      <c r="AA26" s="477"/>
      <c r="AB26" s="477"/>
      <c r="AC26" s="477"/>
      <c r="AD26" s="405">
        <f t="shared" si="0"/>
        <v>0</v>
      </c>
      <c r="AE26" s="406" t="str">
        <f>IFERROR(INDEX(V!$R:$R,MATCH(AF26,V!$L:$L,0)),"")</f>
        <v/>
      </c>
      <c r="AF26" s="407" t="str">
        <f t="shared" si="1"/>
        <v/>
      </c>
      <c r="AG26" s="406" t="str">
        <f>IFERROR(INDEX(V!$R:$R,MATCH(AH26,V!$L:$L,0)),"")</f>
        <v/>
      </c>
      <c r="AH26" s="407" t="str">
        <f t="shared" si="2"/>
        <v/>
      </c>
      <c r="AI26" s="406" t="str">
        <f>IFERROR(INDEX(V!$R:$R,MATCH(AJ26,V!$L:$L,0)),"")</f>
        <v/>
      </c>
      <c r="AJ26" s="407" t="str">
        <f t="shared" si="3"/>
        <v/>
      </c>
      <c r="AK26" s="406" t="str">
        <f>IFERROR(INDEX(V!$R:$R,MATCH(AL26,V!$L:$L,0)),"")</f>
        <v/>
      </c>
      <c r="AL26" s="407" t="str">
        <f t="shared" si="4"/>
        <v/>
      </c>
      <c r="AM26" s="406" t="str">
        <f>IFERROR(INDEX(V!$R:$R,MATCH(AN26,V!$L:$L,0)),"")</f>
        <v/>
      </c>
      <c r="AN26" s="407" t="str">
        <f t="shared" si="5"/>
        <v/>
      </c>
      <c r="AO26" s="406" t="str">
        <f>IFERROR(INDEX(V!$R:$R,MATCH(AP26,V!$L:$L,0)),"")</f>
        <v/>
      </c>
      <c r="AP26" s="407" t="str">
        <f t="shared" si="6"/>
        <v/>
      </c>
    </row>
    <row r="27" spans="1:42" x14ac:dyDescent="0.2">
      <c r="A27" s="316" t="s">
        <v>3</v>
      </c>
      <c r="B27" s="503"/>
      <c r="C27" s="467">
        <v>1</v>
      </c>
      <c r="D27" s="467">
        <v>2</v>
      </c>
      <c r="E27" s="467">
        <v>3</v>
      </c>
      <c r="F27" s="467">
        <v>4</v>
      </c>
      <c r="G27" s="467"/>
      <c r="H27" s="468" t="s">
        <v>168</v>
      </c>
      <c r="I27" s="468" t="s">
        <v>169</v>
      </c>
      <c r="J27" s="504" t="s">
        <v>257</v>
      </c>
      <c r="K27" s="505" t="s">
        <v>258</v>
      </c>
      <c r="L27" s="506" t="s">
        <v>259</v>
      </c>
      <c r="M27" s="506" t="s">
        <v>260</v>
      </c>
      <c r="N27" s="472" t="s">
        <v>170</v>
      </c>
      <c r="O27" s="472" t="s">
        <v>170</v>
      </c>
      <c r="P27" s="473" t="s">
        <v>261</v>
      </c>
      <c r="Q27" s="507" t="s">
        <v>21</v>
      </c>
      <c r="R27" s="507" t="b">
        <f>OR(AND(COUNTA(B28:B32)=3,COUNTA(C28:G32)=6),AND(COUNTA(B28:B32)=4,COUNTA(C28:G32)=12),AND(COUNTA(B28:B32)=5,COUNTA(C28:G32)=20))</f>
        <v>1</v>
      </c>
      <c r="S27" s="508" t="s">
        <v>262</v>
      </c>
      <c r="T27" s="509" t="s">
        <v>263</v>
      </c>
      <c r="U27" s="477"/>
      <c r="V27" s="477"/>
      <c r="W27" s="477"/>
      <c r="X27" s="477"/>
      <c r="Y27" s="477"/>
      <c r="Z27" s="477"/>
      <c r="AA27" s="477"/>
      <c r="AB27" s="477"/>
      <c r="AC27" s="477"/>
      <c r="AD27" s="405">
        <f t="shared" si="0"/>
        <v>0</v>
      </c>
      <c r="AE27" s="406" t="str">
        <f>IFERROR(INDEX(V!$R:$R,MATCH(AF27,V!$L:$L,0)),"")</f>
        <v/>
      </c>
      <c r="AF27" s="407" t="str">
        <f t="shared" si="1"/>
        <v/>
      </c>
      <c r="AG27" s="406" t="str">
        <f>IFERROR(INDEX(V!$R:$R,MATCH(AH27,V!$L:$L,0)),"")</f>
        <v/>
      </c>
      <c r="AH27" s="407" t="str">
        <f t="shared" si="2"/>
        <v/>
      </c>
      <c r="AI27" s="406" t="str">
        <f>IFERROR(INDEX(V!$R:$R,MATCH(AJ27,V!$L:$L,0)),"")</f>
        <v/>
      </c>
      <c r="AJ27" s="407" t="str">
        <f t="shared" si="3"/>
        <v/>
      </c>
      <c r="AK27" s="406" t="str">
        <f>IFERROR(INDEX(V!$R:$R,MATCH(AL27,V!$L:$L,0)),"")</f>
        <v/>
      </c>
      <c r="AL27" s="407" t="str">
        <f t="shared" si="4"/>
        <v/>
      </c>
      <c r="AM27" s="406" t="str">
        <f>IFERROR(INDEX(V!$R:$R,MATCH(AN27,V!$L:$L,0)),"")</f>
        <v/>
      </c>
      <c r="AN27" s="407" t="str">
        <f t="shared" si="5"/>
        <v/>
      </c>
      <c r="AO27" s="406" t="str">
        <f>IFERROR(INDEX(V!$R:$R,MATCH(AP27,V!$L:$L,0)),"")</f>
        <v/>
      </c>
      <c r="AP27" s="407" t="str">
        <f t="shared" si="6"/>
        <v/>
      </c>
    </row>
    <row r="28" spans="1:42" x14ac:dyDescent="0.2">
      <c r="A28" s="316">
        <v>1</v>
      </c>
      <c r="B28" s="518" t="s">
        <v>273</v>
      </c>
      <c r="C28" s="319"/>
      <c r="D28" s="318">
        <v>3</v>
      </c>
      <c r="E28" s="318">
        <v>5</v>
      </c>
      <c r="F28" s="318">
        <v>13</v>
      </c>
      <c r="G28" s="318"/>
      <c r="H28" s="317" t="str">
        <f>(IF(D28-C29&gt;0,1)+IF(E28-C30&gt;0,1)+IF(F28-C31&gt;0,1)+IF(G28-C32&gt;0,1))&amp;"-"&amp;(IF(D28-C29&lt;0,1)+IF(E28-C30&lt;0,1)+IF(F28-C31&lt;0,1)+IF(G28-C32&lt;0,1))</f>
        <v>1-2</v>
      </c>
      <c r="I28" s="318" t="str">
        <f>IF(AND(B28&lt;&gt;"",R$27=TRUE),A$27&amp;RANK(S28,S$28:S$32,0)," ")</f>
        <v>D3</v>
      </c>
      <c r="J28" s="480">
        <f>IF(AND(Q28=1,Q29=1,D28&gt;C29),1)+IF(AND(Q28=1,Q30=1,E28&gt;C30),1)+IF(AND(Q28=1,Q31=1,F28&gt;C31),1)+IF(AND(Q28=1,Q32=1,G28&gt;C32),1)+IF(AND(Q28=2,Q29=2,D28&gt;C29),1)+IF(AND(Q28=2,Q30=2,E28&gt;C30),1)+IF(AND(Q28=2,Q31=2,F28&gt;C31),1)+IF(AND(Q28=2,Q32=2,G28&gt;C32),1)+IF(AND(Q28=3,Q29=3,D28&gt;C29),1)+IF(AND(Q28=3,Q30=3,E28&gt;C30),1)+IF(AND(Q28=3,Q31=3,F28&gt;C31),1)+IF(AND(Q28=3,Q32=3,G28&gt;C32),1)</f>
        <v>0</v>
      </c>
      <c r="K28" s="481">
        <f>SUM(AND(T28=T29,D28&gt;C29),AND(T28=T30,E28&gt;C30),AND(T28=T31,F28&gt;C31),AND(T28=T32,G28&gt;C32))</f>
        <v>0</v>
      </c>
      <c r="L28" s="482">
        <f>IF(AND(Q28=1,Q29=1),D28-C29)+IF(AND(Q28=1,Q30=1),E28-C30)+IF(AND(Q28=1,Q31=1),F28-C31)+IF(AND(Q28=1,Q32=1),G28-C32)+IF(AND(Q28=2,Q29=2),D28-C29)+IF(AND(Q28=2,Q30=2),E28-C30)+IF(AND(Q28=2,Q31=2),F28-C31)+IF(AND(Q28=2,Q32=2),G28-C32)+IF(AND(Q28=3,Q29=3),D28-C29)+IF(AND(Q28=3,Q30=3),E28-C30)+IF(AND(Q28=3,Q31=3),F28-C31)+IF(AND(Q28=3,Q32=3),G28-C32)+IF(AND(Q28=4,Q29=4),D28-C29)+IF(AND(Q28=4,Q30=4),E28-C30)+IF(AND(Q28=4,Q31=4),F28-C31)+IF(AND(Q28=4,Q32=4),G28-C32)</f>
        <v>0</v>
      </c>
      <c r="M28" s="483">
        <f>SUM(AND(R28=R29,D28&gt;C29),AND(R28=R30,E28&gt;C30),AND(R28=R31,F28&gt;C31),AND(R28=R32,G28&gt;C32))</f>
        <v>0</v>
      </c>
      <c r="N28" s="537" t="str">
        <f>SUM(C28:G28)&amp;"-"&amp;SUM(C28:C32)</f>
        <v>21-35</v>
      </c>
      <c r="O28" s="538">
        <f>D28+E28+F28+G28-C29-C30-C31-C32</f>
        <v>-14</v>
      </c>
      <c r="P28" s="485">
        <f>SUM(C28:G28,C28:C32)/SUM(C28:C32)</f>
        <v>1.6</v>
      </c>
      <c r="Q28" s="320">
        <f>VALUE(LEFT(H28,1))</f>
        <v>1</v>
      </c>
      <c r="R28" s="321">
        <f>Q28*100000+J28*10000+K28*1000+100*L28</f>
        <v>100000</v>
      </c>
      <c r="S28" s="486">
        <f>R28+M28*0.1+IF(ISNONTEXT(B28),0,0.01)+0.0001*O28</f>
        <v>100000.0086</v>
      </c>
      <c r="T28" s="487" t="str">
        <f>Q28&amp;J28</f>
        <v>10</v>
      </c>
      <c r="U28" s="477"/>
      <c r="V28" s="477"/>
      <c r="W28" s="477"/>
      <c r="X28" s="477"/>
      <c r="Y28" s="477"/>
      <c r="Z28" s="477"/>
      <c r="AA28" s="477"/>
      <c r="AB28" s="477"/>
      <c r="AC28" s="477"/>
      <c r="AD28" s="405">
        <f t="shared" si="0"/>
        <v>233.5</v>
      </c>
      <c r="AE28" s="406">
        <f>IFERROR(INDEX(V!$R:$R,MATCH(AF28,V!$L:$L,0)),"")</f>
        <v>100</v>
      </c>
      <c r="AF28" s="407" t="str">
        <f t="shared" si="1"/>
        <v>Elmo Lageda</v>
      </c>
      <c r="AG28" s="406">
        <f>IFERROR(INDEX(V!$R:$R,MATCH(AH28,V!$L:$L,0)),"")</f>
        <v>133.5</v>
      </c>
      <c r="AH28" s="407" t="str">
        <f t="shared" si="2"/>
        <v>Tõnu Piik</v>
      </c>
      <c r="AI28" s="406" t="str">
        <f>IFERROR(INDEX(V!$R:$R,MATCH(AJ28,V!$L:$L,0)),"")</f>
        <v/>
      </c>
      <c r="AJ28" s="407" t="str">
        <f t="shared" si="3"/>
        <v/>
      </c>
      <c r="AK28" s="406" t="str">
        <f>IFERROR(INDEX(V!$R:$R,MATCH(AL28,V!$L:$L,0)),"")</f>
        <v/>
      </c>
      <c r="AL28" s="407" t="str">
        <f t="shared" si="4"/>
        <v/>
      </c>
      <c r="AM28" s="406" t="str">
        <f>IFERROR(INDEX(V!$R:$R,MATCH(AN28,V!$L:$L,0)),"")</f>
        <v/>
      </c>
      <c r="AN28" s="407" t="str">
        <f t="shared" si="5"/>
        <v/>
      </c>
      <c r="AO28" s="406" t="str">
        <f>IFERROR(INDEX(V!$R:$R,MATCH(AP28,V!$L:$L,0)),"")</f>
        <v/>
      </c>
      <c r="AP28" s="407" t="str">
        <f t="shared" si="6"/>
        <v/>
      </c>
    </row>
    <row r="29" spans="1:42" x14ac:dyDescent="0.2">
      <c r="A29" s="316">
        <v>2</v>
      </c>
      <c r="B29" s="488" t="s">
        <v>413</v>
      </c>
      <c r="C29" s="318">
        <v>13</v>
      </c>
      <c r="D29" s="319"/>
      <c r="E29" s="318">
        <v>13</v>
      </c>
      <c r="F29" s="318">
        <v>13</v>
      </c>
      <c r="G29" s="318"/>
      <c r="H29" s="317" t="str">
        <f>(IF(C29-D28&gt;0,1)+IF(E29-D30&gt;0,1)+IF(F29-D31&gt;0,1)+IF(G29-D32&gt;0,1))&amp;"-"&amp;(IF(C29-D28&lt;0,1)+IF(E29-D30&lt;0,1)+IF(F29-D31&lt;0,1)+IF(G29-D32&lt;0,1))</f>
        <v>3-0</v>
      </c>
      <c r="I29" s="318" t="str">
        <f t="shared" ref="I29:I32" si="8">IF(AND(B29&lt;&gt;"",R$27=TRUE),A$27&amp;RANK(S29,S$28:S$32,0)," ")</f>
        <v>D1</v>
      </c>
      <c r="J29" s="489">
        <f>IF(AND(Q29=1,Q28=1,C29&gt;D28),1)+IF(AND(Q29=1,Q30=1,E29&gt;D30),1)+IF(AND(Q29=1,Q31=1,F29&gt;D31),1)+IF(AND(Q29=1,Q32=1,G29&gt;D32),1)+IF(AND(Q29=2,Q28=2,C29&gt;D28),1)+IF(AND(Q29=2,Q30=2,E29&gt;D30),1)+IF(AND(Q29=2,Q31=2,F29&gt;D31),1)+IF(AND(Q29=2,Q32=2,G29&gt;D32),1)+IF(AND(Q29=3,Q28=3,C29&gt;D28),1)+IF(AND(Q29=3,Q30=3,E29&gt;D30),1)+IF(AND(Q29=3,Q31=3,F29&gt;D31),1)+IF(AND(Q29=3,Q32=3,G29&gt;D32),1)</f>
        <v>0</v>
      </c>
      <c r="K29" s="483">
        <f>SUM(AND(T29=T28,C29&gt;D28),AND(T29=T30,E29&gt;D30),AND(T29=T31,F29&gt;D31),AND(T29=T32,G29&gt;D32))</f>
        <v>0</v>
      </c>
      <c r="L29" s="490">
        <f>IF(AND(Q29=1,Q28=1),C29-D28)+IF(AND(Q29=1,Q30=1),E29-D30)+IF(AND(Q29=1,Q31=1),F29-D31)+IF(AND(Q29=1,Q32=1),G29-D32)+IF(AND(Q29=2,Q28=2),C29-D28)+IF(AND(Q29=2,Q30=2),E29-D30)+IF(AND(Q29=2,Q31=2),F29-D31)+IF(AND(Q29=2,Q32=2),G29-D32)+IF(AND(Q29=3,Q28=3),C29-D28)+IF(AND(Q29=3,Q30=3),E29-D30)+IF(AND(Q29=3,Q31=3),F29-D31)+IF(AND(Q29=3,Q32=3),G29-D32)+IF(AND(Q29=4,Q28=4),C29-D28)+IF(AND(Q29=4,Q30=4),E29-D30)+IF(AND(Q29=4,Q31=4),F29-D31)+IF(AND(Q29=4,Q32=4),G29-D32)</f>
        <v>0</v>
      </c>
      <c r="M29" s="483">
        <f>SUM(AND(R29=R28,C29&gt;D28),AND(R29=R30,E29&gt;D30),AND(R29=R31,F29&gt;D31),AND(R29=R32,G29&gt;D32))</f>
        <v>0</v>
      </c>
      <c r="N29" s="537" t="str">
        <f>SUM(C29:G29)&amp;"-"&amp;SUM(D28:D32)</f>
        <v>39-14</v>
      </c>
      <c r="O29" s="538">
        <f>C29+E29+F29+G29-D28-D30-D31-D32</f>
        <v>25</v>
      </c>
      <c r="P29" s="485">
        <f>SUM(C29:G29,D28:D32)/SUM(D28:D32)</f>
        <v>3.7857142857142856</v>
      </c>
      <c r="Q29" s="491">
        <f>VALUE(LEFT(H29,1))</f>
        <v>3</v>
      </c>
      <c r="R29" s="321">
        <f>Q29*100000+J29*10000+K29*1000+100*L29</f>
        <v>300000</v>
      </c>
      <c r="S29" s="486">
        <f>R29+M29*0.1+IF(ISNONTEXT(B29),0,0.01)+0.0001*O29</f>
        <v>300000.01250000001</v>
      </c>
      <c r="T29" s="487" t="str">
        <f>Q29&amp;J29</f>
        <v>30</v>
      </c>
      <c r="U29" s="477"/>
      <c r="V29" s="477"/>
      <c r="W29" s="477"/>
      <c r="X29" s="477"/>
      <c r="Y29" s="477"/>
      <c r="Z29" s="477"/>
      <c r="AA29" s="477"/>
      <c r="AB29" s="477"/>
      <c r="AC29" s="477"/>
      <c r="AD29" s="405">
        <f t="shared" si="0"/>
        <v>233.5</v>
      </c>
      <c r="AE29" s="406">
        <f>IFERROR(INDEX(V!$R:$R,MATCH(AF29,V!$L:$L,0)),"")</f>
        <v>122</v>
      </c>
      <c r="AF29" s="407" t="str">
        <f t="shared" si="1"/>
        <v>Johannes Neiland</v>
      </c>
      <c r="AG29" s="406">
        <f>IFERROR(INDEX(V!$R:$R,MATCH(AH29,V!$L:$L,0)),"")</f>
        <v>111.5</v>
      </c>
      <c r="AH29" s="407" t="str">
        <f t="shared" si="2"/>
        <v>Ülo Piik</v>
      </c>
      <c r="AI29" s="406" t="str">
        <f>IFERROR(INDEX(V!$R:$R,MATCH(AJ29,V!$L:$L,0)),"")</f>
        <v/>
      </c>
      <c r="AJ29" s="407" t="str">
        <f t="shared" si="3"/>
        <v/>
      </c>
      <c r="AK29" s="406" t="str">
        <f>IFERROR(INDEX(V!$R:$R,MATCH(AL29,V!$L:$L,0)),"")</f>
        <v/>
      </c>
      <c r="AL29" s="407" t="str">
        <f t="shared" si="4"/>
        <v/>
      </c>
      <c r="AM29" s="406" t="str">
        <f>IFERROR(INDEX(V!$R:$R,MATCH(AN29,V!$L:$L,0)),"")</f>
        <v/>
      </c>
      <c r="AN29" s="407" t="str">
        <f t="shared" si="5"/>
        <v/>
      </c>
      <c r="AO29" s="406" t="str">
        <f>IFERROR(INDEX(V!$R:$R,MATCH(AP29,V!$L:$L,0)),"")</f>
        <v/>
      </c>
      <c r="AP29" s="407" t="str">
        <f t="shared" si="6"/>
        <v/>
      </c>
    </row>
    <row r="30" spans="1:42" x14ac:dyDescent="0.2">
      <c r="A30" s="316">
        <v>3</v>
      </c>
      <c r="B30" s="488" t="s">
        <v>275</v>
      </c>
      <c r="C30" s="318">
        <v>13</v>
      </c>
      <c r="D30" s="492">
        <v>10</v>
      </c>
      <c r="E30" s="319"/>
      <c r="F30" s="318">
        <v>13</v>
      </c>
      <c r="G30" s="318"/>
      <c r="H30" s="317" t="str">
        <f>(IF(C30-E28&gt;0,1)+IF(D30-E29&gt;0,1)+IF(F30-E31&gt;0,1)+IF(G30-E32&gt;0,1))&amp;"-"&amp;(IF(C30-E28&lt;0,1)+IF(D30-E29&lt;0,1)+IF(F30-E31&lt;0,1)+IF(G30-E32&lt;0,1))</f>
        <v>2-1</v>
      </c>
      <c r="I30" s="318" t="str">
        <f t="shared" si="8"/>
        <v>D2</v>
      </c>
      <c r="J30" s="489">
        <f>IF(AND(Q30=1,Q28=1,C30&gt;E28),1)+IF(AND(Q30=1,Q29=1,D30&gt;E29),1)+IF(AND(Q30=1,Q31=1,F30&gt;E31),1)+IF(AND(Q30=1,Q32=1,G30&gt;E32),1)+IF(AND(Q30=2,Q28=2,C30&gt;E28),1)+IF(AND(Q30=2,Q29=2,D30&gt;E29),1)+IF(AND(Q30=2,Q31=2,F30&gt;E31),1)+IF(AND(Q30=2,Q32=2,G30&gt;E32),1)+IF(AND(Q30=3,Q28=3,C30&gt;E28),1)+IF(AND(Q30=3,Q29=3,D30&gt;E29),1)+IF(AND(Q30=3,Q31=3,F30&gt;E31),1)+IF(AND(Q30=3,Q32=3,G30&gt;E32),1)</f>
        <v>0</v>
      </c>
      <c r="K30" s="483">
        <f>SUM(AND(T30=T28,C30&gt;E28),AND(T30=T29,D30&gt;E29),AND(T30=T31,F30&gt;E31),AND(T30=T32,G30&gt;E32))</f>
        <v>0</v>
      </c>
      <c r="L30" s="490">
        <f>IF(AND(Q30=1,Q28=1),C30-E28)+IF(AND(Q30=1,Q29=1),D30-E29)+IF(AND(Q30=1,Q31=1),F30-E31)+IF(AND(Q30=1,Q32=1),G30-E32)+IF(AND(Q30=2,Q28=2),C30-E28)+IF(AND(Q30=2,Q29=2),D30-E29)+IF(AND(Q30=2,Q31=2),F30-E31)+IF(AND(Q30=2,Q32=2),G30-E32)+IF(AND(Q30=3,Q28=3),C30-E28)+IF(AND(Q30=3,Q29=3),D30-E29)+IF(AND(Q30=3,Q31=3),F30-E31)+IF(AND(Q30=3,Q32=3),G30-E32)+IF(AND(Q30=4,Q28=4),C30-E28)+IF(AND(Q30=4,Q29=4),D30-E29)+IF(AND(Q30=4,Q31=4),F30-E31)+IF(AND(Q30=4,Q32=4),G30-E32)</f>
        <v>0</v>
      </c>
      <c r="M30" s="483">
        <f>SUM(AND(R30=R28,C30&gt;E28),AND(R30=R29,D30&gt;E29),AND(R30=R31,F30&gt;E31),AND(R30=R32,G30&gt;E32))</f>
        <v>0</v>
      </c>
      <c r="N30" s="537" t="str">
        <f>SUM(C30:G30)&amp;"-"&amp;SUM(E28:E32)</f>
        <v>36-19</v>
      </c>
      <c r="O30" s="538">
        <f>C30+D30+F30+G30-E28-E29-E31-E32</f>
        <v>17</v>
      </c>
      <c r="P30" s="485">
        <f>SUM(C30:G30,E28:E32)/SUM(E28:E32)</f>
        <v>2.8947368421052633</v>
      </c>
      <c r="Q30" s="491">
        <f>VALUE(LEFT(H30,1))</f>
        <v>2</v>
      </c>
      <c r="R30" s="321">
        <f>Q30*100000+J30*10000+K30*1000+100*L30</f>
        <v>200000</v>
      </c>
      <c r="S30" s="486">
        <f>R30+M30*0.1+IF(ISNONTEXT(B30),0,0.01)+0.0001*O30</f>
        <v>200000.0117</v>
      </c>
      <c r="T30" s="487" t="str">
        <f>Q30&amp;J30</f>
        <v>20</v>
      </c>
      <c r="U30" s="477"/>
      <c r="V30" s="477"/>
      <c r="W30" s="477"/>
      <c r="X30" s="477"/>
      <c r="Y30" s="477"/>
      <c r="Z30" s="477"/>
      <c r="AA30" s="477"/>
      <c r="AB30" s="477"/>
      <c r="AC30" s="477"/>
      <c r="AD30" s="405">
        <f t="shared" si="0"/>
        <v>174</v>
      </c>
      <c r="AE30" s="406">
        <f>IFERROR(INDEX(V!$R:$R,MATCH(AF30,V!$L:$L,0)),"")</f>
        <v>84</v>
      </c>
      <c r="AF30" s="407" t="str">
        <f t="shared" si="1"/>
        <v>Aarne Välja</v>
      </c>
      <c r="AG30" s="406">
        <f>IFERROR(INDEX(V!$R:$R,MATCH(AH30,V!$L:$L,0)),"")</f>
        <v>90</v>
      </c>
      <c r="AH30" s="407" t="str">
        <f t="shared" si="2"/>
        <v>Janek Tarto</v>
      </c>
      <c r="AI30" s="406" t="str">
        <f>IFERROR(INDEX(V!$R:$R,MATCH(AJ30,V!$L:$L,0)),"")</f>
        <v/>
      </c>
      <c r="AJ30" s="407" t="str">
        <f t="shared" si="3"/>
        <v/>
      </c>
      <c r="AK30" s="406" t="str">
        <f>IFERROR(INDEX(V!$R:$R,MATCH(AL30,V!$L:$L,0)),"")</f>
        <v/>
      </c>
      <c r="AL30" s="407" t="str">
        <f t="shared" si="4"/>
        <v/>
      </c>
      <c r="AM30" s="406" t="str">
        <f>IFERROR(INDEX(V!$R:$R,MATCH(AN30,V!$L:$L,0)),"")</f>
        <v/>
      </c>
      <c r="AN30" s="407" t="str">
        <f t="shared" si="5"/>
        <v/>
      </c>
      <c r="AO30" s="406" t="str">
        <f>IFERROR(INDEX(V!$R:$R,MATCH(AP30,V!$L:$L,0)),"")</f>
        <v/>
      </c>
      <c r="AP30" s="407" t="str">
        <f t="shared" si="6"/>
        <v/>
      </c>
    </row>
    <row r="31" spans="1:42" x14ac:dyDescent="0.2">
      <c r="A31" s="316">
        <v>4</v>
      </c>
      <c r="B31" s="493" t="s">
        <v>312</v>
      </c>
      <c r="C31" s="318">
        <v>9</v>
      </c>
      <c r="D31" s="492">
        <v>1</v>
      </c>
      <c r="E31" s="318">
        <v>1</v>
      </c>
      <c r="F31" s="319"/>
      <c r="G31" s="511"/>
      <c r="H31" s="317" t="str">
        <f>(IF(C31-F28&gt;0,1)+IF(D31-F29&gt;0,1)+IF(E31-F30&gt;0,1)+IF(G31-F32&gt;0,1))&amp;"-"&amp;(IF(C31-F28&lt;0,1)+IF(D31-F29&lt;0,1)+IF(E31-F30&lt;0,1)+IF(G31-F32&lt;0,1))</f>
        <v>0-3</v>
      </c>
      <c r="I31" s="318" t="str">
        <f t="shared" si="8"/>
        <v>D4</v>
      </c>
      <c r="J31" s="489">
        <f>IF(AND(Q31=1,Q28=1,C31&gt;F28),1)+IF(AND(Q31=1,Q29=1,D31&gt;F29),1)+IF(AND(Q31=1,Q30=1,E31&gt;F30),1)+IF(AND(Q31=1,Q32=1,G31&gt;F32),1)+IF(AND(Q31=2,Q28=2,C31&gt;F28),1)+IF(AND(Q31=2,Q29=2,D31&gt;F29),1)+IF(AND(Q31=2,Q30=2,E31&gt;F30),1)+IF(AND(Q31=2,Q32=2,G31&gt;F32),1)+IF(AND(Q31=3,Q28=3,C31&gt;F28),1)+IF(AND(Q31=3,Q29=3,D31&gt;F29),1)+IF(AND(Q31=3,Q30=3,E31&gt;F30),1)+IF(AND(Q31=3,Q32=3,G31&gt;F32),1)</f>
        <v>0</v>
      </c>
      <c r="K31" s="483">
        <f>SUM(AND(T31=T28,C31&gt;F28),AND(T31=T29,D31&gt;F29),AND(T31=T30,E31&gt;F30),AND(T31=T32,G31&gt;F32))</f>
        <v>0</v>
      </c>
      <c r="L31" s="490">
        <f>IF(AND(Q31=1,Q28=1),C31-F28)+IF(AND(Q31=1,Q29=1),D31-F29)+IF(AND(Q31=1,Q30=1),E31-F30)+IF(AND(Q31=1,Q32=1),G31-F32)+IF(AND(Q31=2,Q28=2),C31-F28)+IF(AND(Q31=2,Q29=2),D31-F29)+IF(AND(Q31=2,Q30=2),E31-F30)+IF(AND(Q31=2,Q32=2),G31-F32)+IF(AND(Q31=3,Q28=3),C31-F28)+IF(AND(Q31=3,Q29=3),D31-F29)+IF(AND(Q31=3,Q30=3),E31-F30)+IF(AND(Q31=3,Q32=3),G31-F32)+IF(AND(Q31=4,Q28=4),C31-F28)+IF(AND(Q31=4,Q29=4),D31-F29)+IF(AND(Q31=4,Q30=4),E31-F30)+IF(AND(Q31=4,Q32=4),G31-F32)</f>
        <v>0</v>
      </c>
      <c r="M31" s="483">
        <f>SUM(AND(R31=R28,C31&gt;F28),AND(R31=R29,D31&gt;F29),AND(R31=R30,E31&gt;F30),AND(R31=R32,G31&gt;F32))</f>
        <v>0</v>
      </c>
      <c r="N31" s="537" t="str">
        <f>SUM(C31:G31)&amp;"-"&amp;SUM(F28:F32)</f>
        <v>11-39</v>
      </c>
      <c r="O31" s="538">
        <f>C31+D31+E31+G31-F28-F29-F30-F32</f>
        <v>-28</v>
      </c>
      <c r="P31" s="485">
        <f>SUM(C31:G31,F28:F32)/SUM(F28:F32)</f>
        <v>1.2820512820512822</v>
      </c>
      <c r="Q31" s="491">
        <f>VALUE(LEFT(H31,1))</f>
        <v>0</v>
      </c>
      <c r="R31" s="321">
        <f>Q31*100000+J31*10000+K31*1000+100*L31</f>
        <v>0</v>
      </c>
      <c r="S31" s="486">
        <f>R31+M31*0.1+IF(ISNONTEXT(B31),0,0.01)+0.0001*O31</f>
        <v>7.1999999999999998E-3</v>
      </c>
      <c r="T31" s="487" t="str">
        <f>Q31&amp;J31</f>
        <v>00</v>
      </c>
      <c r="U31" s="477"/>
      <c r="V31" s="477"/>
      <c r="W31" s="477"/>
      <c r="X31" s="477"/>
      <c r="Y31" s="477"/>
      <c r="Z31" s="477"/>
      <c r="AA31" s="477"/>
      <c r="AB31" s="477"/>
      <c r="AC31" s="477"/>
      <c r="AD31" s="405">
        <f t="shared" si="0"/>
        <v>122</v>
      </c>
      <c r="AE31" s="406">
        <f>IFERROR(INDEX(V!$R:$R,MATCH(AF31,V!$L:$L,0)),"")</f>
        <v>65</v>
      </c>
      <c r="AF31" s="407" t="str">
        <f t="shared" si="1"/>
        <v>Illar Tõnurist</v>
      </c>
      <c r="AG31" s="406">
        <f>IFERROR(INDEX(V!$R:$R,MATCH(AH31,V!$L:$L,0)),"")</f>
        <v>57</v>
      </c>
      <c r="AH31" s="407" t="str">
        <f t="shared" si="2"/>
        <v>Klavdia Piik</v>
      </c>
      <c r="AI31" s="406" t="str">
        <f>IFERROR(INDEX(V!$R:$R,MATCH(AJ31,V!$L:$L,0)),"")</f>
        <v/>
      </c>
      <c r="AJ31" s="407" t="str">
        <f t="shared" si="3"/>
        <v/>
      </c>
      <c r="AK31" s="406" t="str">
        <f>IFERROR(INDEX(V!$R:$R,MATCH(AL31,V!$L:$L,0)),"")</f>
        <v/>
      </c>
      <c r="AL31" s="407" t="str">
        <f t="shared" si="4"/>
        <v/>
      </c>
      <c r="AM31" s="406" t="str">
        <f>IFERROR(INDEX(V!$R:$R,MATCH(AN31,V!$L:$L,0)),"")</f>
        <v/>
      </c>
      <c r="AN31" s="407" t="str">
        <f t="shared" si="5"/>
        <v/>
      </c>
      <c r="AO31" s="406" t="str">
        <f>IFERROR(INDEX(V!$R:$R,MATCH(AP31,V!$L:$L,0)),"")</f>
        <v/>
      </c>
      <c r="AP31" s="407" t="str">
        <f t="shared" si="6"/>
        <v/>
      </c>
    </row>
    <row r="32" spans="1:42" hidden="1" x14ac:dyDescent="0.2">
      <c r="A32" s="316">
        <v>5</v>
      </c>
      <c r="B32" s="493"/>
      <c r="C32" s="318"/>
      <c r="D32" s="318"/>
      <c r="E32" s="318"/>
      <c r="F32" s="318"/>
      <c r="G32" s="319"/>
      <c r="H32" s="317" t="str">
        <f>(IF(C32-G28&gt;0,1)+IF(D32-G29&gt;0,1)+IF(E32-G30&gt;0,1)+IF(F32-G31&gt;0,1))&amp;"-"&amp;(IF(C32-G28&lt;0,1)+IF(D32-G29&lt;0,1)+IF(E32-G30&lt;0,1)+IF(F32-G31&lt;0,1))</f>
        <v>0-0</v>
      </c>
      <c r="I32" s="318" t="str">
        <f t="shared" si="8"/>
        <v xml:space="preserve"> </v>
      </c>
      <c r="J32" s="489">
        <f>IF(AND(Q32=1,Q28=1,C32&gt;G28),1)+IF(AND(Q32=1,Q29=1,D32&gt;G29),1)+IF(AND(Q32=1,Q30=1,E32&gt;G30),1)+IF(AND(Q32=1,Q31=1,F32&gt;G31),1)+IF(AND(Q32=2,Q28=2,C32&gt;G28),1)+IF(AND(Q32=2,Q29=2,D32&gt;G29),1)+IF(AND(Q32=2,Q30=2,E32&gt;G30),1)+IF(AND(Q32=2,Q31=2,F32&gt;G31),1)+IF(AND(Q32=3,Q28=3,C32&gt;G28),1)+IF(AND(Q32=3,Q29=3,D32&gt;G29),1)+IF(AND(Q32=3,Q30=3,E32&gt;G30),1)+IF(AND(Q32=3,Q31=3,F32&gt;G31),1)</f>
        <v>0</v>
      </c>
      <c r="K32" s="483">
        <f>SUM(AND(T32=T28,C32&gt;G28),AND(T32=T29,D32&gt;G29),AND(T32=T30,E32&gt;G30),AND(T32=T31,F32&gt;G31))</f>
        <v>0</v>
      </c>
      <c r="L32" s="490">
        <f>IF(AND(Q32=1,Q28=1),C32-G28)+IF(AND(Q32=1,Q29=1),D32-G29)+IF(AND(Q32=1,Q30=1),E32-G30)+IF(AND(Q32=1,Q31=1),F32-G31)+IF(AND(Q32=2,Q28=2),C32-G28)+IF(AND(Q32=2,Q29=2),D32-G29)+IF(AND(Q32=2,Q30=2),E32-G30)+IF(AND(Q32=2,Q31=2),F32-G31)+IF(AND(Q32=3,Q28=3),C32-G28)+IF(AND(Q32=3,Q29=3),D32-G29)+IF(AND(Q32=3,Q30=3),E32-G30)+IF(AND(Q32=3,Q31=3),F32-G31)+IF(AND(Q32=4,Q28=4),C32-G28)+IF(AND(Q32=4,Q29=4),D32-G29)+IF(AND(Q32=4,Q30=4),E32-G30)+IF(AND(Q32=4,Q31=4),F32-G31)</f>
        <v>0</v>
      </c>
      <c r="M32" s="483">
        <f>SUM(AND(R32=R28,C32&gt;G28),AND(R32=R29,D32&gt;G29),AND(R32=R30,E32&gt;G30),AND(R32=R31,F32&gt;G31))</f>
        <v>0</v>
      </c>
      <c r="N32" s="537" t="str">
        <f>SUM(C32:G32)&amp;"-"&amp;SUM(G28:G32)</f>
        <v>0-0</v>
      </c>
      <c r="O32" s="538">
        <f>C32+D32+E32+F32-G28-G29-G30-G31</f>
        <v>0</v>
      </c>
      <c r="P32" s="485" t="e">
        <f>SUM(C32:G32,G28:G32)/SUM(G28:G32)</f>
        <v>#DIV/0!</v>
      </c>
      <c r="Q32" s="491">
        <f>VALUE(LEFT(H32,1))</f>
        <v>0</v>
      </c>
      <c r="R32" s="321">
        <f>Q32*100000+J32*10000+K32*1000+100*L32</f>
        <v>0</v>
      </c>
      <c r="S32" s="486">
        <f>R32+M32*0.1+IF(ISNONTEXT(B32),0,0.01)+0.0001*O32</f>
        <v>0</v>
      </c>
      <c r="T32" s="487" t="str">
        <f>Q32&amp;J32</f>
        <v>00</v>
      </c>
      <c r="U32" s="477"/>
      <c r="V32" s="477"/>
      <c r="W32" s="477"/>
      <c r="X32" s="477"/>
      <c r="Y32" s="477"/>
      <c r="Z32" s="477"/>
      <c r="AA32" s="477"/>
      <c r="AB32" s="477"/>
      <c r="AC32" s="477"/>
      <c r="AH32" s="407" t="str">
        <f t="shared" si="2"/>
        <v/>
      </c>
    </row>
    <row r="33" spans="1:34" hidden="1" x14ac:dyDescent="0.2">
      <c r="A33" s="494"/>
      <c r="B33" s="519"/>
      <c r="C33" s="499"/>
      <c r="D33" s="499"/>
      <c r="E33" s="499"/>
      <c r="F33" s="496"/>
      <c r="G33" s="499"/>
      <c r="H33" s="520"/>
      <c r="I33" s="521"/>
      <c r="J33" s="477"/>
      <c r="K33" s="477"/>
      <c r="L33" s="477"/>
      <c r="M33" s="477"/>
      <c r="N33" s="539"/>
      <c r="O33" s="539"/>
      <c r="P33" s="477"/>
      <c r="Q33" s="477"/>
      <c r="R33" s="502" t="s">
        <v>264</v>
      </c>
      <c r="S33" s="477"/>
      <c r="T33" s="477"/>
      <c r="U33" s="477"/>
      <c r="V33" s="477"/>
      <c r="W33" s="477"/>
      <c r="X33" s="477"/>
      <c r="Y33" s="477"/>
      <c r="Z33" s="477"/>
      <c r="AA33" s="477"/>
      <c r="AB33" s="477"/>
      <c r="AC33" s="477"/>
      <c r="AH33" s="407" t="str">
        <f t="shared" si="2"/>
        <v/>
      </c>
    </row>
    <row r="34" spans="1:34" hidden="1" x14ac:dyDescent="0.2">
      <c r="A34" s="477"/>
      <c r="B34" s="477"/>
      <c r="C34" s="477"/>
      <c r="D34" s="477"/>
      <c r="E34" s="477"/>
      <c r="F34" s="477"/>
      <c r="G34" s="477"/>
      <c r="H34" s="477"/>
      <c r="I34" s="477"/>
      <c r="J34" s="477"/>
      <c r="K34" s="477"/>
      <c r="L34" s="477"/>
      <c r="M34" s="477"/>
      <c r="N34" s="477"/>
      <c r="O34" s="477"/>
      <c r="P34" s="477"/>
      <c r="Q34" s="477"/>
      <c r="R34" s="477"/>
      <c r="S34" s="477"/>
      <c r="T34" s="477"/>
      <c r="U34" s="477"/>
      <c r="V34" s="477"/>
      <c r="W34" s="477"/>
      <c r="X34" s="477"/>
      <c r="Y34" s="477"/>
      <c r="Z34" s="477"/>
      <c r="AA34" s="477"/>
      <c r="AB34" s="477"/>
      <c r="AC34" s="477"/>
      <c r="AH34" s="407" t="str">
        <f t="shared" si="2"/>
        <v/>
      </c>
    </row>
    <row r="35" spans="1:34" hidden="1" x14ac:dyDescent="0.2">
      <c r="A35" s="477"/>
      <c r="B35" s="477"/>
      <c r="C35" s="477"/>
      <c r="D35" s="477"/>
      <c r="E35" s="477"/>
      <c r="F35" s="477"/>
      <c r="G35" s="477"/>
      <c r="H35" s="477"/>
      <c r="I35" s="477"/>
      <c r="J35" s="477"/>
      <c r="K35" s="477"/>
      <c r="L35" s="477"/>
      <c r="M35" s="477"/>
      <c r="N35" s="477"/>
      <c r="O35" s="477"/>
      <c r="P35" s="477"/>
      <c r="Q35" s="477"/>
      <c r="R35" s="477"/>
      <c r="S35" s="477"/>
      <c r="T35" s="477"/>
      <c r="U35" s="477"/>
      <c r="V35" s="477"/>
      <c r="W35" s="477"/>
      <c r="X35" s="477"/>
      <c r="Y35" s="477"/>
      <c r="Z35" s="477"/>
      <c r="AA35" s="477"/>
      <c r="AB35" s="477"/>
      <c r="AC35" s="477"/>
      <c r="AH35" s="407" t="str">
        <f t="shared" si="2"/>
        <v/>
      </c>
    </row>
    <row r="36" spans="1:34" hidden="1" x14ac:dyDescent="0.2">
      <c r="A36" s="477"/>
      <c r="B36" s="477"/>
      <c r="C36" s="477"/>
      <c r="D36" s="477"/>
      <c r="E36" s="477"/>
      <c r="F36" s="477"/>
      <c r="G36" s="477"/>
      <c r="H36" s="477"/>
      <c r="I36" s="477"/>
      <c r="J36" s="477"/>
      <c r="K36" s="477"/>
      <c r="L36" s="477"/>
      <c r="M36" s="477"/>
      <c r="N36" s="477"/>
      <c r="O36" s="477"/>
      <c r="P36" s="477"/>
      <c r="Q36" s="477"/>
      <c r="R36" s="477"/>
      <c r="S36" s="477"/>
      <c r="T36" s="477"/>
      <c r="U36" s="477"/>
      <c r="V36" s="477"/>
      <c r="W36" s="477"/>
      <c r="X36" s="477"/>
      <c r="Y36" s="477"/>
      <c r="Z36" s="477"/>
      <c r="AA36" s="477"/>
      <c r="AB36" s="477"/>
      <c r="AC36" s="477"/>
      <c r="AH36" s="407" t="str">
        <f t="shared" si="2"/>
        <v/>
      </c>
    </row>
    <row r="37" spans="1:34" hidden="1" x14ac:dyDescent="0.2">
      <c r="A37" s="477"/>
      <c r="B37" s="477"/>
      <c r="C37" s="477"/>
      <c r="D37" s="477"/>
      <c r="E37" s="477"/>
      <c r="F37" s="477"/>
      <c r="G37" s="477"/>
      <c r="H37" s="477"/>
      <c r="I37" s="477"/>
      <c r="J37" s="477"/>
      <c r="K37" s="477"/>
      <c r="L37" s="477"/>
      <c r="M37" s="477"/>
      <c r="N37" s="477"/>
      <c r="O37" s="477"/>
      <c r="P37" s="477"/>
      <c r="Q37" s="477"/>
      <c r="R37" s="477"/>
      <c r="S37" s="477"/>
      <c r="T37" s="477"/>
      <c r="U37" s="477"/>
      <c r="V37" s="477"/>
      <c r="W37" s="477"/>
      <c r="X37" s="477"/>
      <c r="Y37" s="477"/>
      <c r="Z37" s="477"/>
      <c r="AA37" s="477"/>
      <c r="AB37" s="477"/>
      <c r="AC37" s="477"/>
      <c r="AH37" s="407" t="str">
        <f t="shared" si="2"/>
        <v/>
      </c>
    </row>
    <row r="38" spans="1:34" hidden="1" x14ac:dyDescent="0.2">
      <c r="A38" s="477"/>
      <c r="B38" s="477"/>
      <c r="C38" s="477"/>
      <c r="D38" s="477"/>
      <c r="E38" s="477"/>
      <c r="F38" s="477"/>
      <c r="G38" s="477"/>
      <c r="H38" s="477"/>
      <c r="I38" s="477"/>
      <c r="J38" s="477"/>
      <c r="K38" s="477"/>
      <c r="L38" s="477"/>
      <c r="M38" s="477"/>
      <c r="N38" s="477"/>
      <c r="O38" s="477"/>
      <c r="P38" s="477"/>
      <c r="Q38" s="477"/>
      <c r="R38" s="477"/>
      <c r="S38" s="477"/>
      <c r="T38" s="477"/>
      <c r="U38" s="477"/>
      <c r="V38" s="477"/>
      <c r="W38" s="477"/>
      <c r="X38" s="477"/>
      <c r="Y38" s="477"/>
      <c r="Z38" s="477"/>
      <c r="AA38" s="477"/>
      <c r="AB38" s="477"/>
      <c r="AC38" s="477"/>
      <c r="AH38" s="407" t="str">
        <f t="shared" si="2"/>
        <v/>
      </c>
    </row>
    <row r="39" spans="1:34" hidden="1" x14ac:dyDescent="0.2">
      <c r="A39" s="477"/>
      <c r="B39" s="477"/>
      <c r="C39" s="477"/>
      <c r="D39" s="477"/>
      <c r="E39" s="477"/>
      <c r="F39" s="477"/>
      <c r="G39" s="477"/>
      <c r="H39" s="477"/>
      <c r="I39" s="477"/>
      <c r="J39" s="477"/>
      <c r="K39" s="477"/>
      <c r="L39" s="477"/>
      <c r="M39" s="477"/>
      <c r="N39" s="477"/>
      <c r="O39" s="477"/>
      <c r="P39" s="477"/>
      <c r="Q39" s="477"/>
      <c r="R39" s="477"/>
      <c r="S39" s="477"/>
      <c r="T39" s="477"/>
      <c r="U39" s="477"/>
      <c r="V39" s="477"/>
      <c r="W39" s="477"/>
      <c r="X39" s="477"/>
      <c r="Y39" s="477"/>
      <c r="Z39" s="477"/>
      <c r="AA39" s="477"/>
      <c r="AB39" s="477"/>
      <c r="AC39" s="477"/>
      <c r="AH39" s="407" t="str">
        <f t="shared" si="2"/>
        <v/>
      </c>
    </row>
    <row r="40" spans="1:34" hidden="1" x14ac:dyDescent="0.2">
      <c r="A40" s="477"/>
      <c r="B40" s="477"/>
      <c r="C40" s="477"/>
      <c r="D40" s="477"/>
      <c r="E40" s="477"/>
      <c r="F40" s="477"/>
      <c r="G40" s="477"/>
      <c r="H40" s="477"/>
      <c r="I40" s="477"/>
      <c r="J40" s="477"/>
      <c r="K40" s="477"/>
      <c r="L40" s="477"/>
      <c r="M40" s="477"/>
      <c r="N40" s="477"/>
      <c r="O40" s="477"/>
      <c r="P40" s="477"/>
      <c r="Q40" s="477"/>
      <c r="R40" s="477"/>
      <c r="S40" s="477"/>
      <c r="T40" s="477"/>
      <c r="U40" s="477"/>
      <c r="V40" s="477"/>
      <c r="W40" s="477"/>
      <c r="X40" s="477"/>
      <c r="Y40" s="477"/>
      <c r="Z40" s="477"/>
      <c r="AA40" s="477"/>
      <c r="AB40" s="477"/>
      <c r="AC40" s="477"/>
      <c r="AH40" s="407" t="str">
        <f t="shared" si="2"/>
        <v/>
      </c>
    </row>
    <row r="41" spans="1:34" hidden="1" x14ac:dyDescent="0.2">
      <c r="A41" s="477"/>
      <c r="B41" s="477"/>
      <c r="C41" s="477"/>
      <c r="D41" s="477"/>
      <c r="E41" s="477"/>
      <c r="F41" s="477"/>
      <c r="G41" s="477"/>
      <c r="H41" s="477"/>
      <c r="I41" s="477"/>
      <c r="J41" s="477"/>
      <c r="K41" s="477"/>
      <c r="L41" s="477"/>
      <c r="M41" s="477"/>
      <c r="N41" s="477"/>
      <c r="O41" s="477"/>
      <c r="P41" s="477"/>
      <c r="Q41" s="477"/>
      <c r="R41" s="477"/>
      <c r="S41" s="477"/>
      <c r="T41" s="477"/>
      <c r="U41" s="477"/>
      <c r="V41" s="477"/>
      <c r="W41" s="477"/>
      <c r="X41" s="477"/>
      <c r="Y41" s="477"/>
      <c r="Z41" s="477"/>
      <c r="AA41" s="477"/>
      <c r="AB41" s="477"/>
      <c r="AC41" s="477"/>
      <c r="AH41" s="407" t="str">
        <f t="shared" si="2"/>
        <v/>
      </c>
    </row>
    <row r="42" spans="1:34" hidden="1" x14ac:dyDescent="0.2">
      <c r="A42" s="477"/>
      <c r="B42" s="477"/>
      <c r="C42" s="477"/>
      <c r="D42" s="477"/>
      <c r="E42" s="477"/>
      <c r="F42" s="477"/>
      <c r="G42" s="477"/>
      <c r="H42" s="477"/>
      <c r="I42" s="477"/>
      <c r="J42" s="477"/>
      <c r="K42" s="477"/>
      <c r="L42" s="477"/>
      <c r="M42" s="477"/>
      <c r="N42" s="477"/>
      <c r="O42" s="477"/>
      <c r="P42" s="477"/>
      <c r="Q42" s="477"/>
      <c r="R42" s="477"/>
      <c r="S42" s="477"/>
      <c r="T42" s="477"/>
      <c r="U42" s="477"/>
      <c r="V42" s="477"/>
      <c r="W42" s="477"/>
      <c r="X42" s="477"/>
      <c r="Y42" s="477"/>
      <c r="Z42" s="477"/>
      <c r="AA42" s="477"/>
      <c r="AB42" s="477"/>
      <c r="AC42" s="477"/>
      <c r="AH42" s="407" t="str">
        <f t="shared" si="2"/>
        <v/>
      </c>
    </row>
    <row r="43" spans="1:34" hidden="1" x14ac:dyDescent="0.2">
      <c r="A43" s="477"/>
      <c r="B43" s="477"/>
      <c r="C43" s="477"/>
      <c r="D43" s="477"/>
      <c r="E43" s="477"/>
      <c r="F43" s="477"/>
      <c r="G43" s="477"/>
      <c r="H43" s="477"/>
      <c r="I43" s="477"/>
      <c r="J43" s="477"/>
      <c r="K43" s="477"/>
      <c r="L43" s="477"/>
      <c r="M43" s="477"/>
      <c r="N43" s="477"/>
      <c r="O43" s="477"/>
      <c r="P43" s="477"/>
      <c r="Q43" s="477"/>
      <c r="R43" s="477"/>
      <c r="S43" s="477"/>
      <c r="T43" s="477"/>
      <c r="U43" s="477"/>
      <c r="V43" s="477"/>
      <c r="W43" s="477"/>
      <c r="X43" s="477"/>
      <c r="Y43" s="477"/>
      <c r="Z43" s="477"/>
      <c r="AA43" s="477"/>
      <c r="AB43" s="477"/>
      <c r="AC43" s="477"/>
      <c r="AH43" s="407" t="str">
        <f t="shared" si="2"/>
        <v/>
      </c>
    </row>
    <row r="44" spans="1:34" hidden="1" x14ac:dyDescent="0.2">
      <c r="A44" s="477"/>
      <c r="B44" s="477"/>
      <c r="C44" s="477"/>
      <c r="D44" s="477"/>
      <c r="E44" s="477"/>
      <c r="F44" s="477"/>
      <c r="G44" s="477"/>
      <c r="H44" s="477"/>
      <c r="I44" s="477"/>
      <c r="J44" s="477"/>
      <c r="K44" s="477"/>
      <c r="L44" s="477"/>
      <c r="M44" s="477"/>
      <c r="N44" s="477"/>
      <c r="O44" s="477"/>
      <c r="P44" s="477"/>
      <c r="Q44" s="477"/>
      <c r="R44" s="477"/>
      <c r="S44" s="477"/>
      <c r="T44" s="477"/>
      <c r="U44" s="477"/>
      <c r="V44" s="477"/>
      <c r="W44" s="477"/>
      <c r="X44" s="477"/>
      <c r="Y44" s="477"/>
      <c r="Z44" s="477"/>
      <c r="AA44" s="477"/>
      <c r="AB44" s="477"/>
      <c r="AC44" s="477"/>
      <c r="AH44" s="407" t="str">
        <f t="shared" si="2"/>
        <v/>
      </c>
    </row>
    <row r="45" spans="1:34" hidden="1" x14ac:dyDescent="0.2">
      <c r="A45" s="477"/>
      <c r="B45" s="477"/>
      <c r="C45" s="477"/>
      <c r="D45" s="477"/>
      <c r="E45" s="477"/>
      <c r="F45" s="477"/>
      <c r="G45" s="477"/>
      <c r="H45" s="477"/>
      <c r="I45" s="477"/>
      <c r="J45" s="477"/>
      <c r="K45" s="477"/>
      <c r="L45" s="477"/>
      <c r="M45" s="477"/>
      <c r="N45" s="477"/>
      <c r="O45" s="477"/>
      <c r="P45" s="477"/>
      <c r="Q45" s="477"/>
      <c r="R45" s="477"/>
      <c r="S45" s="477"/>
      <c r="T45" s="477"/>
      <c r="U45" s="477"/>
      <c r="V45" s="477"/>
      <c r="W45" s="477"/>
      <c r="X45" s="477"/>
      <c r="Y45" s="477"/>
      <c r="Z45" s="477"/>
      <c r="AA45" s="477"/>
      <c r="AB45" s="477"/>
      <c r="AC45" s="477"/>
      <c r="AH45" s="407" t="str">
        <f t="shared" si="2"/>
        <v/>
      </c>
    </row>
    <row r="46" spans="1:34" hidden="1" x14ac:dyDescent="0.2">
      <c r="A46" s="477"/>
      <c r="B46" s="477"/>
      <c r="C46" s="477"/>
      <c r="D46" s="477"/>
      <c r="E46" s="477"/>
      <c r="F46" s="477"/>
      <c r="G46" s="477"/>
      <c r="H46" s="477"/>
      <c r="I46" s="477"/>
      <c r="J46" s="477"/>
      <c r="K46" s="477"/>
      <c r="L46" s="477"/>
      <c r="M46" s="477"/>
      <c r="N46" s="477"/>
      <c r="O46" s="477"/>
      <c r="P46" s="477"/>
      <c r="Q46" s="477"/>
      <c r="R46" s="477"/>
      <c r="S46" s="477"/>
      <c r="T46" s="477"/>
      <c r="U46" s="477"/>
      <c r="V46" s="477"/>
      <c r="W46" s="477"/>
      <c r="X46" s="477"/>
      <c r="Y46" s="477"/>
      <c r="Z46" s="477"/>
      <c r="AA46" s="477"/>
      <c r="AB46" s="477"/>
      <c r="AC46" s="477"/>
      <c r="AH46" s="407" t="str">
        <f t="shared" si="2"/>
        <v/>
      </c>
    </row>
    <row r="47" spans="1:34" hidden="1" x14ac:dyDescent="0.2">
      <c r="A47" s="477"/>
      <c r="B47" s="477"/>
      <c r="C47" s="477"/>
      <c r="D47" s="477"/>
      <c r="E47" s="477"/>
      <c r="F47" s="477"/>
      <c r="G47" s="477"/>
      <c r="H47" s="477"/>
      <c r="I47" s="477"/>
      <c r="J47" s="477"/>
      <c r="K47" s="477"/>
      <c r="L47" s="477"/>
      <c r="M47" s="477"/>
      <c r="N47" s="477"/>
      <c r="O47" s="477"/>
      <c r="P47" s="477"/>
      <c r="Q47" s="477"/>
      <c r="R47" s="477"/>
      <c r="S47" s="477"/>
      <c r="T47" s="477"/>
      <c r="U47" s="477"/>
      <c r="V47" s="477"/>
      <c r="W47" s="477"/>
      <c r="X47" s="477"/>
      <c r="Y47" s="477"/>
      <c r="Z47" s="477"/>
      <c r="AA47" s="477"/>
      <c r="AB47" s="477"/>
      <c r="AC47" s="477"/>
      <c r="AH47" s="407" t="str">
        <f t="shared" si="2"/>
        <v/>
      </c>
    </row>
    <row r="48" spans="1:34" hidden="1" x14ac:dyDescent="0.2">
      <c r="A48" s="477"/>
      <c r="B48" s="477"/>
      <c r="C48" s="477"/>
      <c r="D48" s="477"/>
      <c r="E48" s="477"/>
      <c r="F48" s="477"/>
      <c r="G48" s="477"/>
      <c r="H48" s="477"/>
      <c r="I48" s="477"/>
      <c r="J48" s="477"/>
      <c r="K48" s="477"/>
      <c r="L48" s="477"/>
      <c r="M48" s="477"/>
      <c r="N48" s="477"/>
      <c r="O48" s="477"/>
      <c r="P48" s="477"/>
      <c r="Q48" s="477"/>
      <c r="R48" s="477"/>
      <c r="S48" s="477"/>
      <c r="T48" s="477"/>
      <c r="U48" s="477"/>
      <c r="V48" s="477"/>
      <c r="W48" s="477"/>
      <c r="X48" s="477"/>
      <c r="Y48" s="477"/>
      <c r="Z48" s="477"/>
      <c r="AA48" s="477"/>
      <c r="AB48" s="477"/>
      <c r="AC48" s="477"/>
      <c r="AH48" s="407" t="str">
        <f t="shared" si="2"/>
        <v/>
      </c>
    </row>
    <row r="49" spans="1:34" hidden="1" x14ac:dyDescent="0.2">
      <c r="A49" s="477"/>
      <c r="B49" s="477"/>
      <c r="C49" s="477"/>
      <c r="D49" s="477"/>
      <c r="E49" s="477"/>
      <c r="F49" s="477"/>
      <c r="G49" s="477"/>
      <c r="H49" s="477"/>
      <c r="I49" s="477"/>
      <c r="J49" s="477"/>
      <c r="K49" s="477"/>
      <c r="L49" s="477"/>
      <c r="M49" s="477"/>
      <c r="N49" s="477"/>
      <c r="O49" s="477"/>
      <c r="P49" s="477"/>
      <c r="Q49" s="477"/>
      <c r="R49" s="477"/>
      <c r="S49" s="477"/>
      <c r="T49" s="477"/>
      <c r="U49" s="477"/>
      <c r="V49" s="477"/>
      <c r="W49" s="477"/>
      <c r="X49" s="477"/>
      <c r="Y49" s="477"/>
      <c r="Z49" s="477"/>
      <c r="AA49" s="477"/>
      <c r="AB49" s="477"/>
      <c r="AC49" s="477"/>
      <c r="AH49" s="407" t="str">
        <f t="shared" si="2"/>
        <v/>
      </c>
    </row>
    <row r="50" spans="1:34" hidden="1" x14ac:dyDescent="0.2">
      <c r="A50" s="477"/>
      <c r="B50" s="477"/>
      <c r="C50" s="477"/>
      <c r="D50" s="477"/>
      <c r="E50" s="477"/>
      <c r="F50" s="477"/>
      <c r="G50" s="477"/>
      <c r="H50" s="477"/>
      <c r="I50" s="477"/>
      <c r="J50" s="477"/>
      <c r="K50" s="477"/>
      <c r="L50" s="477"/>
      <c r="M50" s="477"/>
      <c r="N50" s="477"/>
      <c r="O50" s="477"/>
      <c r="P50" s="477"/>
      <c r="Q50" s="477"/>
      <c r="R50" s="477"/>
      <c r="S50" s="477"/>
      <c r="T50" s="477"/>
      <c r="U50" s="477"/>
      <c r="V50" s="477"/>
      <c r="W50" s="477"/>
      <c r="X50" s="477"/>
      <c r="Y50" s="477"/>
      <c r="Z50" s="477"/>
      <c r="AA50" s="477"/>
      <c r="AB50" s="477"/>
      <c r="AC50" s="477"/>
      <c r="AH50" s="407" t="str">
        <f t="shared" si="2"/>
        <v/>
      </c>
    </row>
    <row r="51" spans="1:34" hidden="1" x14ac:dyDescent="0.2">
      <c r="A51" s="477"/>
      <c r="B51" s="477"/>
      <c r="C51" s="477"/>
      <c r="D51" s="477"/>
      <c r="E51" s="477"/>
      <c r="F51" s="477"/>
      <c r="G51" s="477"/>
      <c r="H51" s="477"/>
      <c r="I51" s="477"/>
      <c r="J51" s="477"/>
      <c r="K51" s="477"/>
      <c r="L51" s="477"/>
      <c r="M51" s="477"/>
      <c r="N51" s="477"/>
      <c r="O51" s="477"/>
      <c r="P51" s="477"/>
      <c r="Q51" s="477"/>
      <c r="R51" s="477"/>
      <c r="S51" s="477"/>
      <c r="T51" s="477"/>
      <c r="U51" s="477"/>
      <c r="V51" s="477"/>
      <c r="W51" s="477"/>
      <c r="X51" s="477"/>
      <c r="Y51" s="477"/>
      <c r="Z51" s="477"/>
      <c r="AA51" s="477"/>
      <c r="AB51" s="477"/>
      <c r="AC51" s="477"/>
      <c r="AH51" s="407" t="str">
        <f t="shared" si="2"/>
        <v/>
      </c>
    </row>
    <row r="52" spans="1:34" hidden="1" x14ac:dyDescent="0.2">
      <c r="A52" s="477"/>
      <c r="B52" s="477"/>
      <c r="C52" s="477"/>
      <c r="D52" s="477"/>
      <c r="E52" s="477"/>
      <c r="F52" s="477"/>
      <c r="G52" s="477"/>
      <c r="H52" s="477"/>
      <c r="I52" s="477"/>
      <c r="J52" s="477"/>
      <c r="K52" s="477"/>
      <c r="L52" s="477"/>
      <c r="M52" s="477"/>
      <c r="N52" s="477"/>
      <c r="O52" s="477"/>
      <c r="P52" s="477"/>
      <c r="Q52" s="477"/>
      <c r="R52" s="477"/>
      <c r="S52" s="477"/>
      <c r="T52" s="477"/>
      <c r="U52" s="477"/>
      <c r="V52" s="477"/>
      <c r="W52" s="477"/>
      <c r="X52" s="477"/>
      <c r="Y52" s="477"/>
      <c r="Z52" s="477"/>
      <c r="AA52" s="477"/>
      <c r="AB52" s="477"/>
      <c r="AC52" s="477"/>
      <c r="AH52" s="407" t="str">
        <f t="shared" si="2"/>
        <v/>
      </c>
    </row>
    <row r="53" spans="1:34" hidden="1" x14ac:dyDescent="0.2">
      <c r="A53" s="477"/>
      <c r="B53" s="477"/>
      <c r="C53" s="477"/>
      <c r="D53" s="477"/>
      <c r="E53" s="477"/>
      <c r="F53" s="477"/>
      <c r="G53" s="477"/>
      <c r="H53" s="477"/>
      <c r="I53" s="477"/>
      <c r="J53" s="477"/>
      <c r="K53" s="477"/>
      <c r="L53" s="477"/>
      <c r="M53" s="477"/>
      <c r="N53" s="477"/>
      <c r="O53" s="477"/>
      <c r="P53" s="477"/>
      <c r="Q53" s="477"/>
      <c r="R53" s="477"/>
      <c r="S53" s="477"/>
      <c r="T53" s="477"/>
      <c r="U53" s="477"/>
      <c r="V53" s="477"/>
      <c r="W53" s="477"/>
      <c r="X53" s="477"/>
      <c r="Y53" s="477"/>
      <c r="Z53" s="477"/>
      <c r="AA53" s="477"/>
      <c r="AB53" s="477"/>
      <c r="AC53" s="477"/>
      <c r="AH53" s="407" t="str">
        <f t="shared" si="2"/>
        <v/>
      </c>
    </row>
    <row r="54" spans="1:34" hidden="1" x14ac:dyDescent="0.2">
      <c r="A54" s="477"/>
      <c r="B54" s="477"/>
      <c r="C54" s="477"/>
      <c r="D54" s="477"/>
      <c r="E54" s="477"/>
      <c r="F54" s="477"/>
      <c r="G54" s="477"/>
      <c r="H54" s="477"/>
      <c r="I54" s="477"/>
      <c r="J54" s="477"/>
      <c r="K54" s="477"/>
      <c r="L54" s="477"/>
      <c r="M54" s="477"/>
      <c r="N54" s="477"/>
      <c r="O54" s="477"/>
      <c r="P54" s="477"/>
      <c r="Q54" s="477"/>
      <c r="R54" s="477"/>
      <c r="S54" s="477"/>
      <c r="T54" s="477"/>
      <c r="U54" s="477"/>
      <c r="V54" s="477"/>
      <c r="W54" s="477"/>
      <c r="X54" s="477"/>
      <c r="Y54" s="477"/>
      <c r="Z54" s="477"/>
      <c r="AA54" s="477"/>
      <c r="AB54" s="477"/>
      <c r="AC54" s="477"/>
      <c r="AH54" s="407" t="str">
        <f t="shared" si="2"/>
        <v/>
      </c>
    </row>
    <row r="55" spans="1:34" hidden="1" x14ac:dyDescent="0.2">
      <c r="A55" s="477"/>
      <c r="B55" s="477"/>
      <c r="C55" s="477"/>
      <c r="D55" s="477"/>
      <c r="E55" s="477"/>
      <c r="F55" s="477"/>
      <c r="G55" s="477"/>
      <c r="H55" s="477"/>
      <c r="I55" s="477"/>
      <c r="J55" s="477"/>
      <c r="K55" s="477"/>
      <c r="L55" s="477"/>
      <c r="M55" s="477"/>
      <c r="N55" s="477"/>
      <c r="O55" s="477"/>
      <c r="P55" s="477"/>
      <c r="Q55" s="477"/>
      <c r="R55" s="477"/>
      <c r="S55" s="477"/>
      <c r="T55" s="477"/>
      <c r="U55" s="477"/>
      <c r="V55" s="477"/>
      <c r="W55" s="477"/>
      <c r="X55" s="477"/>
      <c r="Y55" s="477"/>
      <c r="Z55" s="477"/>
      <c r="AA55" s="477"/>
      <c r="AB55" s="477"/>
      <c r="AC55" s="477"/>
      <c r="AH55" s="407" t="str">
        <f t="shared" si="2"/>
        <v/>
      </c>
    </row>
    <row r="56" spans="1:34" hidden="1" x14ac:dyDescent="0.2">
      <c r="A56" s="477"/>
      <c r="B56" s="477"/>
      <c r="C56" s="477"/>
      <c r="D56" s="477"/>
      <c r="E56" s="477"/>
      <c r="F56" s="477"/>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H56" s="407" t="str">
        <f t="shared" si="2"/>
        <v/>
      </c>
    </row>
    <row r="57" spans="1:34" hidden="1" x14ac:dyDescent="0.2">
      <c r="A57" s="477"/>
      <c r="B57" s="477"/>
      <c r="C57" s="477"/>
      <c r="D57" s="477"/>
      <c r="E57" s="477"/>
      <c r="F57" s="477"/>
      <c r="G57" s="477"/>
      <c r="H57" s="477"/>
      <c r="I57" s="477"/>
      <c r="J57" s="477"/>
      <c r="K57" s="477"/>
      <c r="L57" s="477"/>
      <c r="M57" s="477"/>
      <c r="N57" s="477"/>
      <c r="O57" s="477"/>
      <c r="P57" s="477"/>
      <c r="Q57" s="477"/>
      <c r="R57" s="477"/>
      <c r="S57" s="477"/>
      <c r="T57" s="477"/>
      <c r="U57" s="477"/>
      <c r="V57" s="477"/>
      <c r="W57" s="477"/>
      <c r="X57" s="477"/>
      <c r="Y57" s="477"/>
      <c r="Z57" s="477"/>
      <c r="AA57" s="477"/>
      <c r="AB57" s="477"/>
      <c r="AC57" s="477"/>
      <c r="AH57" s="407" t="str">
        <f t="shared" si="2"/>
        <v/>
      </c>
    </row>
    <row r="58" spans="1:34" hidden="1" x14ac:dyDescent="0.2">
      <c r="A58" s="477"/>
      <c r="B58" s="477"/>
      <c r="C58" s="477"/>
      <c r="D58" s="477"/>
      <c r="E58" s="477"/>
      <c r="F58" s="477"/>
      <c r="G58" s="477"/>
      <c r="H58" s="477"/>
      <c r="I58" s="477"/>
      <c r="J58" s="477"/>
      <c r="K58" s="477"/>
      <c r="L58" s="477"/>
      <c r="M58" s="477"/>
      <c r="N58" s="477"/>
      <c r="O58" s="477"/>
      <c r="P58" s="477"/>
      <c r="Q58" s="477"/>
      <c r="R58" s="477"/>
      <c r="S58" s="477"/>
      <c r="T58" s="477"/>
      <c r="U58" s="477"/>
      <c r="V58" s="477"/>
      <c r="W58" s="477"/>
      <c r="X58" s="477"/>
      <c r="Y58" s="477"/>
      <c r="Z58" s="477"/>
      <c r="AA58" s="477"/>
      <c r="AB58" s="477"/>
      <c r="AC58" s="477"/>
      <c r="AH58" s="407" t="str">
        <f t="shared" si="2"/>
        <v/>
      </c>
    </row>
    <row r="59" spans="1:34" hidden="1" x14ac:dyDescent="0.2">
      <c r="A59" s="477"/>
      <c r="B59" s="477"/>
      <c r="C59" s="477"/>
      <c r="D59" s="477"/>
      <c r="E59" s="477"/>
      <c r="F59" s="477"/>
      <c r="G59" s="477"/>
      <c r="H59" s="477"/>
      <c r="I59" s="477"/>
      <c r="J59" s="477"/>
      <c r="K59" s="477"/>
      <c r="L59" s="477"/>
      <c r="M59" s="477"/>
      <c r="N59" s="477"/>
      <c r="O59" s="477"/>
      <c r="P59" s="477"/>
      <c r="Q59" s="477"/>
      <c r="R59" s="477"/>
      <c r="S59" s="477"/>
      <c r="T59" s="477"/>
      <c r="U59" s="477"/>
      <c r="V59" s="477"/>
      <c r="W59" s="477"/>
      <c r="X59" s="477"/>
      <c r="Y59" s="477"/>
      <c r="Z59" s="477"/>
      <c r="AA59" s="477"/>
      <c r="AB59" s="477"/>
      <c r="AC59" s="477"/>
      <c r="AH59" s="407" t="str">
        <f t="shared" si="2"/>
        <v/>
      </c>
    </row>
    <row r="60" spans="1:34" hidden="1" x14ac:dyDescent="0.2">
      <c r="A60" s="477"/>
      <c r="B60" s="477"/>
      <c r="C60" s="477"/>
      <c r="D60" s="477"/>
      <c r="E60" s="477"/>
      <c r="F60" s="477"/>
      <c r="G60" s="477"/>
      <c r="H60" s="477"/>
      <c r="I60" s="477"/>
      <c r="J60" s="477"/>
      <c r="K60" s="477"/>
      <c r="L60" s="477"/>
      <c r="M60" s="477"/>
      <c r="N60" s="477"/>
      <c r="O60" s="477"/>
      <c r="P60" s="477"/>
      <c r="Q60" s="477"/>
      <c r="R60" s="477"/>
      <c r="S60" s="477"/>
      <c r="T60" s="477"/>
      <c r="U60" s="477"/>
      <c r="V60" s="477"/>
      <c r="W60" s="477"/>
      <c r="X60" s="477"/>
      <c r="Y60" s="477"/>
      <c r="Z60" s="477"/>
      <c r="AA60" s="477"/>
      <c r="AB60" s="477"/>
      <c r="AC60" s="477"/>
      <c r="AH60" s="407" t="str">
        <f t="shared" si="2"/>
        <v/>
      </c>
    </row>
    <row r="61" spans="1:34" hidden="1" x14ac:dyDescent="0.2">
      <c r="A61" s="79"/>
      <c r="B61" s="79"/>
      <c r="C61" s="79"/>
      <c r="D61" s="79"/>
      <c r="E61" s="79"/>
      <c r="F61" s="79"/>
      <c r="G61" s="79"/>
      <c r="H61" s="79"/>
      <c r="I61" s="79"/>
      <c r="J61" s="79"/>
      <c r="K61" s="62"/>
      <c r="L61" s="79"/>
      <c r="M61" s="62"/>
      <c r="N61" s="540"/>
      <c r="O61" s="541"/>
      <c r="P61" s="62"/>
      <c r="Q61" s="62"/>
      <c r="R61" s="62"/>
      <c r="S61" s="62"/>
      <c r="T61" s="62"/>
      <c r="U61" s="62"/>
      <c r="AH61" s="407" t="str">
        <f t="shared" si="2"/>
        <v/>
      </c>
    </row>
    <row r="62" spans="1:34" hidden="1" x14ac:dyDescent="0.2">
      <c r="A62" s="79"/>
      <c r="B62" s="322" t="s">
        <v>171</v>
      </c>
      <c r="C62" s="283" t="s">
        <v>175</v>
      </c>
      <c r="D62" s="445"/>
      <c r="E62" s="79"/>
      <c r="F62" s="62"/>
      <c r="G62" s="79"/>
      <c r="H62" s="79"/>
      <c r="I62" s="79"/>
      <c r="J62" s="79"/>
      <c r="K62" s="62"/>
      <c r="L62" s="79"/>
      <c r="M62" s="62"/>
      <c r="N62" s="79"/>
      <c r="O62" s="299"/>
      <c r="P62" s="62"/>
      <c r="Q62" s="62"/>
      <c r="R62" s="62"/>
      <c r="S62" s="62"/>
      <c r="T62" s="62"/>
      <c r="U62" s="62"/>
      <c r="AH62" s="407" t="str">
        <f t="shared" si="2"/>
        <v/>
      </c>
    </row>
    <row r="63" spans="1:34" hidden="1" x14ac:dyDescent="0.2">
      <c r="A63" s="79"/>
      <c r="B63" s="322" t="s">
        <v>174</v>
      </c>
      <c r="C63" s="283" t="s">
        <v>191</v>
      </c>
      <c r="D63" s="79"/>
      <c r="E63" s="79"/>
      <c r="F63" s="62"/>
      <c r="G63" s="79"/>
      <c r="H63" s="79"/>
      <c r="I63" s="79"/>
      <c r="J63" s="79"/>
      <c r="K63" s="62"/>
      <c r="L63" s="79"/>
      <c r="M63" s="62"/>
      <c r="N63" s="79"/>
      <c r="O63" s="299"/>
      <c r="P63" s="62"/>
      <c r="Q63" s="62"/>
      <c r="R63" s="62"/>
      <c r="S63" s="62"/>
      <c r="T63" s="62"/>
      <c r="U63" s="62"/>
      <c r="AH63" s="407" t="str">
        <f t="shared" si="2"/>
        <v/>
      </c>
    </row>
    <row r="64" spans="1:34" hidden="1" x14ac:dyDescent="0.2">
      <c r="A64" s="79"/>
      <c r="B64" s="322" t="s">
        <v>177</v>
      </c>
      <c r="C64" s="283" t="s">
        <v>183</v>
      </c>
      <c r="D64" s="79"/>
      <c r="E64" s="79"/>
      <c r="F64" s="62"/>
      <c r="G64" s="79"/>
      <c r="H64" s="79"/>
      <c r="I64" s="79"/>
      <c r="J64" s="79"/>
      <c r="K64" s="62"/>
      <c r="L64" s="79"/>
      <c r="M64" s="62"/>
      <c r="N64" s="79"/>
      <c r="O64" s="299"/>
      <c r="P64" s="62"/>
      <c r="Q64" s="62"/>
      <c r="R64" s="62"/>
      <c r="S64" s="62"/>
      <c r="T64" s="62"/>
      <c r="U64" s="62"/>
      <c r="AH64" s="407" t="str">
        <f t="shared" si="2"/>
        <v/>
      </c>
    </row>
    <row r="65" spans="1:21" x14ac:dyDescent="0.2">
      <c r="A65" s="79"/>
      <c r="B65" s="79"/>
      <c r="C65" s="79"/>
      <c r="D65" s="79"/>
      <c r="E65" s="79"/>
      <c r="F65" s="79"/>
      <c r="G65" s="79"/>
      <c r="H65" s="79"/>
      <c r="I65" s="79"/>
      <c r="J65" s="79"/>
      <c r="K65" s="62"/>
      <c r="L65" s="79"/>
      <c r="M65" s="62"/>
      <c r="N65" s="79"/>
      <c r="O65" s="299"/>
      <c r="P65" s="62"/>
      <c r="Q65" s="62"/>
      <c r="R65" s="62"/>
      <c r="S65" s="62"/>
      <c r="T65" s="62"/>
      <c r="U65" s="62"/>
    </row>
    <row r="66" spans="1:21" x14ac:dyDescent="0.2">
      <c r="A66" s="79"/>
      <c r="B66" s="322" t="s">
        <v>171</v>
      </c>
      <c r="C66" s="283" t="s">
        <v>184</v>
      </c>
      <c r="D66" s="283" t="s">
        <v>183</v>
      </c>
      <c r="E66" s="79"/>
      <c r="F66" s="79"/>
      <c r="G66" s="79"/>
      <c r="H66" s="79"/>
      <c r="I66" s="79"/>
      <c r="J66" s="79"/>
      <c r="K66" s="62"/>
      <c r="L66" s="79"/>
      <c r="M66" s="62"/>
      <c r="N66" s="79"/>
      <c r="O66" s="299"/>
      <c r="P66" s="62"/>
      <c r="Q66" s="62"/>
      <c r="R66" s="62"/>
      <c r="S66" s="62"/>
      <c r="T66" s="62"/>
      <c r="U66" s="62"/>
    </row>
    <row r="67" spans="1:21" x14ac:dyDescent="0.2">
      <c r="A67" s="79"/>
      <c r="B67" s="322" t="s">
        <v>174</v>
      </c>
      <c r="C67" s="283" t="s">
        <v>175</v>
      </c>
      <c r="D67" s="283" t="s">
        <v>173</v>
      </c>
      <c r="E67" s="79"/>
      <c r="F67" s="79"/>
      <c r="G67" s="79"/>
      <c r="H67" s="79"/>
      <c r="I67" s="79"/>
      <c r="J67" s="79"/>
      <c r="K67" s="62"/>
      <c r="L67" s="79"/>
      <c r="M67" s="62"/>
      <c r="N67" s="79"/>
      <c r="O67" s="299"/>
      <c r="P67" s="62"/>
      <c r="Q67" s="62"/>
      <c r="R67" s="62"/>
      <c r="S67" s="62"/>
      <c r="T67" s="62"/>
      <c r="U67" s="62"/>
    </row>
    <row r="68" spans="1:21" x14ac:dyDescent="0.2">
      <c r="A68" s="79"/>
      <c r="B68" s="322" t="s">
        <v>177</v>
      </c>
      <c r="C68" s="283" t="s">
        <v>191</v>
      </c>
      <c r="D68" s="283" t="s">
        <v>179</v>
      </c>
      <c r="E68" s="79"/>
      <c r="F68" s="79"/>
      <c r="G68" s="79"/>
      <c r="H68" s="79"/>
      <c r="I68" s="79"/>
      <c r="J68" s="79"/>
      <c r="K68" s="62"/>
      <c r="L68" s="79"/>
      <c r="M68" s="62"/>
      <c r="N68" s="79"/>
      <c r="O68" s="299"/>
      <c r="P68" s="62"/>
      <c r="Q68" s="62"/>
      <c r="R68" s="62"/>
      <c r="S68" s="62"/>
      <c r="T68" s="62"/>
      <c r="U68" s="62"/>
    </row>
    <row r="69" spans="1:21" hidden="1" x14ac:dyDescent="0.2">
      <c r="A69" s="79"/>
      <c r="B69" s="330"/>
      <c r="C69" s="140"/>
      <c r="D69" s="140"/>
      <c r="E69" s="79"/>
      <c r="F69" s="79"/>
      <c r="G69" s="79"/>
      <c r="H69" s="79"/>
      <c r="I69" s="79"/>
      <c r="J69" s="79"/>
      <c r="K69" s="62"/>
      <c r="L69" s="79"/>
      <c r="M69" s="62"/>
      <c r="N69" s="79"/>
      <c r="O69" s="299"/>
      <c r="P69" s="62"/>
      <c r="Q69" s="62"/>
      <c r="R69" s="62"/>
      <c r="S69" s="62"/>
      <c r="T69" s="62"/>
      <c r="U69" s="62"/>
    </row>
    <row r="70" spans="1:21" hidden="1" x14ac:dyDescent="0.2">
      <c r="A70" s="79"/>
      <c r="B70" s="322" t="s">
        <v>171</v>
      </c>
      <c r="C70" s="283" t="s">
        <v>172</v>
      </c>
      <c r="D70" s="283" t="s">
        <v>173</v>
      </c>
      <c r="E70" s="79"/>
      <c r="F70" s="62"/>
      <c r="G70" s="62"/>
      <c r="H70" s="79"/>
      <c r="I70" s="79"/>
      <c r="J70" s="79"/>
      <c r="K70" s="62"/>
      <c r="L70" s="79"/>
      <c r="M70" s="62"/>
      <c r="N70" s="79"/>
      <c r="O70" s="299"/>
      <c r="P70" s="62"/>
      <c r="Q70" s="62"/>
      <c r="R70" s="62"/>
      <c r="S70" s="62"/>
      <c r="T70" s="62"/>
      <c r="U70" s="62"/>
    </row>
    <row r="71" spans="1:21" hidden="1" x14ac:dyDescent="0.2">
      <c r="A71" s="79"/>
      <c r="B71" s="322" t="s">
        <v>174</v>
      </c>
      <c r="C71" s="283" t="s">
        <v>184</v>
      </c>
      <c r="D71" s="283" t="s">
        <v>183</v>
      </c>
      <c r="E71" s="79"/>
      <c r="F71" s="62"/>
      <c r="G71" s="62"/>
      <c r="H71" s="62"/>
      <c r="I71" s="79"/>
      <c r="J71" s="79"/>
      <c r="K71" s="62"/>
      <c r="L71" s="79"/>
      <c r="M71" s="62"/>
      <c r="N71" s="79"/>
      <c r="O71" s="299"/>
      <c r="P71" s="62"/>
      <c r="Q71" s="62"/>
      <c r="R71" s="62"/>
      <c r="S71" s="62"/>
      <c r="T71" s="62"/>
      <c r="U71" s="62"/>
    </row>
    <row r="72" spans="1:21" hidden="1" x14ac:dyDescent="0.2">
      <c r="A72" s="79"/>
      <c r="B72" s="322" t="s">
        <v>177</v>
      </c>
      <c r="C72" s="283" t="s">
        <v>175</v>
      </c>
      <c r="D72" s="283" t="s">
        <v>176</v>
      </c>
      <c r="E72" s="79"/>
      <c r="F72" s="62"/>
      <c r="G72" s="62"/>
      <c r="H72" s="79"/>
      <c r="I72" s="79"/>
      <c r="J72" s="79"/>
      <c r="K72" s="62"/>
      <c r="L72" s="79"/>
      <c r="M72" s="62"/>
      <c r="N72" s="79"/>
      <c r="O72" s="299"/>
      <c r="P72" s="62"/>
      <c r="Q72" s="62"/>
      <c r="R72" s="62"/>
      <c r="S72" s="62"/>
      <c r="T72" s="62"/>
      <c r="U72" s="62"/>
    </row>
    <row r="73" spans="1:21" hidden="1" x14ac:dyDescent="0.2">
      <c r="A73" s="79"/>
      <c r="B73" s="322" t="s">
        <v>180</v>
      </c>
      <c r="C73" s="446" t="s">
        <v>191</v>
      </c>
      <c r="D73" s="283" t="s">
        <v>181</v>
      </c>
      <c r="E73" s="79"/>
      <c r="F73" s="62"/>
      <c r="G73" s="62"/>
      <c r="H73" s="79"/>
      <c r="I73" s="79"/>
      <c r="J73" s="79"/>
      <c r="K73" s="62"/>
      <c r="L73" s="79"/>
      <c r="M73" s="62"/>
      <c r="N73" s="79"/>
      <c r="O73" s="299"/>
      <c r="P73" s="62"/>
      <c r="Q73" s="62"/>
      <c r="R73" s="62"/>
      <c r="S73" s="62"/>
      <c r="T73" s="62"/>
      <c r="U73" s="62"/>
    </row>
    <row r="74" spans="1:21" hidden="1" x14ac:dyDescent="0.2">
      <c r="A74" s="79"/>
      <c r="B74" s="322" t="s">
        <v>182</v>
      </c>
      <c r="C74" s="283" t="s">
        <v>178</v>
      </c>
      <c r="D74" s="283" t="s">
        <v>179</v>
      </c>
      <c r="E74" s="79"/>
      <c r="F74" s="62"/>
      <c r="G74" s="62"/>
      <c r="H74" s="79"/>
      <c r="I74" s="79"/>
      <c r="J74" s="79"/>
      <c r="K74" s="62"/>
      <c r="L74" s="79"/>
      <c r="M74" s="62"/>
      <c r="N74" s="79"/>
      <c r="O74" s="299"/>
      <c r="P74" s="62"/>
      <c r="Q74" s="62"/>
      <c r="R74" s="62"/>
      <c r="S74" s="62"/>
      <c r="T74" s="62"/>
      <c r="U74" s="62"/>
    </row>
    <row r="75" spans="1:21" hidden="1" x14ac:dyDescent="0.2"/>
    <row r="76" spans="1:21" hidden="1" x14ac:dyDescent="0.2"/>
    <row r="77" spans="1:21" hidden="1" x14ac:dyDescent="0.2"/>
    <row r="78" spans="1:21" hidden="1" x14ac:dyDescent="0.2"/>
    <row r="79" spans="1:21" hidden="1" x14ac:dyDescent="0.2"/>
    <row r="80" spans="1:21"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spans="1:9" hidden="1" x14ac:dyDescent="0.2"/>
    <row r="98" spans="1:9" hidden="1" x14ac:dyDescent="0.2"/>
    <row r="100" spans="1:9" x14ac:dyDescent="0.2">
      <c r="A100" s="286" t="s">
        <v>192</v>
      </c>
      <c r="B100" s="287"/>
      <c r="C100" s="288"/>
      <c r="D100" s="288"/>
      <c r="E100" s="288"/>
      <c r="F100" s="285"/>
      <c r="G100" s="283"/>
      <c r="H100" s="269"/>
      <c r="I100" s="151"/>
    </row>
    <row r="101" spans="1:9" x14ac:dyDescent="0.2">
      <c r="A101" s="269"/>
      <c r="B101" s="269"/>
      <c r="C101" s="269"/>
      <c r="D101" s="269"/>
      <c r="E101" s="269"/>
      <c r="F101" s="269"/>
      <c r="G101" s="269"/>
      <c r="H101" s="269"/>
      <c r="I101" s="151"/>
    </row>
    <row r="102" spans="1:9" x14ac:dyDescent="0.2">
      <c r="A102" s="300" t="s">
        <v>193</v>
      </c>
      <c r="B102" s="289" t="str">
        <f>IFERROR(INDEX(B$1:B$100,MATCH(A102,I$1:I$100,0)),"")</f>
        <v>Aigi Orro, Kalle Orro</v>
      </c>
      <c r="C102" s="301">
        <v>11</v>
      </c>
      <c r="D102" s="269"/>
      <c r="E102" s="269"/>
      <c r="F102" s="269"/>
      <c r="G102" s="269"/>
      <c r="H102" s="269"/>
      <c r="I102" s="151"/>
    </row>
    <row r="103" spans="1:9" x14ac:dyDescent="0.2">
      <c r="A103" s="302"/>
      <c r="B103" s="449"/>
      <c r="C103" s="303" t="str">
        <f>IF(COUNT(C102,C104)=2,IF(C102&gt;C104,B102,B104),"")</f>
        <v>Aarne Välja, Janek Tarto</v>
      </c>
      <c r="D103" s="269"/>
      <c r="E103" s="301">
        <v>10</v>
      </c>
      <c r="F103" s="269"/>
      <c r="G103" s="269"/>
      <c r="H103" s="269"/>
      <c r="I103" s="269"/>
    </row>
    <row r="104" spans="1:9" x14ac:dyDescent="0.2">
      <c r="A104" s="302" t="s">
        <v>194</v>
      </c>
      <c r="B104" s="450" t="str">
        <f>IFERROR(INDEX(B$1:B$100,MATCH(A104,I$1:I$100,0)),"")</f>
        <v>Aarne Välja, Janek Tarto</v>
      </c>
      <c r="C104" s="304">
        <v>13</v>
      </c>
      <c r="D104" s="336"/>
      <c r="E104" s="269"/>
      <c r="F104" s="269"/>
      <c r="G104" s="269"/>
      <c r="H104" s="269"/>
      <c r="I104" s="269"/>
    </row>
    <row r="105" spans="1:9" x14ac:dyDescent="0.2">
      <c r="A105" s="302"/>
      <c r="B105" s="292"/>
      <c r="C105" s="269"/>
      <c r="D105" s="305"/>
      <c r="E105" s="303" t="str">
        <f>IF(COUNT(E103,E107)=2,IF(E103&gt;E107,C103,C107),"")</f>
        <v>Kaspar Mänd, Oleg Rõndenkov</v>
      </c>
      <c r="F105" s="269"/>
      <c r="G105" s="301">
        <v>10</v>
      </c>
      <c r="H105" s="269"/>
      <c r="I105" s="269"/>
    </row>
    <row r="106" spans="1:9" x14ac:dyDescent="0.2">
      <c r="A106" s="302" t="s">
        <v>195</v>
      </c>
      <c r="B106" s="289" t="str">
        <f>IFERROR(INDEX(B$1:B$100,MATCH(A106,I$1:I$100,0)),"")</f>
        <v>Kaspar Mänd, Oleg Rõndenkov</v>
      </c>
      <c r="C106" s="301">
        <v>13</v>
      </c>
      <c r="D106" s="305"/>
      <c r="E106" s="306"/>
      <c r="F106" s="336"/>
      <c r="G106" s="269"/>
      <c r="H106" s="269"/>
      <c r="I106" s="269"/>
    </row>
    <row r="107" spans="1:9" x14ac:dyDescent="0.2">
      <c r="A107" s="302"/>
      <c r="B107" s="449"/>
      <c r="C107" s="303" t="str">
        <f>IF(COUNT(C106,C108)=2,IF(C106&gt;C108,B106,B108),"")</f>
        <v>Kaspar Mänd, Oleg Rõndenkov</v>
      </c>
      <c r="D107" s="451"/>
      <c r="E107" s="304">
        <v>13</v>
      </c>
      <c r="F107" s="305"/>
      <c r="G107" s="269"/>
      <c r="H107" s="269"/>
      <c r="I107" s="269"/>
    </row>
    <row r="108" spans="1:9" x14ac:dyDescent="0.2">
      <c r="A108" s="302" t="s">
        <v>196</v>
      </c>
      <c r="B108" s="450" t="str">
        <f>IFERROR(INDEX(B$1:B$100,MATCH(A108,I$1:I$100,0)),"")</f>
        <v>Andres Veski, Meelis Luud, Svetlana Veski</v>
      </c>
      <c r="C108" s="304">
        <v>11</v>
      </c>
      <c r="D108" s="269"/>
      <c r="E108" s="287"/>
      <c r="F108" s="305"/>
      <c r="G108" s="269"/>
      <c r="H108" s="269"/>
      <c r="I108" s="269"/>
    </row>
    <row r="109" spans="1:9" ht="13.5" thickBot="1" x14ac:dyDescent="0.25">
      <c r="A109" s="268"/>
      <c r="B109" s="292"/>
      <c r="C109" s="269"/>
      <c r="D109" s="269"/>
      <c r="E109" s="287"/>
      <c r="F109" s="305"/>
      <c r="G109" s="269"/>
      <c r="H109" s="452" t="str">
        <f>IF(COUNT(G105,G113)=2,IF(G105&gt;G113,E105,E113),"")</f>
        <v>Jaan Sepp, Oskar Sepp</v>
      </c>
      <c r="I109" s="269"/>
    </row>
    <row r="110" spans="1:9" x14ac:dyDescent="0.2">
      <c r="A110" s="300" t="s">
        <v>197</v>
      </c>
      <c r="B110" s="289" t="str">
        <f>IFERROR(INDEX(B$1:B$100,MATCH(A110,I$1:I$100,0)),"")</f>
        <v>Jaan Sepp, Oskar Sepp</v>
      </c>
      <c r="C110" s="301">
        <v>13</v>
      </c>
      <c r="D110" s="269"/>
      <c r="E110" s="269"/>
      <c r="F110" s="305"/>
      <c r="G110" s="307"/>
      <c r="H110" s="290" t="s">
        <v>185</v>
      </c>
      <c r="I110" s="453"/>
    </row>
    <row r="111" spans="1:9" x14ac:dyDescent="0.2">
      <c r="A111" s="302"/>
      <c r="B111" s="449"/>
      <c r="C111" s="303" t="str">
        <f>IF(COUNT(C110,C112)=2,IF(C110&gt;C112,B110,B112),"")</f>
        <v>Jaan Sepp, Oskar Sepp</v>
      </c>
      <c r="D111" s="269"/>
      <c r="E111" s="301">
        <v>13</v>
      </c>
      <c r="F111" s="305"/>
      <c r="G111" s="287"/>
      <c r="H111" s="269"/>
      <c r="I111" s="269"/>
    </row>
    <row r="112" spans="1:9" x14ac:dyDescent="0.2">
      <c r="A112" s="302" t="s">
        <v>198</v>
      </c>
      <c r="B112" s="450" t="str">
        <f>IFERROR(INDEX(B$1:B$100,MATCH(A112,I$1:I$100,0)),"")</f>
        <v>Tõnu Kapper, Urmas Jõeäär</v>
      </c>
      <c r="C112" s="304">
        <v>6</v>
      </c>
      <c r="D112" s="336"/>
      <c r="E112" s="269"/>
      <c r="F112" s="305"/>
      <c r="G112" s="287"/>
      <c r="H112" s="269"/>
      <c r="I112" s="269"/>
    </row>
    <row r="113" spans="1:9" x14ac:dyDescent="0.2">
      <c r="A113" s="302"/>
      <c r="B113" s="292"/>
      <c r="C113" s="269"/>
      <c r="D113" s="305"/>
      <c r="E113" s="303" t="str">
        <f>IF(COUNT(E111,E115)=2,IF(E111&gt;E115,C111,C115),"")</f>
        <v>Jaan Sepp, Oskar Sepp</v>
      </c>
      <c r="F113" s="451"/>
      <c r="G113" s="304">
        <v>13</v>
      </c>
      <c r="H113" s="269"/>
      <c r="I113" s="269"/>
    </row>
    <row r="114" spans="1:9" ht="13.5" thickBot="1" x14ac:dyDescent="0.25">
      <c r="A114" s="302" t="s">
        <v>200</v>
      </c>
      <c r="B114" s="289" t="str">
        <f>IFERROR(INDEX(B$1:B$100,MATCH(A114,I$1:I$100,0)),"")</f>
        <v>Johannes Neiland, Ülo Piik</v>
      </c>
      <c r="C114" s="301">
        <v>3</v>
      </c>
      <c r="D114" s="305"/>
      <c r="E114" s="306"/>
      <c r="F114" s="287"/>
      <c r="G114" s="287"/>
      <c r="H114" s="452" t="str">
        <f>IF(COUNT(G105,G113)=2,IF(G105&lt;G113,E105,E113),"")</f>
        <v>Kaspar Mänd, Oleg Rõndenkov</v>
      </c>
      <c r="I114" s="454"/>
    </row>
    <row r="115" spans="1:9" x14ac:dyDescent="0.2">
      <c r="A115" s="302"/>
      <c r="B115" s="449"/>
      <c r="C115" s="303" t="str">
        <f>IF(COUNT(C114,C116)=2,IF(C114&gt;C116,B114,B116),"")</f>
        <v>Marta Bernat, Aleksandr Tipakov</v>
      </c>
      <c r="D115" s="451"/>
      <c r="E115" s="304">
        <v>10</v>
      </c>
      <c r="F115" s="269"/>
      <c r="G115" s="287"/>
      <c r="H115" s="290" t="s">
        <v>186</v>
      </c>
      <c r="I115" s="287"/>
    </row>
    <row r="116" spans="1:9" x14ac:dyDescent="0.2">
      <c r="A116" s="302" t="s">
        <v>199</v>
      </c>
      <c r="B116" s="450" t="str">
        <f>IFERROR(INDEX(B$1:B$100,MATCH(A116,I$1:I$100,0)),"")</f>
        <v>Marta Bernat, Aleksandr Tipakov</v>
      </c>
      <c r="C116" s="304">
        <v>13</v>
      </c>
      <c r="D116" s="269"/>
      <c r="E116" s="287"/>
      <c r="F116" s="287"/>
      <c r="G116" s="287"/>
      <c r="H116" s="269"/>
      <c r="I116" s="269"/>
    </row>
    <row r="117" spans="1:9" x14ac:dyDescent="0.2">
      <c r="A117" s="268"/>
      <c r="B117" s="292"/>
      <c r="C117" s="269"/>
      <c r="D117" s="269"/>
      <c r="E117" s="284" t="str">
        <f>IF(COUNT(E103,E107)=2,IF(E103&lt;E107,C103,C107),"")</f>
        <v>Aarne Välja, Janek Tarto</v>
      </c>
      <c r="F117" s="269"/>
      <c r="G117" s="301">
        <v>13</v>
      </c>
      <c r="H117" s="269"/>
      <c r="I117" s="269"/>
    </row>
    <row r="118" spans="1:9" ht="13.5" thickBot="1" x14ac:dyDescent="0.25">
      <c r="A118" s="269"/>
      <c r="B118" s="269"/>
      <c r="C118" s="269"/>
      <c r="D118" s="269"/>
      <c r="E118" s="455"/>
      <c r="F118" s="336"/>
      <c r="G118" s="454"/>
      <c r="H118" s="452" t="str">
        <f>IF(COUNT(G117,G119)=2,IF(G117&gt;G119,E117,E119),"")</f>
        <v>Aarne Välja, Janek Tarto</v>
      </c>
      <c r="I118" s="454"/>
    </row>
    <row r="119" spans="1:9" x14ac:dyDescent="0.2">
      <c r="A119" s="269"/>
      <c r="B119" s="269"/>
      <c r="C119" s="269"/>
      <c r="D119" s="269"/>
      <c r="E119" s="456" t="str">
        <f>IF(COUNT(E111,E115)=2,IF(E111&lt;E115,C111,C115),"")</f>
        <v>Marta Bernat, Aleksandr Tipakov</v>
      </c>
      <c r="F119" s="451"/>
      <c r="G119" s="304">
        <v>11</v>
      </c>
      <c r="H119" s="296" t="s">
        <v>187</v>
      </c>
      <c r="I119" s="287"/>
    </row>
    <row r="120" spans="1:9" x14ac:dyDescent="0.2">
      <c r="A120" s="269"/>
      <c r="B120" s="269"/>
      <c r="C120" s="269"/>
      <c r="D120" s="269"/>
      <c r="E120" s="269"/>
      <c r="F120" s="269"/>
      <c r="G120" s="269"/>
      <c r="H120" s="287"/>
      <c r="I120" s="287"/>
    </row>
    <row r="121" spans="1:9" ht="13.5" thickBot="1" x14ac:dyDescent="0.25">
      <c r="A121" s="269"/>
      <c r="B121" s="269"/>
      <c r="C121" s="269"/>
      <c r="D121" s="269"/>
      <c r="E121" s="287"/>
      <c r="F121" s="287"/>
      <c r="G121" s="269"/>
      <c r="H121" s="452" t="str">
        <f>IF(COUNT(G117,G119)=2,IF(G117&lt;G119,E117,E119),"")</f>
        <v>Marta Bernat, Aleksandr Tipakov</v>
      </c>
      <c r="I121" s="454"/>
    </row>
    <row r="122" spans="1:9" x14ac:dyDescent="0.2">
      <c r="A122" s="269"/>
      <c r="B122" s="269"/>
      <c r="C122" s="269"/>
      <c r="D122" s="269"/>
      <c r="E122" s="269"/>
      <c r="F122" s="269"/>
      <c r="G122" s="269"/>
      <c r="H122" s="268" t="s">
        <v>188</v>
      </c>
      <c r="I122" s="269"/>
    </row>
    <row r="123" spans="1:9" x14ac:dyDescent="0.2">
      <c r="A123" s="269"/>
      <c r="B123" s="269"/>
      <c r="C123" s="456" t="str">
        <f>IF(COUNT(C102,C104)=2,IF(C102&lt;C104,B102,B104),"")</f>
        <v>Aigi Orro, Kalle Orro</v>
      </c>
      <c r="D123" s="269"/>
      <c r="E123" s="301">
        <v>13</v>
      </c>
      <c r="F123" s="301"/>
      <c r="G123" s="301"/>
      <c r="H123" s="269"/>
      <c r="I123" s="269"/>
    </row>
    <row r="124" spans="1:9" x14ac:dyDescent="0.2">
      <c r="A124" s="269"/>
      <c r="B124" s="269"/>
      <c r="C124" s="457"/>
      <c r="D124" s="337"/>
      <c r="E124" s="303" t="str">
        <f>IF(COUNT(E123,E125)=2,IF(E123&gt;E125,C123,C125),"")</f>
        <v>Aigi Orro, Kalle Orro</v>
      </c>
      <c r="F124" s="269"/>
      <c r="G124" s="301">
        <v>13</v>
      </c>
      <c r="H124" s="269"/>
      <c r="I124" s="269"/>
    </row>
    <row r="125" spans="1:9" x14ac:dyDescent="0.2">
      <c r="A125" s="269"/>
      <c r="B125" s="269"/>
      <c r="C125" s="456" t="str">
        <f>IF(COUNT(C106,C108)=2,IF(C106&lt;C108,B106,B108),"")</f>
        <v>Andres Veski, Meelis Luud, Svetlana Veski</v>
      </c>
      <c r="D125" s="458"/>
      <c r="E125" s="304">
        <v>10</v>
      </c>
      <c r="F125" s="337"/>
      <c r="G125" s="301"/>
      <c r="H125" s="269"/>
      <c r="I125" s="269"/>
    </row>
    <row r="126" spans="1:9" ht="13.5" thickBot="1" x14ac:dyDescent="0.25">
      <c r="A126" s="269"/>
      <c r="B126" s="269"/>
      <c r="C126" s="301"/>
      <c r="D126" s="301"/>
      <c r="E126" s="269"/>
      <c r="F126" s="309"/>
      <c r="G126" s="301"/>
      <c r="H126" s="452" t="str">
        <f>IF(COUNT(G124,G128)=2,IF(G124&gt;G128,E124,E128),"")</f>
        <v>Aigi Orro, Kalle Orro</v>
      </c>
      <c r="I126" s="269"/>
    </row>
    <row r="127" spans="1:9" x14ac:dyDescent="0.2">
      <c r="A127" s="269"/>
      <c r="B127" s="269"/>
      <c r="C127" s="456" t="str">
        <f>IF(COUNT(C110,C112)=2,IF(C110&lt;C112,B110,B112),"")</f>
        <v>Tõnu Kapper, Urmas Jõeäär</v>
      </c>
      <c r="D127" s="301"/>
      <c r="E127" s="301">
        <v>8</v>
      </c>
      <c r="F127" s="309"/>
      <c r="G127" s="310"/>
      <c r="H127" s="290" t="s">
        <v>189</v>
      </c>
      <c r="I127" s="453"/>
    </row>
    <row r="128" spans="1:9" x14ac:dyDescent="0.2">
      <c r="A128" s="269"/>
      <c r="B128" s="269"/>
      <c r="C128" s="457"/>
      <c r="D128" s="337"/>
      <c r="E128" s="303" t="str">
        <f>IF(COUNT(E127,E129)=2,IF(E127&gt;E129,C127,C129),"")</f>
        <v>Johannes Neiland, Ülo Piik</v>
      </c>
      <c r="F128" s="451"/>
      <c r="G128" s="304">
        <v>10</v>
      </c>
      <c r="H128" s="269"/>
      <c r="I128" s="269"/>
    </row>
    <row r="129" spans="1:14" ht="13.5" thickBot="1" x14ac:dyDescent="0.25">
      <c r="A129" s="269"/>
      <c r="B129" s="269"/>
      <c r="C129" s="456" t="str">
        <f>IF(COUNT(C114,C116)=2,IF(C114&lt;C116,B114,B116),"")</f>
        <v>Johannes Neiland, Ülo Piik</v>
      </c>
      <c r="D129" s="458"/>
      <c r="E129" s="304">
        <v>13</v>
      </c>
      <c r="F129" s="301"/>
      <c r="G129" s="308"/>
      <c r="H129" s="452" t="str">
        <f>IF(COUNT(G124,G128)=2,IF(G124&lt;G128,E124,E128),"")</f>
        <v>Johannes Neiland, Ülo Piik</v>
      </c>
      <c r="I129" s="454"/>
    </row>
    <row r="130" spans="1:14" x14ac:dyDescent="0.2">
      <c r="A130" s="269"/>
      <c r="B130" s="269"/>
      <c r="C130" s="301"/>
      <c r="D130" s="301"/>
      <c r="E130" s="301"/>
      <c r="F130" s="301"/>
      <c r="G130" s="308"/>
      <c r="H130" s="290" t="s">
        <v>190</v>
      </c>
      <c r="I130" s="287"/>
    </row>
    <row r="131" spans="1:14" x14ac:dyDescent="0.2">
      <c r="A131" s="269"/>
      <c r="B131" s="269"/>
      <c r="C131" s="301"/>
      <c r="D131" s="308"/>
      <c r="E131" s="284" t="str">
        <f>IF(COUNT(E123,E125)=2,IF(E123&lt;E125,C123,C125),"")</f>
        <v>Andres Veski, Meelis Luud, Svetlana Veski</v>
      </c>
      <c r="F131" s="269"/>
      <c r="G131" s="301">
        <v>4</v>
      </c>
      <c r="H131" s="287"/>
      <c r="I131" s="287"/>
    </row>
    <row r="132" spans="1:14" ht="13.5" thickBot="1" x14ac:dyDescent="0.25">
      <c r="A132" s="269"/>
      <c r="B132" s="269"/>
      <c r="C132" s="301"/>
      <c r="D132" s="308"/>
      <c r="E132" s="455"/>
      <c r="F132" s="336"/>
      <c r="G132" s="454"/>
      <c r="H132" s="452" t="str">
        <f>IF(COUNT(G131,G133)=2,IF(G131&gt;G133,E131,E133),"")</f>
        <v>Tõnu Kapper, Urmas Jõeäär</v>
      </c>
      <c r="I132" s="454"/>
    </row>
    <row r="133" spans="1:14" x14ac:dyDescent="0.2">
      <c r="A133" s="269"/>
      <c r="B133" s="269"/>
      <c r="C133" s="301"/>
      <c r="D133" s="308"/>
      <c r="E133" s="456" t="str">
        <f>IF(COUNT(E127,E129)=2,IF(E127&lt;E129,C127,C129),"")</f>
        <v>Tõnu Kapper, Urmas Jõeäär</v>
      </c>
      <c r="F133" s="451"/>
      <c r="G133" s="304">
        <v>13</v>
      </c>
      <c r="H133" s="290" t="s">
        <v>201</v>
      </c>
      <c r="I133" s="287"/>
    </row>
    <row r="134" spans="1:14" x14ac:dyDescent="0.2">
      <c r="A134" s="269"/>
      <c r="B134" s="269"/>
      <c r="C134" s="269"/>
      <c r="D134" s="287"/>
      <c r="E134" s="269"/>
      <c r="F134" s="269"/>
      <c r="G134" s="269"/>
      <c r="H134" s="287"/>
      <c r="I134" s="287"/>
    </row>
    <row r="135" spans="1:14" ht="13.5" thickBot="1" x14ac:dyDescent="0.25">
      <c r="A135" s="269"/>
      <c r="B135" s="269"/>
      <c r="C135" s="269"/>
      <c r="D135" s="269"/>
      <c r="E135" s="287"/>
      <c r="F135" s="287"/>
      <c r="G135" s="269"/>
      <c r="H135" s="454" t="str">
        <f>IF(COUNT(G131,G133)=2,IF(G131&lt;G133,E131,E133),"")</f>
        <v>Andres Veski, Meelis Luud, Svetlana Veski</v>
      </c>
      <c r="I135" s="454"/>
    </row>
    <row r="136" spans="1:14" x14ac:dyDescent="0.2">
      <c r="A136" s="80"/>
      <c r="B136" s="140"/>
      <c r="C136" s="285"/>
      <c r="D136" s="285"/>
      <c r="E136" s="285"/>
      <c r="F136" s="285"/>
      <c r="G136" s="323"/>
      <c r="H136" s="290" t="s">
        <v>202</v>
      </c>
      <c r="I136" s="79"/>
    </row>
    <row r="138" spans="1:14" x14ac:dyDescent="0.2">
      <c r="A138" s="286" t="s">
        <v>215</v>
      </c>
      <c r="B138" s="287"/>
      <c r="C138" s="288"/>
      <c r="D138" s="288"/>
      <c r="E138" s="288"/>
      <c r="F138" s="285"/>
      <c r="G138" s="283"/>
      <c r="H138" s="269"/>
      <c r="I138" s="151"/>
    </row>
    <row r="139" spans="1:14" x14ac:dyDescent="0.2">
      <c r="A139" s="269"/>
      <c r="B139" s="269"/>
      <c r="C139" s="269"/>
      <c r="D139" s="269"/>
      <c r="E139" s="269"/>
      <c r="F139" s="269"/>
      <c r="G139" s="269"/>
      <c r="H139" s="269"/>
      <c r="I139" s="151"/>
    </row>
    <row r="140" spans="1:14" x14ac:dyDescent="0.2">
      <c r="A140" s="300" t="s">
        <v>203</v>
      </c>
      <c r="B140" s="289" t="str">
        <f>IFERROR(INDEX(B$1:B$100,MATCH(A140,I$1:I$100,0)),"")</f>
        <v>Kenneth Muusikus, Mait Metsla</v>
      </c>
      <c r="C140" s="651">
        <v>13</v>
      </c>
      <c r="D140" s="269"/>
      <c r="E140" s="269"/>
      <c r="F140" s="269"/>
      <c r="G140" s="269"/>
      <c r="H140" s="269"/>
      <c r="I140" s="151"/>
      <c r="N140" s="52"/>
    </row>
    <row r="141" spans="1:14" x14ac:dyDescent="0.2">
      <c r="A141" s="302"/>
      <c r="B141" s="449"/>
      <c r="C141" s="656" t="str">
        <f>IF(COUNT(C140,C142)=2,IF(C140&gt;C142,B140,B142),"")</f>
        <v>Kenneth Muusikus, Mait Metsla</v>
      </c>
      <c r="D141" s="269"/>
      <c r="E141" s="301">
        <v>13</v>
      </c>
      <c r="F141" s="269"/>
      <c r="G141" s="269"/>
      <c r="H141" s="269"/>
      <c r="I141" s="269"/>
    </row>
    <row r="142" spans="1:14" x14ac:dyDescent="0.2">
      <c r="A142" s="302" t="s">
        <v>266</v>
      </c>
      <c r="B142" s="450" t="str">
        <f>IFERROR(INDEX(B$1:B$100,MATCH(A142,I$1:I$100,0)),"")</f>
        <v>Illar Tõnurist, Klavdia Piik</v>
      </c>
      <c r="C142" s="652">
        <v>0</v>
      </c>
      <c r="D142" s="336"/>
      <c r="E142" s="269"/>
      <c r="F142" s="269"/>
      <c r="G142" s="269"/>
      <c r="H142" s="269"/>
      <c r="I142" s="269"/>
    </row>
    <row r="143" spans="1:14" x14ac:dyDescent="0.2">
      <c r="A143" s="302"/>
      <c r="B143" s="292"/>
      <c r="C143" s="269"/>
      <c r="D143" s="305"/>
      <c r="E143" s="303" t="str">
        <f>IF(COUNT(E141,E145)=2,IF(E141&gt;E145,C141,C145),"")</f>
        <v>Kenneth Muusikus, Mait Metsla</v>
      </c>
      <c r="F143" s="269"/>
      <c r="G143" s="301">
        <v>13</v>
      </c>
      <c r="H143" s="269"/>
      <c r="I143" s="269"/>
    </row>
    <row r="144" spans="1:14" x14ac:dyDescent="0.2">
      <c r="A144" s="302" t="s">
        <v>204</v>
      </c>
      <c r="B144" s="289" t="str">
        <f>IFERROR(INDEX(B$1:B$100,MATCH(A144,I$1:I$100,0)),"")</f>
        <v>Andrei Grintšak, Boriss Klubov</v>
      </c>
      <c r="C144" s="301">
        <v>7</v>
      </c>
      <c r="D144" s="305"/>
      <c r="E144" s="306"/>
      <c r="F144" s="336"/>
      <c r="G144" s="269"/>
      <c r="H144" s="269"/>
      <c r="I144" s="269"/>
    </row>
    <row r="145" spans="1:9" x14ac:dyDescent="0.2">
      <c r="A145" s="302"/>
      <c r="B145" s="449"/>
      <c r="C145" s="303" t="str">
        <f>IF(COUNT(C144,C146)=2,IF(C144&gt;C146,B144,B146),"")</f>
        <v>Ljudmila Varendi, Viktor Švarõgin</v>
      </c>
      <c r="D145" s="451"/>
      <c r="E145" s="304">
        <v>10</v>
      </c>
      <c r="F145" s="305"/>
      <c r="G145" s="269"/>
      <c r="H145" s="269"/>
      <c r="I145" s="269"/>
    </row>
    <row r="146" spans="1:9" x14ac:dyDescent="0.2">
      <c r="A146" s="302" t="s">
        <v>267</v>
      </c>
      <c r="B146" s="450" t="str">
        <f>IFERROR(INDEX(B$1:B$100,MATCH(A146,I$1:I$100,0)),"")</f>
        <v>Ljudmila Varendi, Viktor Švarõgin</v>
      </c>
      <c r="C146" s="304">
        <v>13</v>
      </c>
      <c r="D146" s="269"/>
      <c r="E146" s="287"/>
      <c r="F146" s="305"/>
      <c r="G146" s="269"/>
      <c r="H146" s="269"/>
      <c r="I146" s="269"/>
    </row>
    <row r="147" spans="1:9" ht="13.5" thickBot="1" x14ac:dyDescent="0.25">
      <c r="A147" s="268"/>
      <c r="B147" s="292"/>
      <c r="C147" s="269"/>
      <c r="D147" s="269"/>
      <c r="E147" s="287"/>
      <c r="F147" s="305"/>
      <c r="G147" s="269"/>
      <c r="H147" s="452" t="str">
        <f>IF(COUNT(G143,G151)=2,IF(G143&gt;G151,E143,E151),"")</f>
        <v>Kenneth Muusikus, Mait Metsla</v>
      </c>
      <c r="I147" s="269"/>
    </row>
    <row r="148" spans="1:9" x14ac:dyDescent="0.2">
      <c r="A148" s="300" t="s">
        <v>206</v>
      </c>
      <c r="B148" s="289" t="str">
        <f>IFERROR(INDEX(B$1:B$100,MATCH(A148,I$1:I$100,0)),"")</f>
        <v>Karla Purgats, Lemmit Toomra</v>
      </c>
      <c r="C148" s="651">
        <v>7</v>
      </c>
      <c r="D148" s="641"/>
      <c r="E148" s="269"/>
      <c r="F148" s="305"/>
      <c r="G148" s="307"/>
      <c r="H148" s="290" t="s">
        <v>207</v>
      </c>
      <c r="I148" s="453"/>
    </row>
    <row r="149" spans="1:9" x14ac:dyDescent="0.2">
      <c r="A149" s="302"/>
      <c r="B149" s="449"/>
      <c r="C149" s="303" t="str">
        <f>IF(COUNT(C148,C150)=2,IF(C148&gt;C150,B148,B150),"")</f>
        <v>Jaan Saar, Liidia Põllu</v>
      </c>
      <c r="D149" s="269"/>
      <c r="E149" s="301">
        <v>3</v>
      </c>
      <c r="F149" s="305"/>
      <c r="G149" s="287"/>
      <c r="H149" s="269"/>
      <c r="I149" s="269"/>
    </row>
    <row r="150" spans="1:9" x14ac:dyDescent="0.2">
      <c r="A150" s="302" t="s">
        <v>268</v>
      </c>
      <c r="B150" s="450" t="str">
        <f>IFERROR(INDEX(B$1:B$100,MATCH(A150,I$1:I$100,0)),"")</f>
        <v>Jaan Saar, Liidia Põllu</v>
      </c>
      <c r="C150" s="304">
        <v>13</v>
      </c>
      <c r="D150" s="336"/>
      <c r="E150" s="269"/>
      <c r="F150" s="305"/>
      <c r="G150" s="287"/>
      <c r="H150" s="269"/>
      <c r="I150" s="269"/>
    </row>
    <row r="151" spans="1:9" x14ac:dyDescent="0.2">
      <c r="A151" s="302"/>
      <c r="B151" s="292"/>
      <c r="C151" s="269"/>
      <c r="D151" s="305"/>
      <c r="E151" s="303" t="str">
        <f>IF(COUNT(E149,E153)=2,IF(E149&gt;E153,C149,C153),"")</f>
        <v>Elmo Lageda, Tõnu Piik</v>
      </c>
      <c r="F151" s="451"/>
      <c r="G151" s="304">
        <v>3</v>
      </c>
      <c r="H151" s="269"/>
      <c r="I151" s="269"/>
    </row>
    <row r="152" spans="1:9" ht="13.5" thickBot="1" x14ac:dyDescent="0.25">
      <c r="A152" s="302" t="s">
        <v>208</v>
      </c>
      <c r="B152" s="289" t="str">
        <f>IFERROR(INDEX(B$1:B$100,MATCH(A152,I$1:I$100,0)),"")</f>
        <v>Elmo Lageda, Tõnu Piik</v>
      </c>
      <c r="C152" s="301">
        <v>13</v>
      </c>
      <c r="D152" s="305"/>
      <c r="E152" s="306"/>
      <c r="F152" s="287"/>
      <c r="G152" s="287"/>
      <c r="H152" s="452" t="str">
        <f>IF(COUNT(G143,G151)=2,IF(G143&lt;G151,E143,E151),"")</f>
        <v>Elmo Lageda, Tõnu Piik</v>
      </c>
      <c r="I152" s="454"/>
    </row>
    <row r="153" spans="1:9" x14ac:dyDescent="0.2">
      <c r="A153" s="302"/>
      <c r="B153" s="449"/>
      <c r="C153" s="303" t="str">
        <f>IF(COUNT(C152,C154)=2,IF(C152&gt;C154,B152,B154),"")</f>
        <v>Elmo Lageda, Tõnu Piik</v>
      </c>
      <c r="D153" s="451"/>
      <c r="E153" s="304">
        <v>13</v>
      </c>
      <c r="F153" s="269"/>
      <c r="G153" s="287"/>
      <c r="H153" s="290" t="s">
        <v>209</v>
      </c>
      <c r="I153" s="287"/>
    </row>
    <row r="154" spans="1:9" x14ac:dyDescent="0.2">
      <c r="A154" s="302" t="s">
        <v>269</v>
      </c>
      <c r="B154" s="450" t="str">
        <f>IFERROR(INDEX(B$1:B$100,MATCH(A154,I$1:I$100,0)),"")</f>
        <v>Enn Tokman, Tarmo Bombe</v>
      </c>
      <c r="C154" s="304">
        <v>11</v>
      </c>
      <c r="D154" s="269"/>
      <c r="E154" s="287"/>
      <c r="F154" s="287"/>
      <c r="G154" s="287"/>
      <c r="H154" s="269"/>
      <c r="I154" s="269"/>
    </row>
    <row r="155" spans="1:9" x14ac:dyDescent="0.2">
      <c r="A155" s="268"/>
      <c r="B155" s="292"/>
      <c r="C155" s="269"/>
      <c r="D155" s="269"/>
      <c r="E155" s="284" t="str">
        <f>IF(COUNT(E141,E145)=2,IF(E141&lt;E145,C141,C145),"")</f>
        <v>Ljudmila Varendi, Viktor Švarõgin</v>
      </c>
      <c r="F155" s="269"/>
      <c r="G155" s="301">
        <v>13</v>
      </c>
      <c r="H155" s="269"/>
      <c r="I155" s="269"/>
    </row>
    <row r="156" spans="1:9" ht="13.5" thickBot="1" x14ac:dyDescent="0.25">
      <c r="A156" s="269"/>
      <c r="B156" s="269"/>
      <c r="C156" s="269"/>
      <c r="D156" s="269"/>
      <c r="E156" s="455"/>
      <c r="F156" s="336"/>
      <c r="G156" s="454"/>
      <c r="H156" s="452" t="str">
        <f>IF(COUNT(G155,G157)=2,IF(G155&gt;G157,E155,E157),"")</f>
        <v>Ljudmila Varendi, Viktor Švarõgin</v>
      </c>
      <c r="I156" s="454"/>
    </row>
    <row r="157" spans="1:9" x14ac:dyDescent="0.2">
      <c r="A157" s="269"/>
      <c r="B157" s="269"/>
      <c r="C157" s="269"/>
      <c r="D157" s="269"/>
      <c r="E157" s="456" t="str">
        <f>IF(COUNT(E149,E153)=2,IF(E149&lt;E153,C149,C153),"")</f>
        <v>Jaan Saar, Liidia Põllu</v>
      </c>
      <c r="F157" s="451"/>
      <c r="G157" s="304">
        <v>10</v>
      </c>
      <c r="H157" s="296" t="s">
        <v>210</v>
      </c>
      <c r="I157" s="287"/>
    </row>
    <row r="158" spans="1:9" x14ac:dyDescent="0.2">
      <c r="A158" s="269"/>
      <c r="B158" s="269"/>
      <c r="C158" s="269"/>
      <c r="D158" s="269"/>
      <c r="E158" s="269"/>
      <c r="F158" s="269"/>
      <c r="G158" s="269"/>
      <c r="H158" s="287"/>
      <c r="I158" s="287"/>
    </row>
    <row r="159" spans="1:9" ht="13.5" thickBot="1" x14ac:dyDescent="0.25">
      <c r="A159" s="269"/>
      <c r="B159" s="269"/>
      <c r="C159" s="269"/>
      <c r="D159" s="269"/>
      <c r="E159" s="287"/>
      <c r="F159" s="287"/>
      <c r="G159" s="269"/>
      <c r="H159" s="452" t="str">
        <f>IF(COUNT(G155,G157)=2,IF(G155&lt;G157,E155,E157),"")</f>
        <v>Jaan Saar, Liidia Põllu</v>
      </c>
      <c r="I159" s="454"/>
    </row>
    <row r="160" spans="1:9" x14ac:dyDescent="0.2">
      <c r="A160" s="269"/>
      <c r="B160" s="269"/>
      <c r="C160" s="269"/>
      <c r="D160" s="269"/>
      <c r="E160" s="269"/>
      <c r="F160" s="269"/>
      <c r="G160" s="269"/>
      <c r="H160" s="268" t="s">
        <v>211</v>
      </c>
      <c r="I160" s="269"/>
    </row>
    <row r="161" spans="1:9" x14ac:dyDescent="0.2">
      <c r="A161" s="269"/>
      <c r="B161" s="269"/>
      <c r="C161" s="456" t="str">
        <f>IF(COUNT(C140,C142)=2,IF(C140&lt;C142,B140,B142),"")</f>
        <v>Illar Tõnurist, Klavdia Piik</v>
      </c>
      <c r="D161" s="269"/>
      <c r="E161" s="301">
        <v>0</v>
      </c>
      <c r="F161" s="301"/>
      <c r="G161" s="301"/>
      <c r="H161" s="269"/>
      <c r="I161" s="269"/>
    </row>
    <row r="162" spans="1:9" x14ac:dyDescent="0.2">
      <c r="A162" s="269"/>
      <c r="B162" s="269"/>
      <c r="C162" s="457"/>
      <c r="D162" s="337"/>
      <c r="E162" s="303" t="str">
        <f>IF(COUNT(E161,E163)=2,IF(E161&gt;E163,C161,C163),"")</f>
        <v>Andrei Grintšak, Boriss Klubov</v>
      </c>
      <c r="F162" s="269"/>
      <c r="G162" s="301">
        <v>12</v>
      </c>
      <c r="H162" s="269"/>
      <c r="I162" s="269"/>
    </row>
    <row r="163" spans="1:9" x14ac:dyDescent="0.2">
      <c r="A163" s="269"/>
      <c r="B163" s="269"/>
      <c r="C163" s="456" t="str">
        <f>IF(COUNT(C144,C146)=2,IF(C144&lt;C146,B144,B146),"")</f>
        <v>Andrei Grintšak, Boriss Klubov</v>
      </c>
      <c r="D163" s="458"/>
      <c r="E163" s="304">
        <v>13</v>
      </c>
      <c r="F163" s="337"/>
      <c r="G163" s="301"/>
      <c r="H163" s="269"/>
      <c r="I163" s="269"/>
    </row>
    <row r="164" spans="1:9" ht="13.5" thickBot="1" x14ac:dyDescent="0.25">
      <c r="A164" s="269"/>
      <c r="B164" s="269"/>
      <c r="C164" s="301"/>
      <c r="D164" s="301"/>
      <c r="E164" s="269"/>
      <c r="F164" s="309"/>
      <c r="G164" s="301"/>
      <c r="H164" s="452" t="str">
        <f>IF(COUNT(G162,G166)=2,IF(G162&gt;G166,E162,E166),"")</f>
        <v>Karla Purgats, Lemmit Toomra</v>
      </c>
      <c r="I164" s="269"/>
    </row>
    <row r="165" spans="1:9" x14ac:dyDescent="0.2">
      <c r="A165" s="269"/>
      <c r="B165" s="269"/>
      <c r="C165" s="456" t="str">
        <f>IF(COUNT(C148,C150)=2,IF(C148&lt;C150,B148,B150),"")</f>
        <v>Karla Purgats, Lemmit Toomra</v>
      </c>
      <c r="D165" s="301"/>
      <c r="E165" s="651">
        <v>13</v>
      </c>
      <c r="F165" s="642"/>
      <c r="G165" s="310"/>
      <c r="H165" s="290" t="s">
        <v>212</v>
      </c>
      <c r="I165" s="453"/>
    </row>
    <row r="166" spans="1:9" x14ac:dyDescent="0.2">
      <c r="A166" s="269"/>
      <c r="B166" s="269"/>
      <c r="C166" s="457"/>
      <c r="D166" s="337"/>
      <c r="E166" s="303" t="str">
        <f>IF(COUNT(E165,E167)=2,IF(E165&gt;E167,C165,C167),"")</f>
        <v>Karla Purgats, Lemmit Toomra</v>
      </c>
      <c r="F166" s="451"/>
      <c r="G166" s="304">
        <v>13</v>
      </c>
      <c r="H166" s="269"/>
      <c r="I166" s="269"/>
    </row>
    <row r="167" spans="1:9" ht="13.5" thickBot="1" x14ac:dyDescent="0.25">
      <c r="A167" s="269"/>
      <c r="B167" s="269"/>
      <c r="C167" s="456" t="str">
        <f>IF(COUNT(C152,C154)=2,IF(C152&lt;C154,B152,B154),"")</f>
        <v>Enn Tokman, Tarmo Bombe</v>
      </c>
      <c r="D167" s="458"/>
      <c r="E167" s="304">
        <v>11</v>
      </c>
      <c r="F167" s="301"/>
      <c r="G167" s="308"/>
      <c r="H167" s="452" t="str">
        <f>IF(COUNT(G162,G166)=2,IF(G162&lt;G166,E162,E166),"")</f>
        <v>Andrei Grintšak, Boriss Klubov</v>
      </c>
      <c r="I167" s="454"/>
    </row>
    <row r="168" spans="1:9" x14ac:dyDescent="0.2">
      <c r="A168" s="269"/>
      <c r="B168" s="269"/>
      <c r="C168" s="301"/>
      <c r="D168" s="301"/>
      <c r="E168" s="301"/>
      <c r="F168" s="301"/>
      <c r="G168" s="308"/>
      <c r="H168" s="290" t="s">
        <v>213</v>
      </c>
      <c r="I168" s="287"/>
    </row>
    <row r="169" spans="1:9" x14ac:dyDescent="0.2">
      <c r="A169" s="269"/>
      <c r="B169" s="269"/>
      <c r="C169" s="301"/>
      <c r="D169" s="308"/>
      <c r="E169" s="284" t="str">
        <f>IF(COUNT(E161,E163)=2,IF(E161&lt;E163,C161,C163),"")</f>
        <v>Illar Tõnurist, Klavdia Piik</v>
      </c>
      <c r="F169" s="269"/>
      <c r="G169" s="301">
        <v>0</v>
      </c>
      <c r="H169" s="287"/>
      <c r="I169" s="287"/>
    </row>
    <row r="170" spans="1:9" ht="13.5" thickBot="1" x14ac:dyDescent="0.25">
      <c r="A170" s="269"/>
      <c r="B170" s="269"/>
      <c r="C170" s="301"/>
      <c r="D170" s="308"/>
      <c r="E170" s="455"/>
      <c r="F170" s="336"/>
      <c r="G170" s="454"/>
      <c r="H170" s="452" t="str">
        <f>IF(COUNT(G169,G171)=2,IF(G169&gt;G171,E169,E171),"")</f>
        <v>Enn Tokman, Tarmo Bombe</v>
      </c>
      <c r="I170" s="454"/>
    </row>
    <row r="171" spans="1:9" x14ac:dyDescent="0.2">
      <c r="A171" s="269"/>
      <c r="B171" s="269"/>
      <c r="C171" s="301"/>
      <c r="D171" s="308"/>
      <c r="E171" s="456" t="str">
        <f>IF(COUNT(E165,E167)=2,IF(E165&lt;E167,C165,C167),"")</f>
        <v>Enn Tokman, Tarmo Bombe</v>
      </c>
      <c r="F171" s="451"/>
      <c r="G171" s="652">
        <v>13</v>
      </c>
      <c r="H171" s="290" t="s">
        <v>216</v>
      </c>
      <c r="I171" s="287"/>
    </row>
    <row r="172" spans="1:9" x14ac:dyDescent="0.2">
      <c r="A172" s="269"/>
      <c r="B172" s="269"/>
      <c r="C172" s="269"/>
      <c r="D172" s="287"/>
      <c r="E172" s="269"/>
      <c r="F172" s="269"/>
      <c r="G172" s="269"/>
      <c r="H172" s="287"/>
      <c r="I172" s="287"/>
    </row>
    <row r="173" spans="1:9" ht="13.5" thickBot="1" x14ac:dyDescent="0.25">
      <c r="A173" s="269"/>
      <c r="B173" s="269"/>
      <c r="C173" s="269"/>
      <c r="D173" s="269"/>
      <c r="E173" s="287"/>
      <c r="F173" s="287"/>
      <c r="G173" s="269"/>
      <c r="H173" s="454" t="str">
        <f>IF(COUNT(G169,G171)=2,IF(G169&lt;G171,E169,E171),"")</f>
        <v>Illar Tõnurist, Klavdia Piik</v>
      </c>
      <c r="I173" s="454"/>
    </row>
    <row r="174" spans="1:9" x14ac:dyDescent="0.2">
      <c r="A174" s="80"/>
      <c r="B174" s="140"/>
      <c r="C174" s="285"/>
      <c r="D174" s="285"/>
      <c r="E174" s="285"/>
      <c r="F174" s="285"/>
      <c r="G174" s="323"/>
      <c r="H174" s="290" t="s">
        <v>217</v>
      </c>
      <c r="I174" s="79"/>
    </row>
    <row r="175" spans="1:9" hidden="1" x14ac:dyDescent="0.2">
      <c r="A175" s="151"/>
    </row>
    <row r="176" spans="1:9" hidden="1" x14ac:dyDescent="0.2">
      <c r="A176" s="52"/>
    </row>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3" hidden="1" x14ac:dyDescent="0.2"/>
    <row r="290" spans="1:3" hidden="1" x14ac:dyDescent="0.2"/>
    <row r="291" spans="1:3" hidden="1" x14ac:dyDescent="0.2"/>
    <row r="292" spans="1:3" hidden="1" x14ac:dyDescent="0.2"/>
    <row r="293" spans="1:3" hidden="1" x14ac:dyDescent="0.2"/>
    <row r="294" spans="1:3" hidden="1" x14ac:dyDescent="0.2"/>
    <row r="295" spans="1:3" hidden="1" x14ac:dyDescent="0.2"/>
    <row r="296" spans="1:3" hidden="1" x14ac:dyDescent="0.2"/>
    <row r="297" spans="1:3" hidden="1" x14ac:dyDescent="0.2"/>
    <row r="299" spans="1:3" x14ac:dyDescent="0.2">
      <c r="A299" s="271"/>
      <c r="B299" s="271"/>
      <c r="C299" s="401" t="s">
        <v>248</v>
      </c>
    </row>
    <row r="300" spans="1:3" x14ac:dyDescent="0.2">
      <c r="A300" s="530">
        <v>1</v>
      </c>
      <c r="B300" s="529" t="str">
        <f t="shared" ref="B300:B315" si="9">IFERROR(INDEX(H$100:H$300,MATCH(A300&amp;". koht",H$101:H$301,0)),"")</f>
        <v>Jaan Sepp, Oskar Sepp</v>
      </c>
      <c r="C300" s="499">
        <f t="shared" ref="C300:C315" si="10">IF(21-A300&gt;0,21-A300,1)</f>
        <v>20</v>
      </c>
    </row>
    <row r="301" spans="1:3" x14ac:dyDescent="0.2">
      <c r="A301" s="530">
        <v>2</v>
      </c>
      <c r="B301" s="529" t="str">
        <f t="shared" si="9"/>
        <v>Kaspar Mänd, Oleg Rõndenkov</v>
      </c>
      <c r="C301" s="499">
        <f t="shared" si="10"/>
        <v>19</v>
      </c>
    </row>
    <row r="302" spans="1:3" x14ac:dyDescent="0.2">
      <c r="A302" s="530">
        <v>3</v>
      </c>
      <c r="B302" s="529" t="str">
        <f t="shared" si="9"/>
        <v>Aarne Välja, Janek Tarto</v>
      </c>
      <c r="C302" s="499">
        <f t="shared" si="10"/>
        <v>18</v>
      </c>
    </row>
    <row r="303" spans="1:3" x14ac:dyDescent="0.2">
      <c r="A303" s="530">
        <v>4</v>
      </c>
      <c r="B303" s="529" t="str">
        <f t="shared" si="9"/>
        <v>Marta Bernat, Aleksandr Tipakov</v>
      </c>
      <c r="C303" s="499">
        <f t="shared" si="10"/>
        <v>17</v>
      </c>
    </row>
    <row r="304" spans="1:3" x14ac:dyDescent="0.2">
      <c r="A304" s="530">
        <v>5</v>
      </c>
      <c r="B304" s="529" t="str">
        <f t="shared" si="9"/>
        <v>Aigi Orro, Kalle Orro</v>
      </c>
      <c r="C304" s="499">
        <f t="shared" si="10"/>
        <v>16</v>
      </c>
    </row>
    <row r="305" spans="1:3" x14ac:dyDescent="0.2">
      <c r="A305" s="530">
        <v>6</v>
      </c>
      <c r="B305" s="529" t="str">
        <f t="shared" si="9"/>
        <v>Johannes Neiland, Ülo Piik</v>
      </c>
      <c r="C305" s="499">
        <f t="shared" si="10"/>
        <v>15</v>
      </c>
    </row>
    <row r="306" spans="1:3" x14ac:dyDescent="0.2">
      <c r="A306" s="530">
        <v>7</v>
      </c>
      <c r="B306" s="529" t="str">
        <f t="shared" si="9"/>
        <v>Tõnu Kapper, Urmas Jõeäär</v>
      </c>
      <c r="C306" s="499">
        <f t="shared" si="10"/>
        <v>14</v>
      </c>
    </row>
    <row r="307" spans="1:3" x14ac:dyDescent="0.2">
      <c r="A307" s="530">
        <v>8</v>
      </c>
      <c r="B307" s="529" t="str">
        <f t="shared" si="9"/>
        <v>Andres Veski, Meelis Luud, Svetlana Veski</v>
      </c>
      <c r="C307" s="499">
        <f t="shared" si="10"/>
        <v>13</v>
      </c>
    </row>
    <row r="308" spans="1:3" x14ac:dyDescent="0.2">
      <c r="A308" s="530">
        <v>9</v>
      </c>
      <c r="B308" s="529" t="str">
        <f t="shared" si="9"/>
        <v>Kenneth Muusikus, Mait Metsla</v>
      </c>
      <c r="C308" s="499">
        <f t="shared" si="10"/>
        <v>12</v>
      </c>
    </row>
    <row r="309" spans="1:3" x14ac:dyDescent="0.2">
      <c r="A309" s="530">
        <v>10</v>
      </c>
      <c r="B309" s="529" t="str">
        <f t="shared" si="9"/>
        <v>Elmo Lageda, Tõnu Piik</v>
      </c>
      <c r="C309" s="499">
        <f t="shared" si="10"/>
        <v>11</v>
      </c>
    </row>
    <row r="310" spans="1:3" x14ac:dyDescent="0.2">
      <c r="A310" s="530">
        <v>11</v>
      </c>
      <c r="B310" s="529" t="str">
        <f t="shared" si="9"/>
        <v>Ljudmila Varendi, Viktor Švarõgin</v>
      </c>
      <c r="C310" s="499">
        <f t="shared" si="10"/>
        <v>10</v>
      </c>
    </row>
    <row r="311" spans="1:3" x14ac:dyDescent="0.2">
      <c r="A311" s="530">
        <v>12</v>
      </c>
      <c r="B311" s="529" t="str">
        <f t="shared" si="9"/>
        <v>Jaan Saar, Liidia Põllu</v>
      </c>
      <c r="C311" s="499">
        <f t="shared" si="10"/>
        <v>9</v>
      </c>
    </row>
    <row r="312" spans="1:3" x14ac:dyDescent="0.2">
      <c r="A312" s="530">
        <v>13</v>
      </c>
      <c r="B312" s="529" t="str">
        <f t="shared" si="9"/>
        <v>Karla Purgats, Lemmit Toomra</v>
      </c>
      <c r="C312" s="499">
        <f t="shared" si="10"/>
        <v>8</v>
      </c>
    </row>
    <row r="313" spans="1:3" x14ac:dyDescent="0.2">
      <c r="A313" s="530">
        <v>14</v>
      </c>
      <c r="B313" s="529" t="str">
        <f t="shared" si="9"/>
        <v>Andrei Grintšak, Boriss Klubov</v>
      </c>
      <c r="C313" s="499">
        <f t="shared" si="10"/>
        <v>7</v>
      </c>
    </row>
    <row r="314" spans="1:3" x14ac:dyDescent="0.2">
      <c r="A314" s="530">
        <v>15</v>
      </c>
      <c r="B314" s="529" t="str">
        <f t="shared" si="9"/>
        <v>Enn Tokman, Tarmo Bombe</v>
      </c>
      <c r="C314" s="499">
        <f t="shared" si="10"/>
        <v>6</v>
      </c>
    </row>
    <row r="315" spans="1:3" x14ac:dyDescent="0.2">
      <c r="A315" s="530">
        <v>16</v>
      </c>
      <c r="B315" s="529" t="str">
        <f t="shared" si="9"/>
        <v>Illar Tõnurist, Klavdia Piik</v>
      </c>
      <c r="C315" s="499">
        <f t="shared" si="10"/>
        <v>5</v>
      </c>
    </row>
  </sheetData>
  <conditionalFormatting sqref="D7 C8">
    <cfRule type="aboveAverage" dxfId="3576" priority="419"/>
  </conditionalFormatting>
  <conditionalFormatting sqref="E7 C9">
    <cfRule type="aboveAverage" dxfId="3575" priority="418"/>
  </conditionalFormatting>
  <conditionalFormatting sqref="F7 C10">
    <cfRule type="aboveAverage" dxfId="3574" priority="417"/>
  </conditionalFormatting>
  <conditionalFormatting sqref="E8 D9">
    <cfRule type="aboveAverage" dxfId="3573" priority="416"/>
  </conditionalFormatting>
  <conditionalFormatting sqref="G7 C11">
    <cfRule type="aboveAverage" dxfId="3572" priority="415"/>
  </conditionalFormatting>
  <conditionalFormatting sqref="F8 D10">
    <cfRule type="aboveAverage" dxfId="3571" priority="414"/>
  </conditionalFormatting>
  <conditionalFormatting sqref="G8 D11">
    <cfRule type="aboveAverage" dxfId="3570" priority="413"/>
  </conditionalFormatting>
  <conditionalFormatting sqref="F9 E10">
    <cfRule type="aboveAverage" dxfId="3569" priority="412"/>
  </conditionalFormatting>
  <conditionalFormatting sqref="G9 E11">
    <cfRule type="aboveAverage" dxfId="3568" priority="411"/>
  </conditionalFormatting>
  <conditionalFormatting sqref="F11 G10">
    <cfRule type="aboveAverage" dxfId="3567" priority="410"/>
  </conditionalFormatting>
  <conditionalFormatting sqref="D14 C15">
    <cfRule type="aboveAverage" dxfId="3566" priority="409"/>
  </conditionalFormatting>
  <conditionalFormatting sqref="E14 C16">
    <cfRule type="aboveAverage" dxfId="3565" priority="408"/>
  </conditionalFormatting>
  <conditionalFormatting sqref="F14 C17">
    <cfRule type="aboveAverage" dxfId="3564" priority="407"/>
  </conditionalFormatting>
  <conditionalFormatting sqref="E15 D16">
    <cfRule type="aboveAverage" dxfId="3563" priority="406"/>
  </conditionalFormatting>
  <conditionalFormatting sqref="G14 C18">
    <cfRule type="aboveAverage" dxfId="3562" priority="405"/>
  </conditionalFormatting>
  <conditionalFormatting sqref="F15 D17">
    <cfRule type="aboveAverage" dxfId="3561" priority="404"/>
  </conditionalFormatting>
  <conditionalFormatting sqref="G15 D18">
    <cfRule type="aboveAverage" dxfId="3560" priority="403"/>
  </conditionalFormatting>
  <conditionalFormatting sqref="F16 E17">
    <cfRule type="aboveAverage" dxfId="3559" priority="402"/>
  </conditionalFormatting>
  <conditionalFormatting sqref="G16 E18">
    <cfRule type="aboveAverage" dxfId="3558" priority="401"/>
  </conditionalFormatting>
  <conditionalFormatting sqref="F18 G17">
    <cfRule type="aboveAverage" dxfId="3557" priority="400"/>
  </conditionalFormatting>
  <conditionalFormatting sqref="D21 C22">
    <cfRule type="aboveAverage" dxfId="3556" priority="399"/>
  </conditionalFormatting>
  <conditionalFormatting sqref="E21 C23">
    <cfRule type="aboveAverage" dxfId="3555" priority="398"/>
  </conditionalFormatting>
  <conditionalFormatting sqref="F21 C24">
    <cfRule type="aboveAverage" dxfId="3554" priority="397"/>
  </conditionalFormatting>
  <conditionalFormatting sqref="E22 D23">
    <cfRule type="aboveAverage" dxfId="3553" priority="396"/>
  </conditionalFormatting>
  <conditionalFormatting sqref="G21 C25">
    <cfRule type="aboveAverage" dxfId="3552" priority="395"/>
  </conditionalFormatting>
  <conditionalFormatting sqref="F22 D24">
    <cfRule type="aboveAverage" dxfId="3551" priority="394"/>
  </conditionalFormatting>
  <conditionalFormatting sqref="G22 D25">
    <cfRule type="aboveAverage" dxfId="3550" priority="393"/>
  </conditionalFormatting>
  <conditionalFormatting sqref="F23 E24">
    <cfRule type="aboveAverage" dxfId="3549" priority="392"/>
  </conditionalFormatting>
  <conditionalFormatting sqref="G23 E25">
    <cfRule type="aboveAverage" dxfId="3548" priority="391"/>
  </conditionalFormatting>
  <conditionalFormatting sqref="F25 G24">
    <cfRule type="aboveAverage" dxfId="3547" priority="390"/>
  </conditionalFormatting>
  <conditionalFormatting sqref="D28 C29">
    <cfRule type="aboveAverage" dxfId="3546" priority="389"/>
  </conditionalFormatting>
  <conditionalFormatting sqref="E28 C30">
    <cfRule type="aboveAverage" dxfId="3545" priority="388"/>
  </conditionalFormatting>
  <conditionalFormatting sqref="F28 C31">
    <cfRule type="aboveAverage" dxfId="3544" priority="387"/>
  </conditionalFormatting>
  <conditionalFormatting sqref="E29 D30">
    <cfRule type="aboveAverage" dxfId="3543" priority="386"/>
  </conditionalFormatting>
  <conditionalFormatting sqref="G28 C32">
    <cfRule type="aboveAverage" dxfId="3542" priority="385"/>
  </conditionalFormatting>
  <conditionalFormatting sqref="F29 D31">
    <cfRule type="aboveAverage" dxfId="3541" priority="384"/>
  </conditionalFormatting>
  <conditionalFormatting sqref="G29 D32">
    <cfRule type="aboveAverage" dxfId="3540" priority="383"/>
  </conditionalFormatting>
  <conditionalFormatting sqref="F30 E31">
    <cfRule type="aboveAverage" dxfId="3539" priority="382"/>
  </conditionalFormatting>
  <conditionalFormatting sqref="G30 E32">
    <cfRule type="aboveAverage" dxfId="3538" priority="381"/>
  </conditionalFormatting>
  <conditionalFormatting sqref="F32 G31">
    <cfRule type="aboveAverage" dxfId="3537" priority="380"/>
  </conditionalFormatting>
  <conditionalFormatting sqref="H14:H18">
    <cfRule type="expression" dxfId="3536" priority="270">
      <formula>AND(Q14=4,IF(COUNTIF(Q$14:Q$18,"=4")&gt;=2,TRUE))</formula>
    </cfRule>
    <cfRule type="expression" dxfId="3535" priority="420">
      <formula>AND(Q14=3,IF(COUNTIF(Q$14:Q$18,"=3")&gt;=2,TRUE))</formula>
    </cfRule>
    <cfRule type="expression" dxfId="3534" priority="421">
      <formula>AND(Q14=2,IF(COUNTIF(Q$14:Q$18,"=2")&gt;=2,TRUE))</formula>
    </cfRule>
    <cfRule type="expression" dxfId="3533" priority="422">
      <formula>AND(Q14=1,IF(COUNTIF(Q$14:Q$18,"=1")&gt;=2,TRUE))</formula>
    </cfRule>
  </conditionalFormatting>
  <conditionalFormatting sqref="B7:B33">
    <cfRule type="duplicateValues" dxfId="3532" priority="325"/>
  </conditionalFormatting>
  <conditionalFormatting sqref="L7:L11">
    <cfRule type="expression" dxfId="3531" priority="308">
      <formula>K7=0</formula>
    </cfRule>
    <cfRule type="expression" dxfId="3530" priority="317">
      <formula>IF(COUNTIF(J$7:J$11,"=2")=2,TRUE)</formula>
    </cfRule>
    <cfRule type="expression" dxfId="3529" priority="318">
      <formula>IF(COUNTIF(J$7:J$11,"=1")=2,TRUE)</formula>
    </cfRule>
    <cfRule type="expression" dxfId="3528" priority="319">
      <formula>AND(IF(COUNTIF(Q$7:Q$11,"=1")=2,TRUE),IF(COUNTIF(Q$7:Q$11,"=2")=2,TRUE))</formula>
    </cfRule>
    <cfRule type="expression" dxfId="3527" priority="320">
      <formula>AND(Q7=4,IF(COUNTIF(Q$7:Q$11,"=4")=1,TRUE))</formula>
    </cfRule>
    <cfRule type="expression" dxfId="3526" priority="321">
      <formula>AND(Q7=3,IF(COUNTIF(Q$7:Q$11,"=3")=1,TRUE))</formula>
    </cfRule>
    <cfRule type="expression" dxfId="3525" priority="322">
      <formula>AND(Q7=2,IF(COUNTIF(Q$7:Q$11,"=2")=1,TRUE))</formula>
    </cfRule>
    <cfRule type="expression" dxfId="3524" priority="323">
      <formula>AND(Q7=1,IF(COUNTIF(Q$7:Q$11,"=1")=1,TRUE))</formula>
    </cfRule>
    <cfRule type="expression" dxfId="3523" priority="324">
      <formula>OR(Q7=0,Q7=5)</formula>
    </cfRule>
  </conditionalFormatting>
  <conditionalFormatting sqref="O7:O11">
    <cfRule type="expression" dxfId="3522" priority="316">
      <formula>OR(AND(J7=1,K7=1,L7=0,M7=1),AND(J7=2,K7=2,L7=0,M7=2))</formula>
    </cfRule>
  </conditionalFormatting>
  <conditionalFormatting sqref="M7:M11">
    <cfRule type="expression" dxfId="3521" priority="309">
      <formula>AND(L7&gt;0,IF(COUNTIF(L$7:L$11,L7)&gt;1,TRUE,FALSE))</formula>
    </cfRule>
    <cfRule type="expression" dxfId="3520" priority="310">
      <formula>AND(IF(COUNTIF(R$7:R$11,"=1")=2,TRUE),IF(COUNTIF(R$7:R$11,"=2")=2,TRUE))</formula>
    </cfRule>
    <cfRule type="expression" dxfId="3519" priority="311">
      <formula>AND(R7=4,IF(COUNTIF(R$7:R$11,"=4")=1,TRUE))</formula>
    </cfRule>
    <cfRule type="expression" dxfId="3518" priority="312">
      <formula>AND(R7=3,IF(COUNTIF(R$7:R$11,"=3")=1,TRUE))</formula>
    </cfRule>
    <cfRule type="expression" dxfId="3517" priority="313">
      <formula>AND(R7=2,IF(COUNTIF(R$7:R$11,"=2")=1,TRUE))</formula>
    </cfRule>
    <cfRule type="expression" dxfId="3516" priority="314">
      <formula>AND(R7=1,IF(COUNTIF(R$7:R$11,"=1")=1,TRUE))</formula>
    </cfRule>
    <cfRule type="expression" dxfId="3515" priority="315">
      <formula>OR(R7=0,R7=5)</formula>
    </cfRule>
  </conditionalFormatting>
  <conditionalFormatting sqref="J7:J11">
    <cfRule type="expression" dxfId="3514" priority="304">
      <formula>AND(Q7=4,IF(COUNTIF(Q$7:Q$11,"=4")&gt;=2,TRUE))</formula>
    </cfRule>
    <cfRule type="expression" dxfId="3513" priority="305">
      <formula>AND(Q7=3,IF(COUNTIF(Q$7:Q$11,"=3")&gt;=2,TRUE))</formula>
    </cfRule>
    <cfRule type="expression" dxfId="3512" priority="306">
      <formula>AND(Q7=2,IF(COUNTIF(Q$7:Q$11,"=2")&gt;=2,TRUE))</formula>
    </cfRule>
    <cfRule type="expression" dxfId="3511" priority="307">
      <formula>AND(Q7=1,IF(COUNTIF(Q$7:Q$11,"=1")&gt;=2,TRUE))</formula>
    </cfRule>
  </conditionalFormatting>
  <conditionalFormatting sqref="H7:H11">
    <cfRule type="expression" dxfId="3510" priority="271">
      <formula>AND(Q7=4,IF(COUNTIF(Q$7:Q$11,"=4")&gt;=2,TRUE))</formula>
    </cfRule>
    <cfRule type="expression" dxfId="3509" priority="423">
      <formula>AND(Q7=3,IF(COUNTIF(Q$7:Q$11,"=3")&gt;=2,TRUE))</formula>
    </cfRule>
    <cfRule type="expression" dxfId="3508" priority="424">
      <formula>AND(Q7=2,IF(COUNTIF(Q$7:Q$11,"=2")&gt;=2,TRUE))</formula>
    </cfRule>
    <cfRule type="expression" dxfId="3507" priority="425">
      <formula>AND(Q7=1,IF(COUNTIF(Q$7:Q$11,"=1")&gt;=2,TRUE))</formula>
    </cfRule>
  </conditionalFormatting>
  <conditionalFormatting sqref="K7:K11">
    <cfRule type="expression" dxfId="3506" priority="426">
      <formula>AND(J7&gt;0,IF(COUNTIF(J$7:J$11,"=1")=2,TRUE),IF(COUNTIF(J$7:J$11,"=2")=2,TRUE))</formula>
    </cfRule>
    <cfRule type="expression" dxfId="3505" priority="427">
      <formula>IF(COUNTIF(L$7:L$11,"=2")=2,TRUE)</formula>
    </cfRule>
    <cfRule type="expression" dxfId="3504" priority="428">
      <formula>IF(COUNTIF(L$7:L$11,"=1")=2,TRUE)</formula>
    </cfRule>
    <cfRule type="expression" dxfId="3503" priority="429">
      <formula>AND(IF(COUNTIF(R$7:R$11,"=1")=2,TRUE),IF(COUNTIF(S$7:S$11,"=2")=2,TRUE))</formula>
    </cfRule>
    <cfRule type="expression" dxfId="3502" priority="430">
      <formula>AND(R7=4,IF(COUNTIF(R$7:R$11,"=4")=1,TRUE))</formula>
    </cfRule>
    <cfRule type="expression" dxfId="3501" priority="431">
      <formula>AND(R7=3,IF(COUNTIF(R$7:R$11,"=3")=1,TRUE))</formula>
    </cfRule>
    <cfRule type="expression" dxfId="3500" priority="432">
      <formula>AND(R7=2,IF(COUNTIF(R$7:R$11,"=2")=1,TRUE))</formula>
    </cfRule>
    <cfRule type="expression" dxfId="3499" priority="433">
      <formula>AND(R7=1,IF(COUNTIF(R$7:R$11,"=1")=1,TRUE))</formula>
    </cfRule>
    <cfRule type="expression" dxfId="3498" priority="434">
      <formula>OR(R7=0,R7=5)</formula>
    </cfRule>
  </conditionalFormatting>
  <conditionalFormatting sqref="L14:L18">
    <cfRule type="expression" dxfId="3497" priority="276">
      <formula>K14=0</formula>
    </cfRule>
    <cfRule type="expression" dxfId="3496" priority="285">
      <formula>IF(COUNTIF(J$14:J$18,"=2")=2,TRUE)</formula>
    </cfRule>
    <cfRule type="expression" dxfId="3495" priority="286">
      <formula>IF(COUNTIF(J$14:J$18,"=1")=2,TRUE)</formula>
    </cfRule>
    <cfRule type="expression" dxfId="3494" priority="287">
      <formula>AND(IF(COUNTIF(Q$14:Q$18,"=1")=2,TRUE),IF(COUNTIF(Q$14:Q$18,"=2")=2,TRUE))</formula>
    </cfRule>
    <cfRule type="expression" dxfId="3493" priority="288">
      <formula>AND(Q14=4,IF(COUNTIF(Q$14:Q$18,"=4")=1,TRUE))</formula>
    </cfRule>
    <cfRule type="expression" dxfId="3492" priority="289">
      <formula>AND(Q14=3,IF(COUNTIF(Q$14:Q$18,"=3")=1,TRUE))</formula>
    </cfRule>
    <cfRule type="expression" dxfId="3491" priority="290">
      <formula>AND(Q14=2,IF(COUNTIF(Q$14:Q$18,"=2")=1,TRUE))</formula>
    </cfRule>
    <cfRule type="expression" dxfId="3490" priority="291">
      <formula>AND(Q14=1,IF(COUNTIF(Q$14:Q$18,"=1")=1,TRUE))</formula>
    </cfRule>
    <cfRule type="expression" dxfId="3489" priority="292">
      <formula>OR(Q14=0,Q14=5)</formula>
    </cfRule>
  </conditionalFormatting>
  <conditionalFormatting sqref="O14:O18">
    <cfRule type="expression" dxfId="3488" priority="284">
      <formula>OR(AND(J14=1,K14=1,L14=0,M14=1),AND(J14=2,K14=2,L14=0,M14=2))</formula>
    </cfRule>
  </conditionalFormatting>
  <conditionalFormatting sqref="M14:M18">
    <cfRule type="expression" dxfId="3487" priority="277">
      <formula>AND(L14&gt;0,IF(COUNTIF(L$14:L$18,L14)&gt;1,TRUE,FALSE))</formula>
    </cfRule>
    <cfRule type="expression" dxfId="3486" priority="278">
      <formula>AND(IF(COUNTIF(R$14:R$18,"=1")=2,TRUE),IF(COUNTIF(R$14:R$18,"=2")=2,TRUE))</formula>
    </cfRule>
    <cfRule type="expression" dxfId="3485" priority="279">
      <formula>AND(R14=4,IF(COUNTIF(R$14:R$18,"=4")=1,TRUE))</formula>
    </cfRule>
    <cfRule type="expression" dxfId="3484" priority="280">
      <formula>AND(R14=3,IF(COUNTIF(R$14:R$18,"=3")=1,TRUE))</formula>
    </cfRule>
    <cfRule type="expression" dxfId="3483" priority="281">
      <formula>AND(R14=2,IF(COUNTIF(R$14:R$18,"=2")=1,TRUE))</formula>
    </cfRule>
    <cfRule type="expression" dxfId="3482" priority="282">
      <formula>AND(R14=1,IF(COUNTIF(R$14:R$18,"=1")=1,TRUE))</formula>
    </cfRule>
    <cfRule type="expression" dxfId="3481" priority="283">
      <formula>OR(R14=0,R14=5)</formula>
    </cfRule>
  </conditionalFormatting>
  <conditionalFormatting sqref="J14:J18">
    <cfRule type="expression" dxfId="3480" priority="272">
      <formula>AND(Q14=4,IF(COUNTIF(Q$14:Q$18,"=4")&gt;=2,TRUE))</formula>
    </cfRule>
    <cfRule type="expression" dxfId="3479" priority="273">
      <formula>AND(Q14=3,IF(COUNTIF(Q$14:Q$18,"=3")&gt;=2,TRUE))</formula>
    </cfRule>
    <cfRule type="expression" dxfId="3478" priority="274">
      <formula>AND(Q14=2,IF(COUNTIF(Q$14:Q$18,"=2")&gt;=2,TRUE))</formula>
    </cfRule>
    <cfRule type="expression" dxfId="3477" priority="275">
      <formula>AND(Q14=1,IF(COUNTIF(Q$14:Q$18,"=1")&gt;=2,TRUE))</formula>
    </cfRule>
  </conditionalFormatting>
  <conditionalFormatting sqref="K14:K18">
    <cfRule type="expression" dxfId="3476" priority="295">
      <formula>AND(J14&gt;0,IF(COUNTIF(J$14:J$18,"=1")=2,TRUE),IF(COUNTIF(J$14:J$18,"=2")=2,TRUE))</formula>
    </cfRule>
    <cfRule type="expression" dxfId="3475" priority="296">
      <formula>IF(COUNTIF(L$14:L$18,"=2")=2,TRUE)</formula>
    </cfRule>
    <cfRule type="expression" dxfId="3474" priority="297">
      <formula>IF(COUNTIF(L$14:L$18,"=1")=2,TRUE)</formula>
    </cfRule>
    <cfRule type="expression" dxfId="3473" priority="298">
      <formula>AND(IF(COUNTIF(R$14:R$18,"=1")=2,TRUE),IF(COUNTIF(S$14:S$18,"=2")=2,TRUE))</formula>
    </cfRule>
    <cfRule type="expression" dxfId="3472" priority="299">
      <formula>AND(R14=4,IF(COUNTIF(R$14:R$18,"=4")=1,TRUE))</formula>
    </cfRule>
    <cfRule type="expression" dxfId="3471" priority="300">
      <formula>AND(R14=3,IF(COUNTIF(R$14:R$18,"=3")=1,TRUE))</formula>
    </cfRule>
    <cfRule type="expression" dxfId="3470" priority="301">
      <formula>AND(R14=2,IF(COUNTIF(R$14:R$18,"=2")=1,TRUE))</formula>
    </cfRule>
    <cfRule type="expression" dxfId="3469" priority="302">
      <formula>AND(R14=1,IF(COUNTIF(R$14:R$18,"=1")=1,TRUE))</formula>
    </cfRule>
    <cfRule type="expression" dxfId="3468" priority="303">
      <formula>OR(R14=0,R14=5)</formula>
    </cfRule>
  </conditionalFormatting>
  <conditionalFormatting sqref="L21:L25">
    <cfRule type="expression" dxfId="3467" priority="244">
      <formula>K21=0</formula>
    </cfRule>
    <cfRule type="expression" dxfId="3466" priority="253">
      <formula>IF(COUNTIF(J$21:J$25,"=2")=2,TRUE)</formula>
    </cfRule>
    <cfRule type="expression" dxfId="3465" priority="254">
      <formula>IF(COUNTIF(J$21:J$25,"=1")=2,TRUE)</formula>
    </cfRule>
    <cfRule type="expression" dxfId="3464" priority="255">
      <formula>AND(IF(COUNTIF(Q$21:Q$25,"=1")=2,TRUE),IF(COUNTIF(Q$21:Q$25,"=2")=2,TRUE))</formula>
    </cfRule>
    <cfRule type="expression" dxfId="3463" priority="256">
      <formula>AND(Q21=4,IF(COUNTIF(Q$21:Q$25,"=4")=1,TRUE))</formula>
    </cfRule>
    <cfRule type="expression" dxfId="3462" priority="257">
      <formula>AND(Q21=3,IF(COUNTIF(Q$21:Q$25,"=3")=1,TRUE))</formula>
    </cfRule>
    <cfRule type="expression" dxfId="3461" priority="258">
      <formula>AND(Q21=2,IF(COUNTIF(Q$21:Q$25,"=2")=1,TRUE))</formula>
    </cfRule>
    <cfRule type="expression" dxfId="3460" priority="259">
      <formula>AND(Q21=1,IF(COUNTIF(Q$21:Q$25,"=1")=1,TRUE))</formula>
    </cfRule>
    <cfRule type="expression" dxfId="3459" priority="260">
      <formula>OR(Q21=0,Q21=5)</formula>
    </cfRule>
  </conditionalFormatting>
  <conditionalFormatting sqref="O21:O25">
    <cfRule type="expression" dxfId="3458" priority="252">
      <formula>OR(AND(J21=1,K21=1,L21=0,M21=1),AND(J21=2,K21=2,L21=0,M21=2))</formula>
    </cfRule>
  </conditionalFormatting>
  <conditionalFormatting sqref="M21:M25">
    <cfRule type="expression" dxfId="3457" priority="245">
      <formula>AND(L21&gt;0,IF(COUNTIF(L$21:L$25,L21)&gt;1,TRUE,FALSE))</formula>
    </cfRule>
    <cfRule type="expression" dxfId="3456" priority="246">
      <formula>AND(IF(COUNTIF(R$21:R$25,"=1")=2,TRUE),IF(COUNTIF(R$21:R$25,"=2")=2,TRUE))</formula>
    </cfRule>
    <cfRule type="expression" dxfId="3455" priority="247">
      <formula>AND(R21=4,IF(COUNTIF(R$21:R$25,"=4")=1,TRUE))</formula>
    </cfRule>
    <cfRule type="expression" dxfId="3454" priority="248">
      <formula>AND(R21=3,IF(COUNTIF(R$21:R$25,"=3")=1,TRUE))</formula>
    </cfRule>
    <cfRule type="expression" dxfId="3453" priority="249">
      <formula>AND(R21=2,IF(COUNTIF(R$21:R$25,"=2")=1,TRUE))</formula>
    </cfRule>
    <cfRule type="expression" dxfId="3452" priority="250">
      <formula>AND(R21=1,IF(COUNTIF(R$21:R$25,"=1")=1,TRUE))</formula>
    </cfRule>
    <cfRule type="expression" dxfId="3451" priority="251">
      <formula>OR(R21=0,R21=5)</formula>
    </cfRule>
  </conditionalFormatting>
  <conditionalFormatting sqref="J21:J25">
    <cfRule type="expression" dxfId="3450" priority="240">
      <formula>AND(Q21=4,IF(COUNTIF(Q$21:Q$25,"=4")&gt;=2,TRUE))</formula>
    </cfRule>
    <cfRule type="expression" dxfId="3449" priority="241">
      <formula>AND(Q21=3,IF(COUNTIF(Q$21:Q$25,"=3")&gt;=2,TRUE))</formula>
    </cfRule>
    <cfRule type="expression" dxfId="3448" priority="242">
      <formula>AND(Q21=2,IF(COUNTIF(Q$21:Q$25,"=2")&gt;=2,TRUE))</formula>
    </cfRule>
    <cfRule type="expression" dxfId="3447" priority="243">
      <formula>AND(Q21=1,IF(COUNTIF(Q$21:Q$25,"=1")&gt;=2,TRUE))</formula>
    </cfRule>
  </conditionalFormatting>
  <conditionalFormatting sqref="K21:K25">
    <cfRule type="expression" dxfId="3446" priority="261">
      <formula>AND(J21&gt;0,IF(COUNTIF(J$21:J$25,"=1")=2,TRUE),IF(COUNTIF(J$21:J$25,"=2")=2,TRUE))</formula>
    </cfRule>
    <cfRule type="expression" dxfId="3445" priority="262">
      <formula>IF(COUNTIF(L$21:L$25,"=2")=2,TRUE)</formula>
    </cfRule>
    <cfRule type="expression" dxfId="3444" priority="263">
      <formula>IF(COUNTIF(L$21:L$25,"=1")=2,TRUE)</formula>
    </cfRule>
    <cfRule type="expression" dxfId="3443" priority="264">
      <formula>AND(IF(COUNTIF(R$21:R$25,"=1")=2,TRUE),IF(COUNTIF(S$21:S$25,"=2")=2,TRUE))</formula>
    </cfRule>
    <cfRule type="expression" dxfId="3442" priority="265">
      <formula>AND(R21=4,IF(COUNTIF(R$21:R$25,"=4")=1,TRUE))</formula>
    </cfRule>
    <cfRule type="expression" dxfId="3441" priority="266">
      <formula>AND(R21=3,IF(COUNTIF(R$21:R$25,"=3")=1,TRUE))</formula>
    </cfRule>
    <cfRule type="expression" dxfId="3440" priority="267">
      <formula>AND(R21=2,IF(COUNTIF(R$21:R$25,"=2")=1,TRUE))</formula>
    </cfRule>
    <cfRule type="expression" dxfId="3439" priority="268">
      <formula>AND(R21=1,IF(COUNTIF(R$21:R$25,"=1")=1,TRUE))</formula>
    </cfRule>
    <cfRule type="expression" dxfId="3438" priority="269">
      <formula>OR(R21=0,R21=5)</formula>
    </cfRule>
  </conditionalFormatting>
  <conditionalFormatting sqref="H21:H25">
    <cfRule type="expression" dxfId="3437" priority="236">
      <formula>AND(Q21=4,IF(COUNTIF(Q$21:Q$25,"=4")&gt;=2,TRUE))</formula>
    </cfRule>
    <cfRule type="expression" dxfId="3436" priority="237">
      <formula>AND(Q21=3,IF(COUNTIF(Q$21:Q$25,"=3")&gt;=2,TRUE))</formula>
    </cfRule>
    <cfRule type="expression" dxfId="3435" priority="238">
      <formula>AND(Q21=2,IF(COUNTIF(Q$21:Q$25,"=2")&gt;=2,TRUE))</formula>
    </cfRule>
    <cfRule type="expression" dxfId="3434" priority="239">
      <formula>AND(Q21=1,IF(COUNTIF(Q$21:Q$25,"=1")&gt;=2,TRUE))</formula>
    </cfRule>
  </conditionalFormatting>
  <conditionalFormatting sqref="L28:L32">
    <cfRule type="expression" dxfId="3433" priority="210">
      <formula>K28=0</formula>
    </cfRule>
    <cfRule type="expression" dxfId="3432" priority="219">
      <formula>IF(COUNTIF(J$28:J$32,"=2")=2,TRUE)</formula>
    </cfRule>
    <cfRule type="expression" dxfId="3431" priority="220">
      <formula>IF(COUNTIF(J$28:J$32,"=1")=2,TRUE)</formula>
    </cfRule>
    <cfRule type="expression" dxfId="3430" priority="221">
      <formula>AND(IF(COUNTIF(Q$28:Q$32,"=1")=2,TRUE),IF(COUNTIF(Q$28:Q$32,"=2")=2,TRUE))</formula>
    </cfRule>
    <cfRule type="expression" dxfId="3429" priority="222">
      <formula>AND(Q28=4,IF(COUNTIF(Q$28:Q$32,"=4")=1,TRUE))</formula>
    </cfRule>
    <cfRule type="expression" dxfId="3428" priority="223">
      <formula>AND(Q28=3,IF(COUNTIF(Q$28:Q$32,"=3")=1,TRUE))</formula>
    </cfRule>
    <cfRule type="expression" dxfId="3427" priority="224">
      <formula>AND(Q28=2,IF(COUNTIF(Q$28:Q$32,"=2")=1,TRUE))</formula>
    </cfRule>
    <cfRule type="expression" dxfId="3426" priority="225">
      <formula>AND(Q28=1,IF(COUNTIF(Q$28:Q$32,"=1")=1,TRUE))</formula>
    </cfRule>
    <cfRule type="expression" dxfId="3425" priority="226">
      <formula>OR(Q28=0,Q28=5)</formula>
    </cfRule>
  </conditionalFormatting>
  <conditionalFormatting sqref="O28:O32">
    <cfRule type="expression" dxfId="3424" priority="218">
      <formula>OR(AND(J28=1,K28=1,L28=0,M28=1),AND(J28=2,K28=2,L28=0,M28=2))</formula>
    </cfRule>
  </conditionalFormatting>
  <conditionalFormatting sqref="M28:M32">
    <cfRule type="expression" dxfId="3423" priority="211">
      <formula>AND(L28&gt;0,IF(COUNTIF(L$28:L$32,L28)&gt;1,TRUE,FALSE))</formula>
    </cfRule>
    <cfRule type="expression" dxfId="3422" priority="212">
      <formula>AND(IF(COUNTIF(R$28:R$32,"=1")=2,TRUE),IF(COUNTIF(R$28:R$32,"=2")=2,TRUE))</formula>
    </cfRule>
    <cfRule type="expression" dxfId="3421" priority="213">
      <formula>AND(R28=4,IF(COUNTIF(R$28:R$32,"=4")=1,TRUE))</formula>
    </cfRule>
    <cfRule type="expression" dxfId="3420" priority="214">
      <formula>AND(R28=3,IF(COUNTIF(R$28:R$32,"=3")=1,TRUE))</formula>
    </cfRule>
    <cfRule type="expression" dxfId="3419" priority="215">
      <formula>AND(R28=2,IF(COUNTIF(R$28:R$32,"=2")=1,TRUE))</formula>
    </cfRule>
    <cfRule type="expression" dxfId="3418" priority="216">
      <formula>AND(R28=1,IF(COUNTIF(R$28:R$32,"=1")=1,TRUE))</formula>
    </cfRule>
    <cfRule type="expression" dxfId="3417" priority="217">
      <formula>OR(R28=0,R28=5)</formula>
    </cfRule>
  </conditionalFormatting>
  <conditionalFormatting sqref="J28:J32">
    <cfRule type="expression" dxfId="3416" priority="206">
      <formula>AND(Q28=4,IF(COUNTIF(Q$28:Q$32,"=4")&gt;=2,TRUE))</formula>
    </cfRule>
    <cfRule type="expression" dxfId="3415" priority="207">
      <formula>AND(Q28=3,IF(COUNTIF(Q$28:Q$32,"=3")&gt;=2,TRUE))</formula>
    </cfRule>
    <cfRule type="expression" dxfId="3414" priority="208">
      <formula>AND(Q28=2,IF(COUNTIF(Q$28:Q$32,"=2")&gt;=2,TRUE))</formula>
    </cfRule>
    <cfRule type="expression" dxfId="3413" priority="209">
      <formula>AND(Q28=1,IF(COUNTIF(Q$28:Q$32,"=1")&gt;=2,TRUE))</formula>
    </cfRule>
  </conditionalFormatting>
  <conditionalFormatting sqref="K28:K32">
    <cfRule type="expression" dxfId="3412" priority="227">
      <formula>AND(J28&gt;0,IF(COUNTIF(J$28:J$32,"=1")=2,TRUE),IF(COUNTIF(J$28:J$32,"=2")=2,TRUE))</formula>
    </cfRule>
    <cfRule type="expression" dxfId="3411" priority="228">
      <formula>IF(COUNTIF(L$28:L$32,"=2")=2,TRUE)</formula>
    </cfRule>
    <cfRule type="expression" dxfId="3410" priority="229">
      <formula>IF(COUNTIF(L$28:L$32,"=1")=2,TRUE)</formula>
    </cfRule>
    <cfRule type="expression" dxfId="3409" priority="230">
      <formula>AND(IF(COUNTIF(R$28:R$32,"=1")=2,TRUE),IF(COUNTIF(S$28:S$32,"=2")=2,TRUE))</formula>
    </cfRule>
    <cfRule type="expression" dxfId="3408" priority="231">
      <formula>AND(R28=4,IF(COUNTIF(R$28:R$32,"=4")=1,TRUE))</formula>
    </cfRule>
    <cfRule type="expression" dxfId="3407" priority="232">
      <formula>AND(R28=3,IF(COUNTIF(R$28:R$32,"=3")=1,TRUE))</formula>
    </cfRule>
    <cfRule type="expression" dxfId="3406" priority="233">
      <formula>AND(R28=2,IF(COUNTIF(R$28:R$32,"=2")=1,TRUE))</formula>
    </cfRule>
    <cfRule type="expression" dxfId="3405" priority="234">
      <formula>AND(R28=1,IF(COUNTIF(R$28:R$32,"=1")=1,TRUE))</formula>
    </cfRule>
    <cfRule type="expression" dxfId="3404" priority="235">
      <formula>OR(R28=0,R28=5)</formula>
    </cfRule>
  </conditionalFormatting>
  <conditionalFormatting sqref="H28:H32">
    <cfRule type="expression" dxfId="3403" priority="202">
      <formula>AND(Q28=4,IF(COUNTIF(Q$28:Q$32,"=4")&gt;=2,TRUE))</formula>
    </cfRule>
    <cfRule type="expression" dxfId="3402" priority="203">
      <formula>AND(Q28=3,IF(COUNTIF(Q$28:Q$32,"=3")&gt;=2,TRUE))</formula>
    </cfRule>
    <cfRule type="expression" dxfId="3401" priority="204">
      <formula>AND(Q28=2,IF(COUNTIF(Q$28:Q$32,"=2")&gt;=2,TRUE))</formula>
    </cfRule>
    <cfRule type="expression" dxfId="3400" priority="205">
      <formula>AND(Q28=1,IF(COUNTIF(Q$28:Q$32,"=1")&gt;=2,TRUE))</formula>
    </cfRule>
  </conditionalFormatting>
  <conditionalFormatting sqref="A102:A116">
    <cfRule type="cellIs" dxfId="3399" priority="64" operator="equal">
      <formula>"-"</formula>
    </cfRule>
    <cfRule type="duplicateValues" dxfId="3398" priority="65"/>
  </conditionalFormatting>
  <conditionalFormatting sqref="A140:A154">
    <cfRule type="cellIs" dxfId="3397" priority="62" operator="equal">
      <formula>"-"</formula>
    </cfRule>
    <cfRule type="duplicateValues" dxfId="3396" priority="63"/>
  </conditionalFormatting>
  <conditionalFormatting sqref="G124 G128 G131 G133">
    <cfRule type="containsBlanks" dxfId="3395" priority="59">
      <formula>LEN(TRIM(G124))=0</formula>
    </cfRule>
  </conditionalFormatting>
  <conditionalFormatting sqref="E123 E125">
    <cfRule type="containsBlanks" dxfId="3394" priority="57">
      <formula>LEN(TRIM(E123))=0</formula>
    </cfRule>
  </conditionalFormatting>
  <conditionalFormatting sqref="E127 E129">
    <cfRule type="containsBlanks" dxfId="3393" priority="55">
      <formula>LEN(TRIM(E127))=0</formula>
    </cfRule>
  </conditionalFormatting>
  <conditionalFormatting sqref="G124 G128">
    <cfRule type="aboveAverage" dxfId="3392" priority="61"/>
  </conditionalFormatting>
  <conditionalFormatting sqref="G131 G133">
    <cfRule type="aboveAverage" dxfId="3391" priority="60"/>
  </conditionalFormatting>
  <conditionalFormatting sqref="E123 E125">
    <cfRule type="aboveAverage" dxfId="3390" priority="58"/>
  </conditionalFormatting>
  <conditionalFormatting sqref="E127 E129">
    <cfRule type="aboveAverage" dxfId="3389" priority="56"/>
  </conditionalFormatting>
  <conditionalFormatting sqref="G117 G119">
    <cfRule type="aboveAverage" dxfId="3388" priority="54"/>
  </conditionalFormatting>
  <conditionalFormatting sqref="G117 G119">
    <cfRule type="containsBlanks" dxfId="3387" priority="53">
      <formula>LEN(TRIM(G117))=0</formula>
    </cfRule>
  </conditionalFormatting>
  <conditionalFormatting sqref="E103 E107">
    <cfRule type="containsBlanks" dxfId="3386" priority="51">
      <formula>LEN(TRIM(E103))=0</formula>
    </cfRule>
    <cfRule type="aboveAverage" dxfId="3385" priority="52"/>
  </conditionalFormatting>
  <conditionalFormatting sqref="C106 C108">
    <cfRule type="aboveAverage" dxfId="3384" priority="50"/>
  </conditionalFormatting>
  <conditionalFormatting sqref="C110 C112">
    <cfRule type="aboveAverage" dxfId="3383" priority="49"/>
  </conditionalFormatting>
  <conditionalFormatting sqref="C114 C116">
    <cfRule type="aboveAverage" dxfId="3382" priority="48"/>
  </conditionalFormatting>
  <conditionalFormatting sqref="C106 C108 C110 C112 C114 C116">
    <cfRule type="containsBlanks" dxfId="3381" priority="47">
      <formula>LEN(TRIM(C106))=0</formula>
    </cfRule>
  </conditionalFormatting>
  <conditionalFormatting sqref="C102 C104">
    <cfRule type="aboveAverage" dxfId="3380" priority="46"/>
  </conditionalFormatting>
  <conditionalFormatting sqref="C102 C104">
    <cfRule type="containsBlanks" dxfId="3379" priority="45">
      <formula>LEN(TRIM(C102))=0</formula>
    </cfRule>
  </conditionalFormatting>
  <conditionalFormatting sqref="E111 E115">
    <cfRule type="containsBlanks" dxfId="3378" priority="43">
      <formula>LEN(TRIM(E111))=0</formula>
    </cfRule>
    <cfRule type="aboveAverage" dxfId="3377" priority="44"/>
  </conditionalFormatting>
  <conditionalFormatting sqref="G105 G113">
    <cfRule type="containsBlanks" dxfId="3376" priority="41">
      <formula>LEN(TRIM(G105))=0</formula>
    </cfRule>
    <cfRule type="aboveAverage" dxfId="3375" priority="42"/>
  </conditionalFormatting>
  <conditionalFormatting sqref="G162 G166 G169 G171">
    <cfRule type="containsBlanks" dxfId="3374" priority="38">
      <formula>LEN(TRIM(G162))=0</formula>
    </cfRule>
  </conditionalFormatting>
  <conditionalFormatting sqref="E161 E163">
    <cfRule type="containsBlanks" dxfId="3373" priority="36">
      <formula>LEN(TRIM(E161))=0</formula>
    </cfRule>
  </conditionalFormatting>
  <conditionalFormatting sqref="E165 E167">
    <cfRule type="containsBlanks" dxfId="3372" priority="34">
      <formula>LEN(TRIM(E165))=0</formula>
    </cfRule>
  </conditionalFormatting>
  <conditionalFormatting sqref="G162 G166">
    <cfRule type="aboveAverage" dxfId="3371" priority="40"/>
  </conditionalFormatting>
  <conditionalFormatting sqref="G169 G171">
    <cfRule type="aboveAverage" dxfId="3370" priority="39"/>
  </conditionalFormatting>
  <conditionalFormatting sqref="E161 E163">
    <cfRule type="aboveAverage" dxfId="3369" priority="37"/>
  </conditionalFormatting>
  <conditionalFormatting sqref="E165 E167">
    <cfRule type="aboveAverage" dxfId="3368" priority="35"/>
  </conditionalFormatting>
  <conditionalFormatting sqref="G155 G157">
    <cfRule type="aboveAverage" dxfId="3367" priority="33"/>
  </conditionalFormatting>
  <conditionalFormatting sqref="G155 G157">
    <cfRule type="containsBlanks" dxfId="3366" priority="32">
      <formula>LEN(TRIM(G155))=0</formula>
    </cfRule>
  </conditionalFormatting>
  <conditionalFormatting sqref="E141 E145">
    <cfRule type="containsBlanks" dxfId="3365" priority="30">
      <formula>LEN(TRIM(E141))=0</formula>
    </cfRule>
    <cfRule type="aboveAverage" dxfId="3364" priority="31"/>
  </conditionalFormatting>
  <conditionalFormatting sqref="C144 C146">
    <cfRule type="aboveAverage" dxfId="3363" priority="29"/>
  </conditionalFormatting>
  <conditionalFormatting sqref="C148 C150">
    <cfRule type="aboveAverage" dxfId="3362" priority="28"/>
  </conditionalFormatting>
  <conditionalFormatting sqref="C152 C154">
    <cfRule type="aboveAverage" dxfId="3361" priority="27"/>
  </conditionalFormatting>
  <conditionalFormatting sqref="C144 C146 C148 C150 C152 C154">
    <cfRule type="containsBlanks" dxfId="3360" priority="26">
      <formula>LEN(TRIM(C144))=0</formula>
    </cfRule>
  </conditionalFormatting>
  <conditionalFormatting sqref="C140 C142">
    <cfRule type="aboveAverage" dxfId="3359" priority="25"/>
  </conditionalFormatting>
  <conditionalFormatting sqref="C140 C142">
    <cfRule type="containsBlanks" dxfId="3358" priority="24">
      <formula>LEN(TRIM(C140))=0</formula>
    </cfRule>
  </conditionalFormatting>
  <conditionalFormatting sqref="E149 E153">
    <cfRule type="containsBlanks" dxfId="3357" priority="22">
      <formula>LEN(TRIM(E149))=0</formula>
    </cfRule>
    <cfRule type="aboveAverage" dxfId="3356" priority="23"/>
  </conditionalFormatting>
  <conditionalFormatting sqref="G143 G151">
    <cfRule type="containsBlanks" dxfId="3355" priority="20">
      <formula>LEN(TRIM(G143))=0</formula>
    </cfRule>
    <cfRule type="aboveAverage" dxfId="3354" priority="21"/>
  </conditionalFormatting>
  <conditionalFormatting sqref="B300:B315">
    <cfRule type="expression" dxfId="3353" priority="443">
      <formula>A300=3</formula>
    </cfRule>
    <cfRule type="expression" dxfId="3352" priority="444">
      <formula>A300=2</formula>
    </cfRule>
    <cfRule type="expression" dxfId="3351" priority="445">
      <formula>A300=1</formula>
    </cfRule>
    <cfRule type="containsBlanks" dxfId="3350" priority="446">
      <formula>LEN(TRIM(B300))=0</formula>
    </cfRule>
    <cfRule type="duplicateValues" dxfId="3349" priority="447"/>
  </conditionalFormatting>
  <conditionalFormatting sqref="AJ7:AJ31">
    <cfRule type="expression" dxfId="3348" priority="13">
      <formula>AND(AI7="",FIND(",",AJ7))</formula>
    </cfRule>
    <cfRule type="expression" dxfId="3347" priority="15">
      <formula>AND(AI7="",COUNTIF(AJ7,"*,*")=0)</formula>
    </cfRule>
  </conditionalFormatting>
  <conditionalFormatting sqref="AH7:AH64">
    <cfRule type="expression" dxfId="3346" priority="16">
      <formula>AND(AG7="",FIND(",",AH7))</formula>
    </cfRule>
    <cfRule type="expression" dxfId="3345" priority="17">
      <formula>AND(AG7="",COUNTIF(AH7,"*,*")=0)</formula>
    </cfRule>
  </conditionalFormatting>
  <conditionalFormatting sqref="AL7:AL31">
    <cfRule type="expression" dxfId="3344" priority="18">
      <formula>AND(AK7="",FIND(",",AL7))</formula>
    </cfRule>
    <cfRule type="expression" dxfId="3343" priority="19">
      <formula>AND(AK7="",COUNTIF(AL7,"*,*")=0)</formula>
    </cfRule>
  </conditionalFormatting>
  <conditionalFormatting sqref="AF7:AF31">
    <cfRule type="expression" dxfId="3342" priority="14">
      <formula>AND(AE7="",COUNTIF(AF7,"*,*")=0)</formula>
    </cfRule>
  </conditionalFormatting>
  <conditionalFormatting sqref="AN7:AN31">
    <cfRule type="expression" dxfId="3341" priority="10">
      <formula>AND(AM7="",COUNTIF(AN7,"*,*")=0)</formula>
    </cfRule>
    <cfRule type="expression" dxfId="3340" priority="12">
      <formula>AND(AM7="",FIND(",",AN7))</formula>
    </cfRule>
  </conditionalFormatting>
  <conditionalFormatting sqref="AP7:AP31">
    <cfRule type="expression" dxfId="3339" priority="9">
      <formula>AND(AO7="",COUNTIF(AP7,"*,*")=0)</formula>
    </cfRule>
    <cfRule type="expression" dxfId="3338" priority="11">
      <formula>AND(AO7="",FIND(",",AP7))</formula>
    </cfRule>
  </conditionalFormatting>
  <conditionalFormatting sqref="I28:I32">
    <cfRule type="expression" dxfId="3337" priority="3">
      <formula>FIND(2,I28,1)</formula>
    </cfRule>
    <cfRule type="expression" dxfId="3336" priority="4">
      <formula>FIND(1,I28,1)</formula>
    </cfRule>
  </conditionalFormatting>
  <conditionalFormatting sqref="I21:I25">
    <cfRule type="expression" dxfId="3335" priority="5">
      <formula>FIND(2,I21,1)</formula>
    </cfRule>
    <cfRule type="expression" dxfId="3334" priority="6">
      <formula>FIND(1,I21,1)</formula>
    </cfRule>
  </conditionalFormatting>
  <conditionalFormatting sqref="I7:I11">
    <cfRule type="expression" dxfId="3333" priority="7">
      <formula>FIND(2,I7,1)</formula>
    </cfRule>
    <cfRule type="expression" dxfId="3332" priority="8">
      <formula>FIND(1,I7,1)</formula>
    </cfRule>
  </conditionalFormatting>
  <conditionalFormatting sqref="I14:I18">
    <cfRule type="expression" dxfId="3331" priority="1">
      <formula>FIND(2,I14,1)</formula>
    </cfRule>
    <cfRule type="expression" dxfId="3330" priority="2">
      <formula>FIND(1,I14,1)</formula>
    </cfRule>
  </conditionalFormatting>
  <pageMargins left="0.78740157480314965" right="0.39370078740157483" top="0.78740157480314965" bottom="0.39370078740157483" header="0.78740157480314965" footer="0"/>
  <pageSetup paperSize="9" fitToHeight="0" orientation="landscape" verticalDpi="1200" r:id="rId1"/>
  <headerFooter>
    <oddHeader>&amp;R&amp;P. leht &amp;N&amp; -st</oddHeader>
  </headerFooter>
  <rowBreaks count="3" manualBreakCount="3">
    <brk id="98" max="16383" man="1"/>
    <brk id="136" max="16383" man="1"/>
    <brk id="297"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P311"/>
  <sheetViews>
    <sheetView showGridLines="0" showRowColHeaders="0" workbookViewId="0">
      <pane ySplit="4" topLeftCell="A5" activePane="bottomLeft" state="frozen"/>
      <selection pane="bottomLeft" activeCell="A5" sqref="A5"/>
    </sheetView>
  </sheetViews>
  <sheetFormatPr defaultRowHeight="12.75" x14ac:dyDescent="0.2"/>
  <cols>
    <col min="1" max="1" width="3.28515625" style="1" customWidth="1"/>
    <col min="2" max="2" width="34.42578125" style="1" customWidth="1"/>
    <col min="3" max="3" width="4.7109375" style="1" customWidth="1"/>
    <col min="4" max="4" width="1.140625" style="1" customWidth="1"/>
    <col min="5" max="5" width="2.7109375" style="1" customWidth="1"/>
    <col min="6" max="6" width="9.140625" style="1"/>
    <col min="7" max="7" width="2.7109375" style="1" customWidth="1"/>
    <col min="8" max="8" width="1.140625" style="1" customWidth="1"/>
    <col min="9" max="9" width="2.7109375" style="1" customWidth="1"/>
    <col min="10" max="10" width="9.140625" style="1"/>
    <col min="11" max="11" width="2.7109375" style="1" customWidth="1"/>
    <col min="12" max="12" width="1.140625" style="1" customWidth="1"/>
    <col min="13" max="13" width="2.7109375" style="1" customWidth="1"/>
    <col min="14" max="14" width="9.140625" style="1"/>
    <col min="15" max="15" width="2.7109375" style="1" customWidth="1"/>
    <col min="16" max="16" width="1.140625" style="1" customWidth="1"/>
    <col min="17" max="17" width="2.7109375" style="1" customWidth="1"/>
    <col min="18" max="18" width="9.140625" style="1"/>
    <col min="19" max="19" width="2.7109375" style="1" customWidth="1"/>
    <col min="20" max="20" width="1.140625" style="1" customWidth="1"/>
    <col min="21" max="21" width="2.7109375" style="1" customWidth="1"/>
    <col min="22" max="22" width="9.140625" style="1"/>
    <col min="23" max="23" width="5.7109375" style="1" bestFit="1" customWidth="1"/>
    <col min="24" max="24" width="5.5703125" style="1" hidden="1" customWidth="1"/>
    <col min="25" max="25" width="2.7109375" style="1" customWidth="1"/>
    <col min="26" max="26" width="1.140625" style="1" customWidth="1"/>
    <col min="27" max="27" width="2.7109375" style="1" customWidth="1"/>
    <col min="28" max="28" width="4.7109375" style="1" customWidth="1"/>
    <col min="29" max="29" width="9.140625" style="1"/>
    <col min="30" max="31" width="9.140625" style="1" hidden="1" customWidth="1"/>
    <col min="32" max="32" width="16.5703125" style="1" hidden="1" customWidth="1"/>
    <col min="33" max="33" width="9.140625" style="1" hidden="1" customWidth="1"/>
    <col min="34" max="34" width="34.7109375" style="1" hidden="1" customWidth="1"/>
    <col min="35" max="35" width="9.140625" style="1" hidden="1" customWidth="1"/>
    <col min="36" max="36" width="18.140625" style="1" hidden="1" customWidth="1"/>
    <col min="37" max="37" width="9.140625" style="1" hidden="1" customWidth="1"/>
    <col min="38" max="38" width="16" style="1" hidden="1" customWidth="1"/>
    <col min="39" max="39" width="9.140625" style="1" hidden="1" customWidth="1"/>
    <col min="40" max="40" width="17.28515625" style="1" hidden="1" customWidth="1"/>
    <col min="41" max="41" width="9.140625" style="1" hidden="1" customWidth="1"/>
    <col min="42" max="42" width="13.85546875" style="1" hidden="1" customWidth="1"/>
    <col min="43" max="16384" width="9.140625" style="1"/>
  </cols>
  <sheetData>
    <row r="1" spans="1:42" x14ac:dyDescent="0.2">
      <c r="A1" s="400" t="str">
        <f>UPPER((Kalend!E14)&amp;" - "&amp;(Kalend!C14))&amp;" - "&amp;LOWER(Kalend!D14)&amp;" - "&amp;(Kalend!A14)&amp;" kell "&amp;(Kalend!B14)&amp;" - "&amp;(Kalend!F14)</f>
        <v>V-JH - "JÕULUHANE" TURNIIR - duo - K, 25.12.2019 kell 11:00 - Voka petangihall</v>
      </c>
      <c r="N1" s="409"/>
      <c r="O1" s="271"/>
      <c r="P1" s="271"/>
      <c r="Q1" s="312"/>
      <c r="R1" s="312"/>
      <c r="S1" s="312"/>
      <c r="T1" s="70"/>
      <c r="U1" s="70"/>
      <c r="V1" s="70"/>
      <c r="W1" s="271"/>
      <c r="X1" s="402"/>
      <c r="Y1" s="271"/>
      <c r="Z1" s="271"/>
      <c r="AD1" s="152" t="s">
        <v>94</v>
      </c>
      <c r="AE1" s="402"/>
      <c r="AF1" s="402"/>
      <c r="AG1" s="402"/>
      <c r="AH1" s="402"/>
      <c r="AI1" s="402"/>
      <c r="AJ1" s="402"/>
      <c r="AK1" s="402"/>
      <c r="AL1" s="402"/>
      <c r="AM1" s="402"/>
      <c r="AN1" s="402"/>
      <c r="AO1" s="532"/>
      <c r="AP1" s="532"/>
    </row>
    <row r="2" spans="1:42" hidden="1" x14ac:dyDescent="0.2">
      <c r="L2" s="409"/>
      <c r="M2" s="409"/>
      <c r="N2" s="409"/>
      <c r="O2" s="271"/>
      <c r="P2" s="271"/>
      <c r="Q2" s="271"/>
      <c r="R2" s="271"/>
      <c r="S2" s="271"/>
      <c r="T2" s="409"/>
      <c r="U2" s="409"/>
      <c r="V2" s="410" t="s">
        <v>253</v>
      </c>
      <c r="W2" s="411">
        <v>1</v>
      </c>
      <c r="X2" s="271"/>
      <c r="Y2" s="412" t="s">
        <v>254</v>
      </c>
      <c r="Z2" s="271"/>
      <c r="AD2" s="271"/>
      <c r="AE2" s="271"/>
      <c r="AF2" s="271"/>
      <c r="AG2" s="271"/>
      <c r="AH2" s="271"/>
      <c r="AI2" s="271"/>
      <c r="AJ2" s="412"/>
      <c r="AK2" s="271"/>
      <c r="AL2" s="271"/>
      <c r="AM2" s="271"/>
      <c r="AN2" s="271"/>
    </row>
    <row r="3" spans="1:42" hidden="1" x14ac:dyDescent="0.2">
      <c r="L3" s="409"/>
      <c r="M3" s="409"/>
      <c r="N3" s="409"/>
      <c r="O3" s="271"/>
      <c r="P3" s="271"/>
      <c r="Q3" s="271"/>
      <c r="R3" s="271"/>
      <c r="S3" s="271"/>
      <c r="T3" s="409"/>
      <c r="U3" s="409"/>
      <c r="V3" s="413" t="s">
        <v>255</v>
      </c>
      <c r="W3" s="411">
        <v>0.5</v>
      </c>
      <c r="X3" s="271"/>
      <c r="Y3" s="412" t="s">
        <v>254</v>
      </c>
      <c r="Z3" s="271"/>
      <c r="AE3" s="271"/>
      <c r="AG3" s="271"/>
      <c r="AH3" s="271"/>
      <c r="AI3" s="271"/>
      <c r="AJ3" s="271"/>
      <c r="AK3" s="271"/>
      <c r="AL3" s="271"/>
      <c r="AM3" s="271"/>
      <c r="AN3" s="271"/>
    </row>
    <row r="4" spans="1:42" hidden="1" x14ac:dyDescent="0.2">
      <c r="L4" s="271"/>
      <c r="M4" s="271"/>
      <c r="N4" s="271"/>
      <c r="O4" s="271"/>
      <c r="P4" s="271"/>
      <c r="Q4" s="271"/>
      <c r="R4" s="271"/>
      <c r="S4" s="271"/>
      <c r="T4" s="271"/>
      <c r="U4" s="271"/>
      <c r="V4" s="414" t="s">
        <v>256</v>
      </c>
      <c r="W4" s="411">
        <v>0</v>
      </c>
      <c r="X4" s="271"/>
      <c r="Y4" s="412" t="s">
        <v>254</v>
      </c>
      <c r="Z4" s="271"/>
      <c r="AA4" s="271"/>
      <c r="AE4" s="409"/>
      <c r="AF4" s="409"/>
      <c r="AG4" s="409"/>
      <c r="AH4" s="376"/>
      <c r="AI4" s="409"/>
      <c r="AJ4" s="409"/>
      <c r="AK4" s="409"/>
      <c r="AL4" s="409"/>
      <c r="AM4" s="409"/>
      <c r="AN4" s="409"/>
      <c r="AO4" s="409"/>
      <c r="AP4" s="409"/>
    </row>
    <row r="5" spans="1:42" x14ac:dyDescent="0.2">
      <c r="F5" s="271"/>
      <c r="L5" s="271"/>
      <c r="M5" s="271"/>
      <c r="N5" s="271"/>
      <c r="O5" s="271"/>
      <c r="P5" s="271"/>
      <c r="Q5" s="271"/>
      <c r="R5" s="271"/>
      <c r="S5" s="271"/>
      <c r="T5" s="271"/>
      <c r="U5" s="271"/>
      <c r="V5" s="271"/>
      <c r="W5" s="271"/>
      <c r="X5" s="271"/>
      <c r="Y5" s="271"/>
      <c r="Z5" s="271"/>
      <c r="AA5" s="967" t="s">
        <v>476</v>
      </c>
      <c r="AC5" s="271"/>
      <c r="AD5" s="964" t="s">
        <v>214</v>
      </c>
    </row>
    <row r="6" spans="1:42" x14ac:dyDescent="0.2">
      <c r="A6" s="607" t="s">
        <v>10</v>
      </c>
      <c r="B6" s="607" t="s">
        <v>79</v>
      </c>
      <c r="C6" s="608" t="s">
        <v>171</v>
      </c>
      <c r="D6" s="609"/>
      <c r="E6" s="609"/>
      <c r="F6" s="610"/>
      <c r="G6" s="608" t="s">
        <v>174</v>
      </c>
      <c r="H6" s="609"/>
      <c r="I6" s="609"/>
      <c r="J6" s="610"/>
      <c r="K6" s="608" t="s">
        <v>177</v>
      </c>
      <c r="L6" s="609"/>
      <c r="M6" s="609"/>
      <c r="N6" s="610"/>
      <c r="O6" s="608" t="s">
        <v>180</v>
      </c>
      <c r="P6" s="609"/>
      <c r="Q6" s="609"/>
      <c r="R6" s="610"/>
      <c r="S6" s="608" t="s">
        <v>182</v>
      </c>
      <c r="T6" s="609"/>
      <c r="U6" s="609"/>
      <c r="V6" s="610"/>
      <c r="W6" s="607" t="s">
        <v>102</v>
      </c>
      <c r="X6" s="611" t="s">
        <v>361</v>
      </c>
      <c r="Y6" s="611"/>
      <c r="Z6" s="612" t="s">
        <v>362</v>
      </c>
      <c r="AA6" s="613"/>
      <c r="AB6" s="271"/>
      <c r="AC6" s="271"/>
      <c r="AD6" s="272" t="s">
        <v>370</v>
      </c>
      <c r="AE6" s="273"/>
      <c r="AF6" s="273" t="s">
        <v>249</v>
      </c>
      <c r="AG6" s="273"/>
      <c r="AH6" s="403" t="s">
        <v>250</v>
      </c>
      <c r="AI6" s="273"/>
      <c r="AJ6" s="273" t="s">
        <v>251</v>
      </c>
      <c r="AK6" s="274"/>
      <c r="AL6" s="273" t="s">
        <v>252</v>
      </c>
      <c r="AM6" s="274"/>
      <c r="AN6" s="274" t="s">
        <v>472</v>
      </c>
      <c r="AO6" s="945"/>
      <c r="AP6" s="274" t="s">
        <v>473</v>
      </c>
    </row>
    <row r="7" spans="1:42" x14ac:dyDescent="0.2">
      <c r="A7" s="614">
        <v>1</v>
      </c>
      <c r="B7" s="459" t="s">
        <v>365</v>
      </c>
      <c r="C7" s="615">
        <v>13</v>
      </c>
      <c r="D7" s="616" t="s">
        <v>363</v>
      </c>
      <c r="E7" s="617">
        <v>11</v>
      </c>
      <c r="F7" s="618" t="str">
        <f>B14</f>
        <v>Janek Tarto, Matti Vinni</v>
      </c>
      <c r="G7" s="615">
        <v>3</v>
      </c>
      <c r="H7" s="616" t="s">
        <v>363</v>
      </c>
      <c r="I7" s="617">
        <v>13</v>
      </c>
      <c r="J7" s="618" t="str">
        <f>B10</f>
        <v>Andrei Grintšak, Boriss Klubov</v>
      </c>
      <c r="K7" s="615">
        <v>13</v>
      </c>
      <c r="L7" s="616" t="s">
        <v>363</v>
      </c>
      <c r="M7" s="617">
        <v>1</v>
      </c>
      <c r="N7" s="618" t="str">
        <f>B13</f>
        <v>Enn Tokman, Tarmo Bombe</v>
      </c>
      <c r="O7" s="615">
        <v>13</v>
      </c>
      <c r="P7" s="616" t="s">
        <v>363</v>
      </c>
      <c r="Q7" s="617">
        <v>4</v>
      </c>
      <c r="R7" s="618" t="str">
        <f>B11</f>
        <v>Kaspar Mänd, Urmas Jõeäär</v>
      </c>
      <c r="S7" s="615">
        <v>13</v>
      </c>
      <c r="T7" s="616" t="s">
        <v>363</v>
      </c>
      <c r="U7" s="617">
        <v>12</v>
      </c>
      <c r="V7" s="618" t="str">
        <f>B8</f>
        <v>Jaan Sepp, Oskar Sepp</v>
      </c>
      <c r="W7" s="619">
        <f t="shared" ref="W7:W18" si="0">IF(C7&gt;E7,W$2,IF(C7&lt;E7,W$4,IF(ISNUMBER(C7),W$3,0)))+IF(G7&gt;I7,W$2,IF(G7&lt;I7,W$4,IF(ISNUMBER(G7),W$3,0)))+IF(K7&gt;M7,W$2,IF(K7&lt;M7,W$4,IF(ISNUMBER(K7),W$3,0)))+IF(O7&gt;Q7,W$2,IF(O7&lt;Q7,W$4,IF(ISNUMBER(O7),W$3,0)))+IF(S7&gt;U7,W$2,IF(S7&lt;U7,W$4,IF(ISNUMBER(S7),W$3,0)))</f>
        <v>4</v>
      </c>
      <c r="X7" s="620"/>
      <c r="Y7" s="615">
        <f>C7+G7+K7+O7+S7</f>
        <v>55</v>
      </c>
      <c r="Z7" s="616" t="s">
        <v>363</v>
      </c>
      <c r="AA7" s="621">
        <f>E7+I7+M7+Q7+U7</f>
        <v>41</v>
      </c>
      <c r="AB7" s="622">
        <f>Y7-AA7</f>
        <v>14</v>
      </c>
      <c r="AD7" s="405">
        <f>SUM(AE7:AP7)</f>
        <v>121.5</v>
      </c>
      <c r="AE7" s="406">
        <f>IFERROR(INDEX(V!$R:$R,MATCH(AF7,V!$L:$L,0)),"")</f>
        <v>10</v>
      </c>
      <c r="AF7" s="407" t="str">
        <f>IFERROR(LEFT($B7,(FIND(",",$B7,1)-1)),"")</f>
        <v>Alari Keedus</v>
      </c>
      <c r="AG7" s="406">
        <f>IFERROR(INDEX(V!$R:$R,MATCH(AH7,V!$L:$L,0)),"")</f>
        <v>111.5</v>
      </c>
      <c r="AH7" s="407" t="str">
        <f>IFERROR(MID($B7,FIND(", ",$B7)+2,256),"")</f>
        <v>Ülo Piik</v>
      </c>
      <c r="AI7" s="406" t="str">
        <f>IFERROR(INDEX(V!$R:$R,MATCH(AJ7,V!$L:$L,0)),"")</f>
        <v/>
      </c>
      <c r="AJ7" s="407" t="str">
        <f>IFERROR(MID($B7,FIND("^",SUBSTITUTE($B7,", ","^",1))+2,FIND("^",SUBSTITUTE($B7,", ","^",2))-FIND("^",SUBSTITUTE($B7,", ","^",1))-2),"")</f>
        <v/>
      </c>
      <c r="AK7" s="406" t="str">
        <f>IFERROR(INDEX(V!$R:$R,MATCH(AL7,V!$L:$L,0)),"")</f>
        <v/>
      </c>
      <c r="AL7" s="407" t="str">
        <f>IFERROR(MID($B7,FIND(", ",$B7,FIND(", ",$B7,FIND(", ",$B7))+1)+2,30000),"")</f>
        <v/>
      </c>
      <c r="AM7" s="406" t="str">
        <f>IFERROR(INDEX(V!$R:$R,MATCH(AN7,V!$L:$L,0)),"")</f>
        <v/>
      </c>
      <c r="AN7" s="407" t="str">
        <f>IFERROR(MID($B7,FIND(", ",$B7,FIND(", ",$B7)+1)+2,FIND(", ",$B7,FIND(", ",$B7,FIND(", ",$B7)+1)+1)-FIND(", ",$B7,FIND(", ",$B7)+1)-2),"")</f>
        <v/>
      </c>
      <c r="AO7" s="406" t="str">
        <f>IFERROR(INDEX(V!$R:$R,MATCH(AP7,V!$L:$L,0)),"")</f>
        <v/>
      </c>
      <c r="AP7" s="407" t="str">
        <f>IFERROR(MID($B7,FIND(", ",$B7,FIND(", ",$B7,FIND(", ",$B7)+1)+1)+2,30000),"")</f>
        <v/>
      </c>
    </row>
    <row r="8" spans="1:42" x14ac:dyDescent="0.2">
      <c r="A8" s="614">
        <v>2</v>
      </c>
      <c r="B8" s="459" t="s">
        <v>276</v>
      </c>
      <c r="C8" s="615">
        <v>13</v>
      </c>
      <c r="D8" s="616" t="s">
        <v>363</v>
      </c>
      <c r="E8" s="617">
        <v>12</v>
      </c>
      <c r="F8" s="618" t="str">
        <f>B9</f>
        <v>Ivar Viljaste, Kristo Viljaste</v>
      </c>
      <c r="G8" s="615">
        <v>13</v>
      </c>
      <c r="H8" s="616" t="s">
        <v>363</v>
      </c>
      <c r="I8" s="617">
        <v>6</v>
      </c>
      <c r="J8" s="618" t="str">
        <f>B11</f>
        <v>Kaspar Mänd, Urmas Jõeäär</v>
      </c>
      <c r="K8" s="615">
        <v>13</v>
      </c>
      <c r="L8" s="616" t="s">
        <v>363</v>
      </c>
      <c r="M8" s="617">
        <v>5</v>
      </c>
      <c r="N8" s="618" t="str">
        <f>B14</f>
        <v>Janek Tarto, Matti Vinni</v>
      </c>
      <c r="O8" s="615">
        <v>13</v>
      </c>
      <c r="P8" s="616" t="s">
        <v>363</v>
      </c>
      <c r="Q8" s="617">
        <v>5</v>
      </c>
      <c r="R8" s="618" t="str">
        <f>B10</f>
        <v>Andrei Grintšak, Boriss Klubov</v>
      </c>
      <c r="S8" s="615">
        <v>12</v>
      </c>
      <c r="T8" s="616" t="s">
        <v>363</v>
      </c>
      <c r="U8" s="617">
        <v>13</v>
      </c>
      <c r="V8" s="618" t="str">
        <f>B7</f>
        <v>Alari Keedus, Ülo Piik</v>
      </c>
      <c r="W8" s="619">
        <f t="shared" si="0"/>
        <v>4</v>
      </c>
      <c r="X8" s="620"/>
      <c r="Y8" s="615">
        <f t="shared" ref="Y8:Y18" si="1">C8+G8+K8+O8+S8</f>
        <v>64</v>
      </c>
      <c r="Z8" s="616" t="s">
        <v>363</v>
      </c>
      <c r="AA8" s="621">
        <f t="shared" ref="AA8:AA18" si="2">E8+I8+M8+Q8+U8</f>
        <v>41</v>
      </c>
      <c r="AB8" s="622">
        <f t="shared" ref="AB8:AB18" si="3">Y8-AA8</f>
        <v>23</v>
      </c>
      <c r="AC8" s="404"/>
      <c r="AD8" s="405">
        <f t="shared" ref="AD8:AD18" si="4">SUM(AE8:AP8)</f>
        <v>356</v>
      </c>
      <c r="AE8" s="406">
        <f>IFERROR(INDEX(V!$R:$R,MATCH(AF8,V!$L:$L,0)),"")</f>
        <v>178</v>
      </c>
      <c r="AF8" s="407" t="str">
        <f t="shared" ref="AF8:AF18" si="5">IFERROR(LEFT($B8,(FIND(",",$B8,1)-1)),"")</f>
        <v>Jaan Sepp</v>
      </c>
      <c r="AG8" s="406">
        <f>IFERROR(INDEX(V!$R:$R,MATCH(AH8,V!$L:$L,0)),"")</f>
        <v>178</v>
      </c>
      <c r="AH8" s="407" t="str">
        <f t="shared" ref="AH8:AH18" si="6">IFERROR(MID($B8,FIND(", ",$B8)+2,256),"")</f>
        <v>Oskar Sepp</v>
      </c>
      <c r="AI8" s="406" t="str">
        <f>IFERROR(INDEX(V!$R:$R,MATCH(AJ8,V!$L:$L,0)),"")</f>
        <v/>
      </c>
      <c r="AJ8" s="407" t="str">
        <f t="shared" ref="AJ8:AJ18" si="7">IFERROR(MID($B8,FIND("^",SUBSTITUTE($B8,", ","^",1))+2,FIND("^",SUBSTITUTE($B8,", ","^",2))-FIND("^",SUBSTITUTE($B8,", ","^",1))-2),"")</f>
        <v/>
      </c>
      <c r="AK8" s="406" t="str">
        <f>IFERROR(INDEX(V!$R:$R,MATCH(AL8,V!$L:$L,0)),"")</f>
        <v/>
      </c>
      <c r="AL8" s="407" t="str">
        <f t="shared" ref="AL8:AL18" si="8">IFERROR(MID($B8,FIND(", ",$B8,FIND(", ",$B8,FIND(", ",$B8))+1)+2,30000),"")</f>
        <v/>
      </c>
      <c r="AM8" s="406" t="str">
        <f>IFERROR(INDEX(V!$R:$R,MATCH(AN8,V!$L:$L,0)),"")</f>
        <v/>
      </c>
      <c r="AN8" s="407" t="str">
        <f t="shared" ref="AN8:AN18" si="9">IFERROR(MID($B8,FIND(", ",$B8,FIND(", ",$B8)+1)+2,FIND(", ",$B8,FIND(", ",$B8,FIND(", ",$B8)+1)+1)-FIND(", ",$B8,FIND(", ",$B8)+1)-2),"")</f>
        <v/>
      </c>
      <c r="AO8" s="406" t="str">
        <f>IFERROR(INDEX(V!$R:$R,MATCH(AP8,V!$L:$L,0)),"")</f>
        <v/>
      </c>
      <c r="AP8" s="407" t="str">
        <f t="shared" ref="AP8:AP18" si="10">IFERROR(MID($B8,FIND(", ",$B8,FIND(", ",$B8,FIND(", ",$B8)+1)+1)+2,30000),"")</f>
        <v/>
      </c>
    </row>
    <row r="9" spans="1:42" x14ac:dyDescent="0.2">
      <c r="A9" s="614">
        <v>3</v>
      </c>
      <c r="B9" s="479" t="s">
        <v>416</v>
      </c>
      <c r="C9" s="615">
        <v>12</v>
      </c>
      <c r="D9" s="616" t="s">
        <v>363</v>
      </c>
      <c r="E9" s="617">
        <v>13</v>
      </c>
      <c r="F9" s="618" t="str">
        <f>B8</f>
        <v>Jaan Sepp, Oskar Sepp</v>
      </c>
      <c r="G9" s="615">
        <v>13</v>
      </c>
      <c r="H9" s="616" t="s">
        <v>363</v>
      </c>
      <c r="I9" s="617">
        <v>4</v>
      </c>
      <c r="J9" s="618" t="str">
        <f>B13</f>
        <v>Enn Tokman, Tarmo Bombe</v>
      </c>
      <c r="K9" s="615">
        <v>13</v>
      </c>
      <c r="L9" s="616" t="s">
        <v>363</v>
      </c>
      <c r="M9" s="617">
        <v>6</v>
      </c>
      <c r="N9" s="618" t="str">
        <f>B16</f>
        <v>Aigi Orro, Kalle Orro</v>
      </c>
      <c r="O9" s="615">
        <v>13</v>
      </c>
      <c r="P9" s="616" t="s">
        <v>363</v>
      </c>
      <c r="Q9" s="617">
        <v>7</v>
      </c>
      <c r="R9" s="618" t="str">
        <f>B12</f>
        <v>Elmo Lageda, Tõnu Piik</v>
      </c>
      <c r="S9" s="615">
        <v>13</v>
      </c>
      <c r="T9" s="616" t="s">
        <v>363</v>
      </c>
      <c r="U9" s="617">
        <v>2</v>
      </c>
      <c r="V9" s="618" t="str">
        <f>B10</f>
        <v>Andrei Grintšak, Boriss Klubov</v>
      </c>
      <c r="W9" s="619">
        <f t="shared" si="0"/>
        <v>4</v>
      </c>
      <c r="X9" s="620"/>
      <c r="Y9" s="615">
        <f t="shared" si="1"/>
        <v>64</v>
      </c>
      <c r="Z9" s="616" t="s">
        <v>363</v>
      </c>
      <c r="AA9" s="621">
        <f t="shared" si="2"/>
        <v>32</v>
      </c>
      <c r="AB9" s="622">
        <f t="shared" si="3"/>
        <v>32</v>
      </c>
      <c r="AC9" s="404"/>
      <c r="AD9" s="405">
        <f t="shared" si="4"/>
        <v>73</v>
      </c>
      <c r="AE9" s="406">
        <f>IFERROR(INDEX(V!$R:$R,MATCH(AF9,V!$L:$L,0)),"")</f>
        <v>56</v>
      </c>
      <c r="AF9" s="407" t="str">
        <f t="shared" si="5"/>
        <v>Ivar Viljaste</v>
      </c>
      <c r="AG9" s="406">
        <f>IFERROR(INDEX(V!$R:$R,MATCH(AH9,V!$L:$L,0)),"")</f>
        <v>17</v>
      </c>
      <c r="AH9" s="407" t="str">
        <f t="shared" si="6"/>
        <v>Kristo Viljaste</v>
      </c>
      <c r="AI9" s="406" t="str">
        <f>IFERROR(INDEX(V!$R:$R,MATCH(AJ9,V!$L:$L,0)),"")</f>
        <v/>
      </c>
      <c r="AJ9" s="407" t="str">
        <f t="shared" si="7"/>
        <v/>
      </c>
      <c r="AK9" s="406" t="str">
        <f>IFERROR(INDEX(V!$R:$R,MATCH(AL9,V!$L:$L,0)),"")</f>
        <v/>
      </c>
      <c r="AL9" s="407" t="str">
        <f t="shared" si="8"/>
        <v/>
      </c>
      <c r="AM9" s="406" t="str">
        <f>IFERROR(INDEX(V!$R:$R,MATCH(AN9,V!$L:$L,0)),"")</f>
        <v/>
      </c>
      <c r="AN9" s="407" t="str">
        <f t="shared" si="9"/>
        <v/>
      </c>
      <c r="AO9" s="406" t="str">
        <f>IFERROR(INDEX(V!$R:$R,MATCH(AP9,V!$L:$L,0)),"")</f>
        <v/>
      </c>
      <c r="AP9" s="407" t="str">
        <f t="shared" si="10"/>
        <v/>
      </c>
    </row>
    <row r="10" spans="1:42" x14ac:dyDescent="0.2">
      <c r="A10" s="614">
        <v>4</v>
      </c>
      <c r="B10" s="479" t="s">
        <v>272</v>
      </c>
      <c r="C10" s="615">
        <v>13</v>
      </c>
      <c r="D10" s="616" t="s">
        <v>363</v>
      </c>
      <c r="E10" s="617">
        <v>7</v>
      </c>
      <c r="F10" s="618" t="str">
        <f>B18</f>
        <v>Lydia Skrabutenas, Sander Skrabutenas, Vladimir Mihhailov</v>
      </c>
      <c r="G10" s="615">
        <v>13</v>
      </c>
      <c r="H10" s="616" t="s">
        <v>363</v>
      </c>
      <c r="I10" s="617">
        <v>3</v>
      </c>
      <c r="J10" s="618" t="str">
        <f>B7</f>
        <v>Alari Keedus, Ülo Piik</v>
      </c>
      <c r="K10" s="615">
        <v>13</v>
      </c>
      <c r="L10" s="616" t="s">
        <v>363</v>
      </c>
      <c r="M10" s="617">
        <v>11</v>
      </c>
      <c r="N10" s="618" t="str">
        <f>B12</f>
        <v>Elmo Lageda, Tõnu Piik</v>
      </c>
      <c r="O10" s="615">
        <v>5</v>
      </c>
      <c r="P10" s="616" t="s">
        <v>363</v>
      </c>
      <c r="Q10" s="617">
        <v>13</v>
      </c>
      <c r="R10" s="618" t="str">
        <f>B8</f>
        <v>Jaan Sepp, Oskar Sepp</v>
      </c>
      <c r="S10" s="615">
        <v>2</v>
      </c>
      <c r="T10" s="616" t="s">
        <v>363</v>
      </c>
      <c r="U10" s="617">
        <v>13</v>
      </c>
      <c r="V10" s="618" t="str">
        <f>B9</f>
        <v>Ivar Viljaste, Kristo Viljaste</v>
      </c>
      <c r="W10" s="1116">
        <f t="shared" si="0"/>
        <v>3</v>
      </c>
      <c r="X10" s="620"/>
      <c r="Y10" s="615">
        <f t="shared" si="1"/>
        <v>46</v>
      </c>
      <c r="Z10" s="616" t="s">
        <v>363</v>
      </c>
      <c r="AA10" s="621">
        <f t="shared" si="2"/>
        <v>47</v>
      </c>
      <c r="AB10" s="622">
        <f t="shared" si="3"/>
        <v>-1</v>
      </c>
      <c r="AC10" s="404"/>
      <c r="AD10" s="405">
        <f t="shared" si="4"/>
        <v>272</v>
      </c>
      <c r="AE10" s="406">
        <f>IFERROR(INDEX(V!$R:$R,MATCH(AF10,V!$L:$L,0)),"")</f>
        <v>148</v>
      </c>
      <c r="AF10" s="407" t="str">
        <f t="shared" si="5"/>
        <v>Andrei Grintšak</v>
      </c>
      <c r="AG10" s="406">
        <f>IFERROR(INDEX(V!$R:$R,MATCH(AH10,V!$L:$L,0)),"")</f>
        <v>124</v>
      </c>
      <c r="AH10" s="407" t="str">
        <f t="shared" si="6"/>
        <v>Boriss Klubov</v>
      </c>
      <c r="AI10" s="406" t="str">
        <f>IFERROR(INDEX(V!$R:$R,MATCH(AJ10,V!$L:$L,0)),"")</f>
        <v/>
      </c>
      <c r="AJ10" s="407" t="str">
        <f t="shared" si="7"/>
        <v/>
      </c>
      <c r="AK10" s="406" t="str">
        <f>IFERROR(INDEX(V!$R:$R,MATCH(AL10,V!$L:$L,0)),"")</f>
        <v/>
      </c>
      <c r="AL10" s="407" t="str">
        <f t="shared" si="8"/>
        <v/>
      </c>
      <c r="AM10" s="406" t="str">
        <f>IFERROR(INDEX(V!$R:$R,MATCH(AN10,V!$L:$L,0)),"")</f>
        <v/>
      </c>
      <c r="AN10" s="407" t="str">
        <f t="shared" si="9"/>
        <v/>
      </c>
      <c r="AO10" s="406" t="str">
        <f>IFERROR(INDEX(V!$R:$R,MATCH(AP10,V!$L:$L,0)),"")</f>
        <v/>
      </c>
      <c r="AP10" s="407" t="str">
        <f t="shared" si="10"/>
        <v/>
      </c>
    </row>
    <row r="11" spans="1:42" x14ac:dyDescent="0.2">
      <c r="A11" s="614">
        <v>5</v>
      </c>
      <c r="B11" s="459" t="s">
        <v>417</v>
      </c>
      <c r="C11" s="615">
        <v>13</v>
      </c>
      <c r="D11" s="616" t="s">
        <v>363</v>
      </c>
      <c r="E11" s="617">
        <v>12</v>
      </c>
      <c r="F11" s="618" t="str">
        <f>B13</f>
        <v>Enn Tokman, Tarmo Bombe</v>
      </c>
      <c r="G11" s="615">
        <v>6</v>
      </c>
      <c r="H11" s="616" t="s">
        <v>363</v>
      </c>
      <c r="I11" s="617">
        <v>13</v>
      </c>
      <c r="J11" s="618" t="str">
        <f>B8</f>
        <v>Jaan Sepp, Oskar Sepp</v>
      </c>
      <c r="K11" s="615">
        <v>13</v>
      </c>
      <c r="L11" s="616" t="s">
        <v>363</v>
      </c>
      <c r="M11" s="617">
        <v>2</v>
      </c>
      <c r="N11" s="618" t="str">
        <f>B15</f>
        <v>Andres Veski, Svetlana Veski</v>
      </c>
      <c r="O11" s="615">
        <v>4</v>
      </c>
      <c r="P11" s="616" t="s">
        <v>363</v>
      </c>
      <c r="Q11" s="617">
        <v>13</v>
      </c>
      <c r="R11" s="618" t="str">
        <f>B7</f>
        <v>Alari Keedus, Ülo Piik</v>
      </c>
      <c r="S11" s="615">
        <v>13</v>
      </c>
      <c r="T11" s="616" t="s">
        <v>363</v>
      </c>
      <c r="U11" s="617">
        <v>6</v>
      </c>
      <c r="V11" s="618" t="str">
        <f>B17</f>
        <v>Liidia Põllu, Veronika Pirk</v>
      </c>
      <c r="W11" s="1116">
        <f t="shared" si="0"/>
        <v>3</v>
      </c>
      <c r="X11" s="620"/>
      <c r="Y11" s="615">
        <f t="shared" si="1"/>
        <v>49</v>
      </c>
      <c r="Z11" s="616" t="s">
        <v>363</v>
      </c>
      <c r="AA11" s="621">
        <f t="shared" si="2"/>
        <v>46</v>
      </c>
      <c r="AB11" s="622">
        <f t="shared" si="3"/>
        <v>3</v>
      </c>
      <c r="AC11" s="404"/>
      <c r="AD11" s="405">
        <f t="shared" si="4"/>
        <v>194</v>
      </c>
      <c r="AE11" s="406">
        <f>IFERROR(INDEX(V!$R:$R,MATCH(AF11,V!$L:$L,0)),"")</f>
        <v>164</v>
      </c>
      <c r="AF11" s="407" t="str">
        <f t="shared" si="5"/>
        <v>Kaspar Mänd</v>
      </c>
      <c r="AG11" s="406">
        <f>IFERROR(INDEX(V!$R:$R,MATCH(AH11,V!$L:$L,0)),"")</f>
        <v>30</v>
      </c>
      <c r="AH11" s="407" t="str">
        <f t="shared" si="6"/>
        <v>Urmas Jõeäär</v>
      </c>
      <c r="AI11" s="406" t="str">
        <f>IFERROR(INDEX(V!$R:$R,MATCH(AJ11,V!$L:$L,0)),"")</f>
        <v/>
      </c>
      <c r="AJ11" s="407" t="str">
        <f t="shared" si="7"/>
        <v/>
      </c>
      <c r="AK11" s="406" t="str">
        <f>IFERROR(INDEX(V!$R:$R,MATCH(AL11,V!$L:$L,0)),"")</f>
        <v/>
      </c>
      <c r="AL11" s="407" t="str">
        <f t="shared" si="8"/>
        <v/>
      </c>
      <c r="AM11" s="406" t="str">
        <f>IFERROR(INDEX(V!$R:$R,MATCH(AN11,V!$L:$L,0)),"")</f>
        <v/>
      </c>
      <c r="AN11" s="407" t="str">
        <f t="shared" si="9"/>
        <v/>
      </c>
      <c r="AO11" s="406" t="str">
        <f>IFERROR(INDEX(V!$R:$R,MATCH(AP11,V!$L:$L,0)),"")</f>
        <v/>
      </c>
      <c r="AP11" s="407" t="str">
        <f t="shared" si="10"/>
        <v/>
      </c>
    </row>
    <row r="12" spans="1:42" x14ac:dyDescent="0.2">
      <c r="A12" s="614">
        <v>6</v>
      </c>
      <c r="B12" s="479" t="s">
        <v>273</v>
      </c>
      <c r="C12" s="615">
        <v>13</v>
      </c>
      <c r="D12" s="616" t="s">
        <v>363</v>
      </c>
      <c r="E12" s="617">
        <v>5</v>
      </c>
      <c r="F12" s="618" t="str">
        <f>B17</f>
        <v>Liidia Põllu, Veronika Pirk</v>
      </c>
      <c r="G12" s="615">
        <v>13</v>
      </c>
      <c r="H12" s="616" t="s">
        <v>363</v>
      </c>
      <c r="I12" s="617">
        <v>5</v>
      </c>
      <c r="J12" s="618" t="str">
        <f>B15</f>
        <v>Andres Veski, Svetlana Veski</v>
      </c>
      <c r="K12" s="615">
        <v>11</v>
      </c>
      <c r="L12" s="616" t="s">
        <v>363</v>
      </c>
      <c r="M12" s="617">
        <v>13</v>
      </c>
      <c r="N12" s="618" t="str">
        <f>B9</f>
        <v>Ivar Viljaste, Kristo Viljaste</v>
      </c>
      <c r="O12" s="615">
        <v>7</v>
      </c>
      <c r="P12" s="616" t="s">
        <v>363</v>
      </c>
      <c r="Q12" s="617">
        <v>13</v>
      </c>
      <c r="R12" s="618" t="str">
        <f>B14</f>
        <v>Janek Tarto, Matti Vinni</v>
      </c>
      <c r="S12" s="615">
        <v>13</v>
      </c>
      <c r="T12" s="616" t="s">
        <v>363</v>
      </c>
      <c r="U12" s="617">
        <v>6</v>
      </c>
      <c r="V12" s="618" t="str">
        <f>B18</f>
        <v>Lydia Skrabutenas, Sander Skrabutenas, Vladimir Mihhailov</v>
      </c>
      <c r="W12" s="1116">
        <f t="shared" si="0"/>
        <v>3</v>
      </c>
      <c r="X12" s="620"/>
      <c r="Y12" s="682">
        <f t="shared" si="1"/>
        <v>57</v>
      </c>
      <c r="Z12" s="616" t="s">
        <v>363</v>
      </c>
      <c r="AA12" s="621">
        <f t="shared" si="2"/>
        <v>42</v>
      </c>
      <c r="AB12" s="622">
        <f t="shared" si="3"/>
        <v>15</v>
      </c>
      <c r="AC12" s="404"/>
      <c r="AD12" s="405">
        <f t="shared" si="4"/>
        <v>233.5</v>
      </c>
      <c r="AE12" s="406">
        <f>IFERROR(INDEX(V!$R:$R,MATCH(AF12,V!$L:$L,0)),"")</f>
        <v>100</v>
      </c>
      <c r="AF12" s="407" t="str">
        <f t="shared" si="5"/>
        <v>Elmo Lageda</v>
      </c>
      <c r="AG12" s="406">
        <f>IFERROR(INDEX(V!$R:$R,MATCH(AH12,V!$L:$L,0)),"")</f>
        <v>133.5</v>
      </c>
      <c r="AH12" s="407" t="str">
        <f t="shared" si="6"/>
        <v>Tõnu Piik</v>
      </c>
      <c r="AI12" s="406" t="str">
        <f>IFERROR(INDEX(V!$R:$R,MATCH(AJ12,V!$L:$L,0)),"")</f>
        <v/>
      </c>
      <c r="AJ12" s="407" t="str">
        <f t="shared" si="7"/>
        <v/>
      </c>
      <c r="AK12" s="406" t="str">
        <f>IFERROR(INDEX(V!$R:$R,MATCH(AL12,V!$L:$L,0)),"")</f>
        <v/>
      </c>
      <c r="AL12" s="407" t="str">
        <f t="shared" si="8"/>
        <v/>
      </c>
      <c r="AM12" s="406" t="str">
        <f>IFERROR(INDEX(V!$R:$R,MATCH(AN12,V!$L:$L,0)),"")</f>
        <v/>
      </c>
      <c r="AN12" s="407" t="str">
        <f t="shared" si="9"/>
        <v/>
      </c>
      <c r="AO12" s="406" t="str">
        <f>IFERROR(INDEX(V!$R:$R,MATCH(AP12,V!$L:$L,0)),"")</f>
        <v/>
      </c>
      <c r="AP12" s="407" t="str">
        <f t="shared" si="10"/>
        <v/>
      </c>
    </row>
    <row r="13" spans="1:42" x14ac:dyDescent="0.2">
      <c r="A13" s="614">
        <v>7</v>
      </c>
      <c r="B13" s="623" t="s">
        <v>280</v>
      </c>
      <c r="C13" s="615">
        <v>12</v>
      </c>
      <c r="D13" s="616" t="s">
        <v>363</v>
      </c>
      <c r="E13" s="617">
        <v>13</v>
      </c>
      <c r="F13" s="618" t="str">
        <f>B11</f>
        <v>Kaspar Mänd, Urmas Jõeäär</v>
      </c>
      <c r="G13" s="615">
        <v>4</v>
      </c>
      <c r="H13" s="616" t="s">
        <v>363</v>
      </c>
      <c r="I13" s="617">
        <v>13</v>
      </c>
      <c r="J13" s="618" t="str">
        <f>B9</f>
        <v>Ivar Viljaste, Kristo Viljaste</v>
      </c>
      <c r="K13" s="615">
        <v>1</v>
      </c>
      <c r="L13" s="616" t="s">
        <v>363</v>
      </c>
      <c r="M13" s="617">
        <v>13</v>
      </c>
      <c r="N13" s="618" t="str">
        <f>B7</f>
        <v>Alari Keedus, Ülo Piik</v>
      </c>
      <c r="O13" s="615">
        <v>13</v>
      </c>
      <c r="P13" s="616" t="s">
        <v>363</v>
      </c>
      <c r="Q13" s="617">
        <v>2</v>
      </c>
      <c r="R13" s="618" t="str">
        <f>B18</f>
        <v>Lydia Skrabutenas, Sander Skrabutenas, Vladimir Mihhailov</v>
      </c>
      <c r="S13" s="615">
        <v>13</v>
      </c>
      <c r="T13" s="616" t="s">
        <v>363</v>
      </c>
      <c r="U13" s="617">
        <v>12</v>
      </c>
      <c r="V13" s="618" t="str">
        <f>B15</f>
        <v>Andres Veski, Svetlana Veski</v>
      </c>
      <c r="W13" s="619">
        <f t="shared" si="0"/>
        <v>2</v>
      </c>
      <c r="X13" s="620"/>
      <c r="Y13" s="615">
        <f t="shared" si="1"/>
        <v>43</v>
      </c>
      <c r="Z13" s="616" t="s">
        <v>363</v>
      </c>
      <c r="AA13" s="621">
        <f t="shared" si="2"/>
        <v>53</v>
      </c>
      <c r="AB13" s="622">
        <f t="shared" si="3"/>
        <v>-10</v>
      </c>
      <c r="AC13" s="404"/>
      <c r="AD13" s="405">
        <f t="shared" si="4"/>
        <v>223</v>
      </c>
      <c r="AE13" s="406">
        <f>IFERROR(INDEX(V!$R:$R,MATCH(AF13,V!$L:$L,0)),"")</f>
        <v>118</v>
      </c>
      <c r="AF13" s="407" t="str">
        <f t="shared" si="5"/>
        <v>Enn Tokman</v>
      </c>
      <c r="AG13" s="406">
        <f>IFERROR(INDEX(V!$R:$R,MATCH(AH13,V!$L:$L,0)),"")</f>
        <v>105</v>
      </c>
      <c r="AH13" s="407" t="str">
        <f t="shared" si="6"/>
        <v>Tarmo Bombe</v>
      </c>
      <c r="AI13" s="406" t="str">
        <f>IFERROR(INDEX(V!$R:$R,MATCH(AJ13,V!$L:$L,0)),"")</f>
        <v/>
      </c>
      <c r="AJ13" s="407" t="str">
        <f t="shared" si="7"/>
        <v/>
      </c>
      <c r="AK13" s="406" t="str">
        <f>IFERROR(INDEX(V!$R:$R,MATCH(AL13,V!$L:$L,0)),"")</f>
        <v/>
      </c>
      <c r="AL13" s="407" t="str">
        <f t="shared" si="8"/>
        <v/>
      </c>
      <c r="AM13" s="406" t="str">
        <f>IFERROR(INDEX(V!$R:$R,MATCH(AN13,V!$L:$L,0)),"")</f>
        <v/>
      </c>
      <c r="AN13" s="407" t="str">
        <f t="shared" si="9"/>
        <v/>
      </c>
      <c r="AO13" s="406" t="str">
        <f>IFERROR(INDEX(V!$R:$R,MATCH(AP13,V!$L:$L,0)),"")</f>
        <v/>
      </c>
      <c r="AP13" s="407" t="str">
        <f t="shared" si="10"/>
        <v/>
      </c>
    </row>
    <row r="14" spans="1:42" x14ac:dyDescent="0.2">
      <c r="A14" s="614">
        <v>8</v>
      </c>
      <c r="B14" s="623" t="s">
        <v>418</v>
      </c>
      <c r="C14" s="615">
        <v>11</v>
      </c>
      <c r="D14" s="616" t="s">
        <v>363</v>
      </c>
      <c r="E14" s="617">
        <v>13</v>
      </c>
      <c r="F14" s="618" t="str">
        <f>B7</f>
        <v>Alari Keedus, Ülo Piik</v>
      </c>
      <c r="G14" s="615">
        <v>13</v>
      </c>
      <c r="H14" s="616" t="s">
        <v>363</v>
      </c>
      <c r="I14" s="617">
        <v>3</v>
      </c>
      <c r="J14" s="618" t="str">
        <f>B18</f>
        <v>Lydia Skrabutenas, Sander Skrabutenas, Vladimir Mihhailov</v>
      </c>
      <c r="K14" s="615">
        <v>5</v>
      </c>
      <c r="L14" s="616" t="s">
        <v>363</v>
      </c>
      <c r="M14" s="617">
        <v>13</v>
      </c>
      <c r="N14" s="618" t="str">
        <f>B8</f>
        <v>Jaan Sepp, Oskar Sepp</v>
      </c>
      <c r="O14" s="615">
        <v>13</v>
      </c>
      <c r="P14" s="616" t="s">
        <v>363</v>
      </c>
      <c r="Q14" s="617">
        <v>12</v>
      </c>
      <c r="R14" s="618" t="str">
        <f>B16</f>
        <v>Aigi Orro, Kalle Orro</v>
      </c>
      <c r="S14" s="615">
        <v>6</v>
      </c>
      <c r="T14" s="616" t="s">
        <v>363</v>
      </c>
      <c r="U14" s="617">
        <v>13</v>
      </c>
      <c r="V14" s="618" t="str">
        <f>B12</f>
        <v>Elmo Lageda, Tõnu Piik</v>
      </c>
      <c r="W14" s="619">
        <f t="shared" si="0"/>
        <v>2</v>
      </c>
      <c r="X14" s="620"/>
      <c r="Y14" s="615">
        <f t="shared" si="1"/>
        <v>48</v>
      </c>
      <c r="Z14" s="616" t="s">
        <v>363</v>
      </c>
      <c r="AA14" s="683">
        <f t="shared" si="2"/>
        <v>54</v>
      </c>
      <c r="AB14" s="622">
        <f t="shared" si="3"/>
        <v>-6</v>
      </c>
      <c r="AC14" s="404"/>
      <c r="AD14" s="405">
        <f t="shared" si="4"/>
        <v>258</v>
      </c>
      <c r="AE14" s="406">
        <f>IFERROR(INDEX(V!$R:$R,MATCH(AF14,V!$L:$L,0)),"")</f>
        <v>90</v>
      </c>
      <c r="AF14" s="407" t="str">
        <f t="shared" si="5"/>
        <v>Janek Tarto</v>
      </c>
      <c r="AG14" s="406">
        <f>IFERROR(INDEX(V!$R:$R,MATCH(AH14,V!$L:$L,0)),"")</f>
        <v>168</v>
      </c>
      <c r="AH14" s="407" t="str">
        <f t="shared" si="6"/>
        <v>Matti Vinni</v>
      </c>
      <c r="AI14" s="406" t="str">
        <f>IFERROR(INDEX(V!$R:$R,MATCH(AJ14,V!$L:$L,0)),"")</f>
        <v/>
      </c>
      <c r="AJ14" s="407" t="str">
        <f t="shared" si="7"/>
        <v/>
      </c>
      <c r="AK14" s="406" t="str">
        <f>IFERROR(INDEX(V!$R:$R,MATCH(AL14,V!$L:$L,0)),"")</f>
        <v/>
      </c>
      <c r="AL14" s="407" t="str">
        <f t="shared" si="8"/>
        <v/>
      </c>
      <c r="AM14" s="406" t="str">
        <f>IFERROR(INDEX(V!$R:$R,MATCH(AN14,V!$L:$L,0)),"")</f>
        <v/>
      </c>
      <c r="AN14" s="407" t="str">
        <f t="shared" si="9"/>
        <v/>
      </c>
      <c r="AO14" s="406" t="str">
        <f>IFERROR(INDEX(V!$R:$R,MATCH(AP14,V!$L:$L,0)),"")</f>
        <v/>
      </c>
      <c r="AP14" s="407" t="str">
        <f t="shared" si="10"/>
        <v/>
      </c>
    </row>
    <row r="15" spans="1:42" x14ac:dyDescent="0.2">
      <c r="A15" s="614">
        <v>9</v>
      </c>
      <c r="B15" s="479" t="s">
        <v>283</v>
      </c>
      <c r="C15" s="615">
        <v>13</v>
      </c>
      <c r="D15" s="616" t="s">
        <v>363</v>
      </c>
      <c r="E15" s="617">
        <v>4</v>
      </c>
      <c r="F15" s="618" t="str">
        <f>B16</f>
        <v>Aigi Orro, Kalle Orro</v>
      </c>
      <c r="G15" s="615">
        <v>5</v>
      </c>
      <c r="H15" s="616" t="s">
        <v>363</v>
      </c>
      <c r="I15" s="617">
        <v>13</v>
      </c>
      <c r="J15" s="618" t="str">
        <f>B12</f>
        <v>Elmo Lageda, Tõnu Piik</v>
      </c>
      <c r="K15" s="615">
        <v>2</v>
      </c>
      <c r="L15" s="616" t="s">
        <v>363</v>
      </c>
      <c r="M15" s="617">
        <v>13</v>
      </c>
      <c r="N15" s="618" t="str">
        <f>B11</f>
        <v>Kaspar Mänd, Urmas Jõeäär</v>
      </c>
      <c r="O15" s="615">
        <v>13</v>
      </c>
      <c r="P15" s="616" t="s">
        <v>363</v>
      </c>
      <c r="Q15" s="617">
        <v>4</v>
      </c>
      <c r="R15" s="618" t="str">
        <f>B17</f>
        <v>Liidia Põllu, Veronika Pirk</v>
      </c>
      <c r="S15" s="615">
        <v>12</v>
      </c>
      <c r="T15" s="616" t="s">
        <v>363</v>
      </c>
      <c r="U15" s="617">
        <v>13</v>
      </c>
      <c r="V15" s="618" t="str">
        <f>B13</f>
        <v>Enn Tokman, Tarmo Bombe</v>
      </c>
      <c r="W15" s="619">
        <f t="shared" si="0"/>
        <v>2</v>
      </c>
      <c r="X15" s="620"/>
      <c r="Y15" s="615">
        <f t="shared" si="1"/>
        <v>45</v>
      </c>
      <c r="Z15" s="616" t="s">
        <v>363</v>
      </c>
      <c r="AA15" s="621">
        <f t="shared" si="2"/>
        <v>47</v>
      </c>
      <c r="AB15" s="622">
        <f t="shared" si="3"/>
        <v>-2</v>
      </c>
      <c r="AC15" s="404"/>
      <c r="AD15" s="405">
        <f t="shared" si="4"/>
        <v>171</v>
      </c>
      <c r="AE15" s="406">
        <f>IFERROR(INDEX(V!$R:$R,MATCH(AF15,V!$L:$L,0)),"")</f>
        <v>104</v>
      </c>
      <c r="AF15" s="407" t="str">
        <f t="shared" si="5"/>
        <v>Andres Veski</v>
      </c>
      <c r="AG15" s="406">
        <f>IFERROR(INDEX(V!$R:$R,MATCH(AH15,V!$L:$L,0)),"")</f>
        <v>67</v>
      </c>
      <c r="AH15" s="407" t="str">
        <f t="shared" si="6"/>
        <v>Svetlana Veski</v>
      </c>
      <c r="AI15" s="406" t="str">
        <f>IFERROR(INDEX(V!$R:$R,MATCH(AJ15,V!$L:$L,0)),"")</f>
        <v/>
      </c>
      <c r="AJ15" s="407" t="str">
        <f t="shared" si="7"/>
        <v/>
      </c>
      <c r="AK15" s="406" t="str">
        <f>IFERROR(INDEX(V!$R:$R,MATCH(AL15,V!$L:$L,0)),"")</f>
        <v/>
      </c>
      <c r="AL15" s="407" t="str">
        <f t="shared" si="8"/>
        <v/>
      </c>
      <c r="AM15" s="406" t="str">
        <f>IFERROR(INDEX(V!$R:$R,MATCH(AN15,V!$L:$L,0)),"")</f>
        <v/>
      </c>
      <c r="AN15" s="407" t="str">
        <f t="shared" si="9"/>
        <v/>
      </c>
      <c r="AO15" s="406" t="str">
        <f>IFERROR(INDEX(V!$R:$R,MATCH(AP15,V!$L:$L,0)),"")</f>
        <v/>
      </c>
      <c r="AP15" s="407" t="str">
        <f t="shared" si="10"/>
        <v/>
      </c>
    </row>
    <row r="16" spans="1:42" x14ac:dyDescent="0.2">
      <c r="A16" s="614">
        <v>10</v>
      </c>
      <c r="B16" s="459" t="s">
        <v>313</v>
      </c>
      <c r="C16" s="615">
        <v>4</v>
      </c>
      <c r="D16" s="616" t="s">
        <v>363</v>
      </c>
      <c r="E16" s="617">
        <v>13</v>
      </c>
      <c r="F16" s="618" t="str">
        <f>B15</f>
        <v>Andres Veski, Svetlana Veski</v>
      </c>
      <c r="G16" s="615">
        <v>13</v>
      </c>
      <c r="H16" s="616" t="s">
        <v>363</v>
      </c>
      <c r="I16" s="617">
        <v>1</v>
      </c>
      <c r="J16" s="618" t="str">
        <f>B17</f>
        <v>Liidia Põllu, Veronika Pirk</v>
      </c>
      <c r="K16" s="615">
        <v>6</v>
      </c>
      <c r="L16" s="616" t="s">
        <v>363</v>
      </c>
      <c r="M16" s="617">
        <v>13</v>
      </c>
      <c r="N16" s="618" t="str">
        <f>B9</f>
        <v>Ivar Viljaste, Kristo Viljaste</v>
      </c>
      <c r="O16" s="615">
        <v>12</v>
      </c>
      <c r="P16" s="616" t="s">
        <v>363</v>
      </c>
      <c r="Q16" s="617">
        <v>13</v>
      </c>
      <c r="R16" s="618" t="str">
        <f>B14</f>
        <v>Janek Tarto, Matti Vinni</v>
      </c>
      <c r="S16" s="615">
        <v>13</v>
      </c>
      <c r="T16" s="616" t="s">
        <v>363</v>
      </c>
      <c r="U16" s="617">
        <v>8</v>
      </c>
      <c r="V16" s="618" t="str">
        <f>B18</f>
        <v>Lydia Skrabutenas, Sander Skrabutenas, Vladimir Mihhailov</v>
      </c>
      <c r="W16" s="619">
        <f t="shared" si="0"/>
        <v>2</v>
      </c>
      <c r="X16" s="620"/>
      <c r="Y16" s="615">
        <f t="shared" si="1"/>
        <v>48</v>
      </c>
      <c r="Z16" s="616" t="s">
        <v>363</v>
      </c>
      <c r="AA16" s="621">
        <f t="shared" si="2"/>
        <v>48</v>
      </c>
      <c r="AB16" s="622">
        <f t="shared" si="3"/>
        <v>0</v>
      </c>
      <c r="AC16" s="404"/>
      <c r="AD16" s="405">
        <f t="shared" si="4"/>
        <v>278</v>
      </c>
      <c r="AE16" s="406">
        <f>IFERROR(INDEX(V!$R:$R,MATCH(AF16,V!$L:$L,0)),"")</f>
        <v>145</v>
      </c>
      <c r="AF16" s="407" t="str">
        <f t="shared" si="5"/>
        <v>Aigi Orro</v>
      </c>
      <c r="AG16" s="406">
        <f>IFERROR(INDEX(V!$R:$R,MATCH(AH16,V!$L:$L,0)),"")</f>
        <v>133</v>
      </c>
      <c r="AH16" s="407" t="str">
        <f t="shared" si="6"/>
        <v>Kalle Orro</v>
      </c>
      <c r="AI16" s="406" t="str">
        <f>IFERROR(INDEX(V!$R:$R,MATCH(AJ16,V!$L:$L,0)),"")</f>
        <v/>
      </c>
      <c r="AJ16" s="407" t="str">
        <f t="shared" si="7"/>
        <v/>
      </c>
      <c r="AK16" s="406" t="str">
        <f>IFERROR(INDEX(V!$R:$R,MATCH(AL16,V!$L:$L,0)),"")</f>
        <v/>
      </c>
      <c r="AL16" s="407" t="str">
        <f t="shared" si="8"/>
        <v/>
      </c>
      <c r="AM16" s="406" t="str">
        <f>IFERROR(INDEX(V!$R:$R,MATCH(AN16,V!$L:$L,0)),"")</f>
        <v/>
      </c>
      <c r="AN16" s="407" t="str">
        <f t="shared" si="9"/>
        <v/>
      </c>
      <c r="AO16" s="406" t="str">
        <f>IFERROR(INDEX(V!$R:$R,MATCH(AP16,V!$L:$L,0)),"")</f>
        <v/>
      </c>
      <c r="AP16" s="407" t="str">
        <f t="shared" si="10"/>
        <v/>
      </c>
    </row>
    <row r="17" spans="1:42" x14ac:dyDescent="0.2">
      <c r="A17" s="614">
        <v>11</v>
      </c>
      <c r="B17" s="623" t="s">
        <v>420</v>
      </c>
      <c r="C17" s="615">
        <v>5</v>
      </c>
      <c r="D17" s="616" t="s">
        <v>363</v>
      </c>
      <c r="E17" s="617">
        <v>13</v>
      </c>
      <c r="F17" s="618" t="str">
        <f>B12</f>
        <v>Elmo Lageda, Tõnu Piik</v>
      </c>
      <c r="G17" s="615">
        <v>1</v>
      </c>
      <c r="H17" s="616" t="s">
        <v>363</v>
      </c>
      <c r="I17" s="617">
        <v>13</v>
      </c>
      <c r="J17" s="618" t="str">
        <f>B16</f>
        <v>Aigi Orro, Kalle Orro</v>
      </c>
      <c r="K17" s="615">
        <v>13</v>
      </c>
      <c r="L17" s="616" t="s">
        <v>363</v>
      </c>
      <c r="M17" s="617">
        <v>12</v>
      </c>
      <c r="N17" s="618" t="str">
        <f>B18</f>
        <v>Lydia Skrabutenas, Sander Skrabutenas, Vladimir Mihhailov</v>
      </c>
      <c r="O17" s="615">
        <v>4</v>
      </c>
      <c r="P17" s="616" t="s">
        <v>363</v>
      </c>
      <c r="Q17" s="617">
        <v>13</v>
      </c>
      <c r="R17" s="618" t="str">
        <f>B15</f>
        <v>Andres Veski, Svetlana Veski</v>
      </c>
      <c r="S17" s="615">
        <v>6</v>
      </c>
      <c r="T17" s="616" t="s">
        <v>363</v>
      </c>
      <c r="U17" s="617">
        <v>13</v>
      </c>
      <c r="V17" s="618" t="str">
        <f>B11</f>
        <v>Kaspar Mänd, Urmas Jõeäär</v>
      </c>
      <c r="W17" s="1115">
        <f t="shared" si="0"/>
        <v>1</v>
      </c>
      <c r="X17" s="620"/>
      <c r="Y17" s="615">
        <f t="shared" si="1"/>
        <v>29</v>
      </c>
      <c r="Z17" s="616" t="s">
        <v>363</v>
      </c>
      <c r="AA17" s="621">
        <f t="shared" si="2"/>
        <v>64</v>
      </c>
      <c r="AB17" s="622">
        <f t="shared" si="3"/>
        <v>-35</v>
      </c>
      <c r="AC17" s="404"/>
      <c r="AD17" s="405">
        <f t="shared" si="4"/>
        <v>93</v>
      </c>
      <c r="AE17" s="406">
        <f>IFERROR(INDEX(V!$R:$R,MATCH(AF17,V!$L:$L,0)),"")</f>
        <v>79</v>
      </c>
      <c r="AF17" s="407" t="str">
        <f t="shared" si="5"/>
        <v>Liidia Põllu</v>
      </c>
      <c r="AG17" s="406">
        <f>IFERROR(INDEX(V!$R:$R,MATCH(AH17,V!$L:$L,0)),"")</f>
        <v>14</v>
      </c>
      <c r="AH17" s="407" t="str">
        <f t="shared" si="6"/>
        <v>Veronika Pirk</v>
      </c>
      <c r="AI17" s="406" t="str">
        <f>IFERROR(INDEX(V!$R:$R,MATCH(AJ17,V!$L:$L,0)),"")</f>
        <v/>
      </c>
      <c r="AJ17" s="407" t="str">
        <f t="shared" si="7"/>
        <v/>
      </c>
      <c r="AK17" s="406" t="str">
        <f>IFERROR(INDEX(V!$R:$R,MATCH(AL17,V!$L:$L,0)),"")</f>
        <v/>
      </c>
      <c r="AL17" s="407" t="str">
        <f t="shared" si="8"/>
        <v/>
      </c>
      <c r="AM17" s="406" t="str">
        <f>IFERROR(INDEX(V!$R:$R,MATCH(AN17,V!$L:$L,0)),"")</f>
        <v/>
      </c>
      <c r="AN17" s="407" t="str">
        <f t="shared" si="9"/>
        <v/>
      </c>
      <c r="AO17" s="406" t="str">
        <f>IFERROR(INDEX(V!$R:$R,MATCH(AP17,V!$L:$L,0)),"")</f>
        <v/>
      </c>
      <c r="AP17" s="407" t="str">
        <f t="shared" si="10"/>
        <v/>
      </c>
    </row>
    <row r="18" spans="1:42" ht="26.25" customHeight="1" x14ac:dyDescent="0.2">
      <c r="A18" s="614">
        <v>12</v>
      </c>
      <c r="B18" s="660" t="s">
        <v>419</v>
      </c>
      <c r="C18" s="615">
        <v>7</v>
      </c>
      <c r="D18" s="616" t="s">
        <v>363</v>
      </c>
      <c r="E18" s="617">
        <v>13</v>
      </c>
      <c r="F18" s="618" t="str">
        <f>B10</f>
        <v>Andrei Grintšak, Boriss Klubov</v>
      </c>
      <c r="G18" s="615">
        <v>3</v>
      </c>
      <c r="H18" s="616" t="s">
        <v>363</v>
      </c>
      <c r="I18" s="617">
        <v>13</v>
      </c>
      <c r="J18" s="618" t="str">
        <f>B14</f>
        <v>Janek Tarto, Matti Vinni</v>
      </c>
      <c r="K18" s="615">
        <v>12</v>
      </c>
      <c r="L18" s="616" t="s">
        <v>363</v>
      </c>
      <c r="M18" s="617">
        <v>13</v>
      </c>
      <c r="N18" s="618" t="str">
        <f>B17</f>
        <v>Liidia Põllu, Veronika Pirk</v>
      </c>
      <c r="O18" s="615">
        <v>2</v>
      </c>
      <c r="P18" s="616" t="s">
        <v>363</v>
      </c>
      <c r="Q18" s="617">
        <v>13</v>
      </c>
      <c r="R18" s="618" t="str">
        <f>B13</f>
        <v>Enn Tokman, Tarmo Bombe</v>
      </c>
      <c r="S18" s="615">
        <v>8</v>
      </c>
      <c r="T18" s="616" t="s">
        <v>363</v>
      </c>
      <c r="U18" s="617">
        <v>13</v>
      </c>
      <c r="V18" s="618" t="str">
        <f>B16</f>
        <v>Aigi Orro, Kalle Orro</v>
      </c>
      <c r="W18" s="619">
        <f t="shared" si="0"/>
        <v>0</v>
      </c>
      <c r="X18" s="620"/>
      <c r="Y18" s="615">
        <f t="shared" si="1"/>
        <v>32</v>
      </c>
      <c r="Z18" s="616" t="s">
        <v>363</v>
      </c>
      <c r="AA18" s="621">
        <f t="shared" si="2"/>
        <v>65</v>
      </c>
      <c r="AB18" s="622">
        <f t="shared" si="3"/>
        <v>-33</v>
      </c>
      <c r="AC18" s="404"/>
      <c r="AD18" s="405">
        <f t="shared" si="4"/>
        <v>26</v>
      </c>
      <c r="AE18" s="406">
        <f>IFERROR(INDEX(V!$R:$R,MATCH(AF18,V!$L:$L,0)),"")</f>
        <v>5</v>
      </c>
      <c r="AF18" s="407" t="str">
        <f t="shared" si="5"/>
        <v>Lydia Skrabutenas</v>
      </c>
      <c r="AG18" s="406" t="str">
        <f>IFERROR(INDEX(V!$R:$R,MATCH(AH18,V!$L:$L,0)),"")</f>
        <v/>
      </c>
      <c r="AH18" s="407" t="str">
        <f t="shared" si="6"/>
        <v>Sander Skrabutenas, Vladimir Mihhailov</v>
      </c>
      <c r="AI18" s="406">
        <f>IFERROR(INDEX(V!$R:$R,MATCH(AJ18,V!$L:$L,0)),"")</f>
        <v>12</v>
      </c>
      <c r="AJ18" s="407" t="str">
        <f t="shared" si="7"/>
        <v>Sander Skrabutenas</v>
      </c>
      <c r="AK18" s="406">
        <f>IFERROR(INDEX(V!$R:$R,MATCH(AL18,V!$L:$L,0)),"")</f>
        <v>9</v>
      </c>
      <c r="AL18" s="407" t="str">
        <f t="shared" si="8"/>
        <v>Vladimir Mihhailov</v>
      </c>
      <c r="AM18" s="406" t="str">
        <f>IFERROR(INDEX(V!$R:$R,MATCH(AN18,V!$L:$L,0)),"")</f>
        <v/>
      </c>
      <c r="AN18" s="407" t="str">
        <f t="shared" si="9"/>
        <v/>
      </c>
      <c r="AO18" s="406" t="str">
        <f>IFERROR(INDEX(V!$R:$R,MATCH(AP18,V!$L:$L,0)),"")</f>
        <v/>
      </c>
      <c r="AP18" s="407" t="str">
        <f t="shared" si="10"/>
        <v/>
      </c>
    </row>
    <row r="20" spans="1:42" x14ac:dyDescent="0.2">
      <c r="A20" s="679" t="s">
        <v>481</v>
      </c>
    </row>
    <row r="22" spans="1:42" x14ac:dyDescent="0.2">
      <c r="A22" s="663"/>
      <c r="B22" s="663"/>
      <c r="C22" s="664">
        <v>1</v>
      </c>
      <c r="D22" s="665"/>
      <c r="E22" s="666"/>
      <c r="F22" s="667">
        <v>8</v>
      </c>
      <c r="G22" s="664">
        <v>12</v>
      </c>
      <c r="H22" s="665"/>
      <c r="I22" s="666"/>
      <c r="J22" s="667" t="s">
        <v>168</v>
      </c>
      <c r="K22" s="664" t="s">
        <v>169</v>
      </c>
      <c r="L22" s="665"/>
      <c r="M22" s="666"/>
    </row>
    <row r="23" spans="1:42" x14ac:dyDescent="0.2">
      <c r="A23" s="668">
        <v>1</v>
      </c>
      <c r="B23" s="669" t="s">
        <v>276</v>
      </c>
      <c r="C23" s="670"/>
      <c r="D23" s="671"/>
      <c r="E23" s="672"/>
      <c r="F23" s="673">
        <v>12</v>
      </c>
      <c r="G23" s="664">
        <v>13</v>
      </c>
      <c r="H23" s="674"/>
      <c r="I23" s="675"/>
      <c r="J23" s="680">
        <v>0</v>
      </c>
      <c r="K23" s="664">
        <v>2</v>
      </c>
      <c r="L23" s="674"/>
      <c r="M23" s="675"/>
      <c r="S23" s="332" t="s">
        <v>186</v>
      </c>
    </row>
    <row r="24" spans="1:42" x14ac:dyDescent="0.2">
      <c r="A24" s="668">
        <v>8</v>
      </c>
      <c r="B24" s="669" t="s">
        <v>365</v>
      </c>
      <c r="C24" s="664">
        <v>13</v>
      </c>
      <c r="D24" s="674"/>
      <c r="E24" s="675"/>
      <c r="F24" s="677"/>
      <c r="G24" s="664"/>
      <c r="H24" s="674"/>
      <c r="I24" s="675"/>
      <c r="J24" s="680" t="s">
        <v>421</v>
      </c>
      <c r="K24" s="664">
        <v>1</v>
      </c>
      <c r="L24" s="674"/>
      <c r="M24" s="675"/>
      <c r="S24" s="332" t="s">
        <v>185</v>
      </c>
    </row>
    <row r="25" spans="1:42" x14ac:dyDescent="0.2">
      <c r="A25" s="668">
        <v>12</v>
      </c>
      <c r="B25" s="678" t="s">
        <v>416</v>
      </c>
      <c r="C25" s="676">
        <v>12</v>
      </c>
      <c r="D25" s="674"/>
      <c r="E25" s="675"/>
      <c r="F25" s="673"/>
      <c r="G25" s="670"/>
      <c r="H25" s="671"/>
      <c r="I25" s="672"/>
      <c r="J25" s="680" t="s">
        <v>422</v>
      </c>
      <c r="K25" s="664">
        <v>3</v>
      </c>
      <c r="L25" s="674"/>
      <c r="M25" s="675"/>
      <c r="S25" s="332" t="s">
        <v>187</v>
      </c>
    </row>
    <row r="27" spans="1:42" x14ac:dyDescent="0.2">
      <c r="A27" s="679" t="s">
        <v>435</v>
      </c>
    </row>
    <row r="29" spans="1:42" x14ac:dyDescent="0.2">
      <c r="A29" s="663"/>
      <c r="B29" s="663"/>
      <c r="C29" s="664">
        <v>2</v>
      </c>
      <c r="D29" s="665"/>
      <c r="E29" s="666"/>
      <c r="F29" s="667">
        <v>3</v>
      </c>
      <c r="G29" s="664">
        <v>6</v>
      </c>
      <c r="H29" s="665"/>
      <c r="I29" s="666"/>
      <c r="J29" s="667" t="s">
        <v>168</v>
      </c>
      <c r="K29" s="664" t="s">
        <v>169</v>
      </c>
      <c r="L29" s="665"/>
      <c r="M29" s="666"/>
    </row>
    <row r="30" spans="1:42" x14ac:dyDescent="0.2">
      <c r="A30" s="668">
        <v>2</v>
      </c>
      <c r="B30" s="669" t="s">
        <v>272</v>
      </c>
      <c r="C30" s="670"/>
      <c r="D30" s="671"/>
      <c r="E30" s="672"/>
      <c r="F30" s="667">
        <v>13</v>
      </c>
      <c r="G30" s="676"/>
      <c r="H30" s="674"/>
      <c r="I30" s="675"/>
      <c r="J30" s="680" t="s">
        <v>421</v>
      </c>
      <c r="K30" s="664">
        <v>1</v>
      </c>
      <c r="L30" s="674"/>
      <c r="M30" s="675"/>
      <c r="S30" s="332" t="s">
        <v>188</v>
      </c>
    </row>
    <row r="31" spans="1:42" x14ac:dyDescent="0.2">
      <c r="A31" s="668">
        <v>3</v>
      </c>
      <c r="B31" s="669" t="s">
        <v>273</v>
      </c>
      <c r="C31" s="676">
        <v>11</v>
      </c>
      <c r="D31" s="674"/>
      <c r="E31" s="675"/>
      <c r="F31" s="677"/>
      <c r="G31" s="664"/>
      <c r="H31" s="674"/>
      <c r="I31" s="675"/>
      <c r="J31" s="680" t="s">
        <v>422</v>
      </c>
      <c r="K31" s="664">
        <v>3</v>
      </c>
      <c r="L31" s="674"/>
      <c r="M31" s="675"/>
      <c r="S31" s="332" t="s">
        <v>190</v>
      </c>
    </row>
    <row r="32" spans="1:42" x14ac:dyDescent="0.2">
      <c r="A32" s="668">
        <v>6</v>
      </c>
      <c r="B32" s="678" t="s">
        <v>417</v>
      </c>
      <c r="C32" s="676"/>
      <c r="D32" s="674"/>
      <c r="E32" s="675"/>
      <c r="F32" s="673"/>
      <c r="G32" s="670"/>
      <c r="H32" s="671"/>
      <c r="I32" s="672"/>
      <c r="J32" s="673">
        <v>0</v>
      </c>
      <c r="K32" s="664">
        <v>2</v>
      </c>
      <c r="L32" s="674"/>
      <c r="M32" s="675"/>
      <c r="S32" s="332" t="s">
        <v>189</v>
      </c>
    </row>
    <row r="34" spans="1:19" x14ac:dyDescent="0.2">
      <c r="A34" s="679" t="s">
        <v>437</v>
      </c>
    </row>
    <row r="36" spans="1:19" x14ac:dyDescent="0.2">
      <c r="A36" s="663"/>
      <c r="B36" s="663"/>
      <c r="C36" s="664">
        <v>5</v>
      </c>
      <c r="D36" s="665"/>
      <c r="E36" s="665"/>
      <c r="F36" s="667">
        <v>7</v>
      </c>
      <c r="G36" s="665">
        <v>9</v>
      </c>
      <c r="H36" s="665"/>
      <c r="I36" s="665"/>
      <c r="J36" s="667">
        <v>4</v>
      </c>
      <c r="K36" s="681" t="s">
        <v>168</v>
      </c>
      <c r="L36" s="684"/>
      <c r="M36" s="666"/>
      <c r="N36" s="667" t="s">
        <v>168</v>
      </c>
      <c r="O36" s="668" t="s">
        <v>169</v>
      </c>
      <c r="P36" s="661"/>
      <c r="Q36" s="662"/>
    </row>
    <row r="37" spans="1:19" x14ac:dyDescent="0.2">
      <c r="A37" s="668">
        <v>5</v>
      </c>
      <c r="B37" s="669" t="s">
        <v>418</v>
      </c>
      <c r="C37" s="670"/>
      <c r="D37" s="671"/>
      <c r="E37" s="671"/>
      <c r="F37" s="667"/>
      <c r="G37" s="674"/>
      <c r="H37" s="674"/>
      <c r="I37" s="674"/>
      <c r="J37" s="667">
        <v>13</v>
      </c>
      <c r="K37" s="674">
        <v>1</v>
      </c>
      <c r="L37" s="674"/>
      <c r="M37" s="675"/>
      <c r="N37" s="673">
        <v>0</v>
      </c>
      <c r="O37" s="681">
        <v>2</v>
      </c>
      <c r="P37" s="661"/>
      <c r="Q37" s="662"/>
      <c r="S37" s="332" t="s">
        <v>202</v>
      </c>
    </row>
    <row r="38" spans="1:19" x14ac:dyDescent="0.2">
      <c r="A38" s="668">
        <v>7</v>
      </c>
      <c r="B38" s="669" t="s">
        <v>280</v>
      </c>
      <c r="C38" s="676"/>
      <c r="D38" s="674"/>
      <c r="E38" s="674"/>
      <c r="F38" s="677"/>
      <c r="G38" s="665">
        <v>13</v>
      </c>
      <c r="H38" s="674"/>
      <c r="I38" s="674"/>
      <c r="J38" s="673"/>
      <c r="K38" s="674">
        <v>1</v>
      </c>
      <c r="L38" s="674"/>
      <c r="M38" s="675"/>
      <c r="N38" s="680" t="s">
        <v>421</v>
      </c>
      <c r="O38" s="681">
        <v>1</v>
      </c>
      <c r="P38" s="661"/>
      <c r="Q38" s="662"/>
      <c r="S38" s="332" t="s">
        <v>201</v>
      </c>
    </row>
    <row r="39" spans="1:19" x14ac:dyDescent="0.2">
      <c r="A39" s="668">
        <v>9</v>
      </c>
      <c r="B39" s="678" t="s">
        <v>283</v>
      </c>
      <c r="C39" s="676"/>
      <c r="D39" s="674"/>
      <c r="E39" s="674"/>
      <c r="F39" s="673">
        <v>12</v>
      </c>
      <c r="G39" s="671"/>
      <c r="H39" s="671"/>
      <c r="I39" s="671"/>
      <c r="J39" s="667">
        <v>13</v>
      </c>
      <c r="K39" s="674">
        <v>1</v>
      </c>
      <c r="L39" s="674"/>
      <c r="M39" s="675"/>
      <c r="N39" s="680" t="s">
        <v>422</v>
      </c>
      <c r="O39" s="681">
        <v>3</v>
      </c>
      <c r="P39" s="661"/>
      <c r="Q39" s="662"/>
      <c r="S39" s="332" t="s">
        <v>207</v>
      </c>
    </row>
    <row r="40" spans="1:19" x14ac:dyDescent="0.2">
      <c r="A40" s="668">
        <v>4</v>
      </c>
      <c r="B40" s="663" t="s">
        <v>313</v>
      </c>
      <c r="C40" s="676">
        <v>12</v>
      </c>
      <c r="D40" s="674"/>
      <c r="E40" s="674"/>
      <c r="F40" s="663"/>
      <c r="G40" s="674">
        <v>4</v>
      </c>
      <c r="H40" s="674"/>
      <c r="I40" s="674"/>
      <c r="J40" s="677"/>
      <c r="K40" s="674">
        <v>0</v>
      </c>
      <c r="L40" s="674"/>
      <c r="M40" s="675"/>
      <c r="N40" s="667"/>
      <c r="O40" s="681">
        <v>4</v>
      </c>
      <c r="P40" s="661"/>
      <c r="Q40" s="662"/>
      <c r="S40" s="332" t="s">
        <v>209</v>
      </c>
    </row>
    <row r="41" spans="1:19" hidden="1" x14ac:dyDescent="0.2"/>
    <row r="42" spans="1:19" hidden="1" x14ac:dyDescent="0.2"/>
    <row r="43" spans="1:19" hidden="1" x14ac:dyDescent="0.2"/>
    <row r="44" spans="1:19" hidden="1" x14ac:dyDescent="0.2"/>
    <row r="45" spans="1:19" hidden="1" x14ac:dyDescent="0.2"/>
    <row r="46" spans="1:19" hidden="1" x14ac:dyDescent="0.2">
      <c r="F46" s="658"/>
    </row>
    <row r="47" spans="1:19" hidden="1" x14ac:dyDescent="0.2"/>
    <row r="48" spans="1:19"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3" hidden="1" x14ac:dyDescent="0.2"/>
    <row r="290" spans="1:3" hidden="1" x14ac:dyDescent="0.2"/>
    <row r="291" spans="1:3" hidden="1" x14ac:dyDescent="0.2"/>
    <row r="292" spans="1:3" hidden="1" x14ac:dyDescent="0.2"/>
    <row r="293" spans="1:3" hidden="1" x14ac:dyDescent="0.2"/>
    <row r="294" spans="1:3" hidden="1" x14ac:dyDescent="0.2"/>
    <row r="295" spans="1:3" hidden="1" x14ac:dyDescent="0.2"/>
    <row r="296" spans="1:3" hidden="1" x14ac:dyDescent="0.2"/>
    <row r="297" spans="1:3" hidden="1" x14ac:dyDescent="0.2"/>
    <row r="298" spans="1:3" hidden="1" x14ac:dyDescent="0.2"/>
    <row r="299" spans="1:3" x14ac:dyDescent="0.2">
      <c r="A299" s="271"/>
      <c r="B299" s="271"/>
      <c r="C299" s="401"/>
    </row>
    <row r="300" spans="1:3" x14ac:dyDescent="0.2">
      <c r="A300" s="530">
        <v>1</v>
      </c>
      <c r="B300" s="625" t="str">
        <f>IFERROR(INDEX(B$1:B$100,MATCH(A300,A$1:A$100,0)),"")</f>
        <v>Alari Keedus, Ülo Piik</v>
      </c>
      <c r="C300" s="499"/>
    </row>
    <row r="301" spans="1:3" x14ac:dyDescent="0.2">
      <c r="A301" s="530">
        <v>2</v>
      </c>
      <c r="B301" s="625" t="str">
        <f t="shared" ref="B301:B311" si="11">IFERROR(INDEX(B$1:B$100,MATCH(A301,A$1:A$100,0)),"")</f>
        <v>Jaan Sepp, Oskar Sepp</v>
      </c>
      <c r="C301" s="499"/>
    </row>
    <row r="302" spans="1:3" x14ac:dyDescent="0.2">
      <c r="A302" s="530">
        <v>3</v>
      </c>
      <c r="B302" s="625" t="str">
        <f t="shared" si="11"/>
        <v>Ivar Viljaste, Kristo Viljaste</v>
      </c>
      <c r="C302" s="499"/>
    </row>
    <row r="303" spans="1:3" x14ac:dyDescent="0.2">
      <c r="A303" s="530">
        <v>4</v>
      </c>
      <c r="B303" s="625" t="str">
        <f t="shared" si="11"/>
        <v>Andrei Grintšak, Boriss Klubov</v>
      </c>
      <c r="C303" s="499"/>
    </row>
    <row r="304" spans="1:3" x14ac:dyDescent="0.2">
      <c r="A304" s="530">
        <v>5</v>
      </c>
      <c r="B304" s="625" t="str">
        <f t="shared" si="11"/>
        <v>Kaspar Mänd, Urmas Jõeäär</v>
      </c>
      <c r="C304" s="499"/>
    </row>
    <row r="305" spans="1:3" x14ac:dyDescent="0.2">
      <c r="A305" s="530">
        <v>6</v>
      </c>
      <c r="B305" s="625" t="str">
        <f t="shared" si="11"/>
        <v>Elmo Lageda, Tõnu Piik</v>
      </c>
      <c r="C305" s="499"/>
    </row>
    <row r="306" spans="1:3" x14ac:dyDescent="0.2">
      <c r="A306" s="530">
        <v>7</v>
      </c>
      <c r="B306" s="625" t="str">
        <f t="shared" si="11"/>
        <v>Enn Tokman, Tarmo Bombe</v>
      </c>
      <c r="C306" s="499"/>
    </row>
    <row r="307" spans="1:3" x14ac:dyDescent="0.2">
      <c r="A307" s="530">
        <v>8</v>
      </c>
      <c r="B307" s="625" t="str">
        <f t="shared" si="11"/>
        <v>Janek Tarto, Matti Vinni</v>
      </c>
      <c r="C307" s="499"/>
    </row>
    <row r="308" spans="1:3" x14ac:dyDescent="0.2">
      <c r="A308" s="530">
        <v>9</v>
      </c>
      <c r="B308" s="625" t="str">
        <f t="shared" si="11"/>
        <v>Andres Veski, Svetlana Veski</v>
      </c>
      <c r="C308" s="499"/>
    </row>
    <row r="309" spans="1:3" x14ac:dyDescent="0.2">
      <c r="A309" s="530">
        <v>10</v>
      </c>
      <c r="B309" s="625" t="str">
        <f t="shared" si="11"/>
        <v>Aigi Orro, Kalle Orro</v>
      </c>
      <c r="C309" s="499"/>
    </row>
    <row r="310" spans="1:3" x14ac:dyDescent="0.2">
      <c r="A310" s="530">
        <v>11</v>
      </c>
      <c r="B310" s="625" t="str">
        <f t="shared" si="11"/>
        <v>Liidia Põllu, Veronika Pirk</v>
      </c>
      <c r="C310" s="499"/>
    </row>
    <row r="311" spans="1:3" ht="25.5" x14ac:dyDescent="0.2">
      <c r="A311" s="530">
        <v>12</v>
      </c>
      <c r="B311" s="625" t="str">
        <f t="shared" si="11"/>
        <v>Lydia Skrabutenas, Sander Skrabutenas, Vladimir Mihhailov</v>
      </c>
      <c r="C311" s="499"/>
    </row>
  </sheetData>
  <conditionalFormatting sqref="B300:B311">
    <cfRule type="expression" dxfId="3329" priority="48">
      <formula>A300=3</formula>
    </cfRule>
    <cfRule type="expression" dxfId="3328" priority="49">
      <formula>A300=2</formula>
    </cfRule>
    <cfRule type="expression" dxfId="3327" priority="50">
      <formula>A300=1</formula>
    </cfRule>
    <cfRule type="containsBlanks" dxfId="3326" priority="51">
      <formula>LEN(TRIM(B300))=0</formula>
    </cfRule>
    <cfRule type="duplicateValues" dxfId="3325" priority="52"/>
  </conditionalFormatting>
  <conditionalFormatting sqref="C7:C18 G7:G18 K7:K18 O7:O18 S7:S18">
    <cfRule type="expression" dxfId="3324" priority="12">
      <formula>AND(C7=0,E7=13)</formula>
    </cfRule>
  </conditionalFormatting>
  <conditionalFormatting sqref="C7:C18">
    <cfRule type="expression" dxfId="3323" priority="26">
      <formula>IF($C7&gt;$E7,TRUE)</formula>
    </cfRule>
  </conditionalFormatting>
  <conditionalFormatting sqref="E7:E18">
    <cfRule type="expression" dxfId="3322" priority="27">
      <formula>IF($C7&lt;$E7,TRUE)</formula>
    </cfRule>
  </conditionalFormatting>
  <conditionalFormatting sqref="K7:K18">
    <cfRule type="expression" dxfId="3321" priority="34">
      <formula>IF($K7&gt;$M7,TRUE)</formula>
    </cfRule>
  </conditionalFormatting>
  <conditionalFormatting sqref="M7:M18">
    <cfRule type="expression" dxfId="3320" priority="35">
      <formula>IF($K7&lt;$M7,TRUE)</formula>
    </cfRule>
  </conditionalFormatting>
  <conditionalFormatting sqref="O7:O18">
    <cfRule type="expression" dxfId="3319" priority="38">
      <formula>IF($O7&gt;$Q7,TRUE)</formula>
    </cfRule>
  </conditionalFormatting>
  <conditionalFormatting sqref="Q7:Q18">
    <cfRule type="expression" dxfId="3318" priority="39">
      <formula>IF($O7&lt;$Q7,TRUE)</formula>
    </cfRule>
  </conditionalFormatting>
  <conditionalFormatting sqref="S7:S18">
    <cfRule type="expression" dxfId="3317" priority="42">
      <formula>IF($S7&gt;$U7,TRUE)</formula>
    </cfRule>
  </conditionalFormatting>
  <conditionalFormatting sqref="U7:U18">
    <cfRule type="expression" dxfId="3316" priority="43">
      <formula>IF($S7&lt;$U7,TRUE)</formula>
    </cfRule>
  </conditionalFormatting>
  <conditionalFormatting sqref="G7:G18">
    <cfRule type="expression" dxfId="3315" priority="30">
      <formula>IF($G7&gt;$I7,TRUE)</formula>
    </cfRule>
  </conditionalFormatting>
  <conditionalFormatting sqref="I7:I18">
    <cfRule type="expression" dxfId="3314" priority="31">
      <formula>IF($G7&lt;$I7,TRUE)</formula>
    </cfRule>
  </conditionalFormatting>
  <conditionalFormatting sqref="F7:F18">
    <cfRule type="containsText" dxfId="3313" priority="17" operator="containsText" text="vaba voor">
      <formula>NOT(ISERROR(SEARCH("vaba voor",F7)))</formula>
    </cfRule>
  </conditionalFormatting>
  <conditionalFormatting sqref="N7:N18">
    <cfRule type="containsText" dxfId="3312" priority="15" operator="containsText" text="vaba voor">
      <formula>NOT(ISERROR(SEARCH("vaba voor",N7)))</formula>
    </cfRule>
  </conditionalFormatting>
  <conditionalFormatting sqref="R7:R18">
    <cfRule type="containsText" dxfId="3311" priority="18" operator="containsText" text="vaba voor">
      <formula>NOT(ISERROR(SEARCH("vaba voor",R7)))</formula>
    </cfRule>
  </conditionalFormatting>
  <conditionalFormatting sqref="V7:V18">
    <cfRule type="containsText" dxfId="3310" priority="14" operator="containsText" text="vaba voor">
      <formula>NOT(ISERROR(SEARCH("vaba voor",V7)))</formula>
    </cfRule>
  </conditionalFormatting>
  <conditionalFormatting sqref="J7:J18">
    <cfRule type="containsText" dxfId="3309" priority="16" operator="containsText" text="vaba voor">
      <formula>NOT(ISERROR(SEARCH("vaba voor",J7)))</formula>
    </cfRule>
  </conditionalFormatting>
  <conditionalFormatting sqref="C7:F18">
    <cfRule type="expression" dxfId="3308" priority="22">
      <formula>IF(AND(ISNUMBER($C7),$C7=$E7),TRUE)</formula>
    </cfRule>
    <cfRule type="expression" dxfId="3307" priority="24">
      <formula>IF($C7&gt;$E7,TRUE)</formula>
    </cfRule>
    <cfRule type="expression" dxfId="3306" priority="25">
      <formula>IF($C7&lt;$E7,TRUE)</formula>
    </cfRule>
  </conditionalFormatting>
  <conditionalFormatting sqref="G7:J18">
    <cfRule type="expression" dxfId="3305" priority="23">
      <formula>IF(AND(ISNUMBER($G7),$G7=$I7),TRUE)</formula>
    </cfRule>
    <cfRule type="expression" dxfId="3304" priority="28">
      <formula>IF($G7&gt;$I7,TRUE)</formula>
    </cfRule>
    <cfRule type="expression" dxfId="3303" priority="29">
      <formula>IF($G7&lt;$I7,TRUE)</formula>
    </cfRule>
  </conditionalFormatting>
  <conditionalFormatting sqref="K7:N18">
    <cfRule type="expression" dxfId="3302" priority="21">
      <formula>IF(AND(ISNUMBER($K7),$K7=$M7),TRUE)</formula>
    </cfRule>
    <cfRule type="expression" dxfId="3301" priority="32">
      <formula>IF($K7&gt;$M7,TRUE)</formula>
    </cfRule>
    <cfRule type="expression" dxfId="3300" priority="33">
      <formula>IF($K7&lt;$M7,TRUE)</formula>
    </cfRule>
  </conditionalFormatting>
  <conditionalFormatting sqref="O7:R18">
    <cfRule type="expression" dxfId="3299" priority="20">
      <formula>IF(AND(ISNUMBER($O7),$O7=$Q7),TRUE)</formula>
    </cfRule>
    <cfRule type="expression" dxfId="3298" priority="36">
      <formula>IF($O7&gt;$Q7,TRUE)</formula>
    </cfRule>
    <cfRule type="expression" dxfId="3297" priority="37">
      <formula>IF($O7&lt;$Q7,TRUE)</formula>
    </cfRule>
  </conditionalFormatting>
  <conditionalFormatting sqref="S7:V18">
    <cfRule type="expression" dxfId="3296" priority="19">
      <formula>IF(AND(ISNUMBER($S7),$S7=$U7),TRUE)</formula>
    </cfRule>
    <cfRule type="expression" dxfId="3295" priority="40">
      <formula>IF($S7&gt;$U7,TRUE)</formula>
    </cfRule>
    <cfRule type="expression" dxfId="3294" priority="41">
      <formula>IF($S7&lt;$U7,TRUE)</formula>
    </cfRule>
  </conditionalFormatting>
  <conditionalFormatting sqref="E7:E18 I7:I18 M7:M18 Q7:Q18 U7:U18">
    <cfRule type="expression" dxfId="3293" priority="13">
      <formula>AND(E7=0,C7=13)</formula>
    </cfRule>
  </conditionalFormatting>
  <conditionalFormatting sqref="A7:A18">
    <cfRule type="duplicateValues" dxfId="3292" priority="44"/>
  </conditionalFormatting>
  <conditionalFormatting sqref="AJ7:AJ18">
    <cfRule type="expression" dxfId="3291" priority="5">
      <formula>AND(AI7="",FIND(",",AJ7))</formula>
    </cfRule>
    <cfRule type="expression" dxfId="3290" priority="7">
      <formula>AND(AI7="",COUNTIF(AJ7,"*,*")=0)</formula>
    </cfRule>
  </conditionalFormatting>
  <conditionalFormatting sqref="AH7:AH18">
    <cfRule type="expression" dxfId="3289" priority="8">
      <formula>AND(AG7="",FIND(",",AH7))</formula>
    </cfRule>
    <cfRule type="expression" dxfId="3288" priority="9">
      <formula>AND(AG7="",COUNTIF(AH7,"*,*")=0)</formula>
    </cfRule>
  </conditionalFormatting>
  <conditionalFormatting sqref="AL7:AL18">
    <cfRule type="expression" dxfId="3287" priority="10">
      <formula>AND(AK7="",FIND(",",AL7))</formula>
    </cfRule>
    <cfRule type="expression" dxfId="3286" priority="11">
      <formula>AND(AK7="",COUNTIF(AL7,"*,*")=0)</formula>
    </cfRule>
  </conditionalFormatting>
  <conditionalFormatting sqref="AF7:AF18">
    <cfRule type="expression" dxfId="3285" priority="6">
      <formula>AND(AE7="",COUNTIF(AF7,"*,*")=0)</formula>
    </cfRule>
  </conditionalFormatting>
  <conditionalFormatting sqref="AN7:AN18">
    <cfRule type="expression" dxfId="3284" priority="2">
      <formula>AND(AM7="",COUNTIF(AN7,"*,*")=0)</formula>
    </cfRule>
    <cfRule type="expression" dxfId="3283" priority="4">
      <formula>AND(AM7="",FIND(",",AN7))</formula>
    </cfRule>
  </conditionalFormatting>
  <conditionalFormatting sqref="AP7:AP18">
    <cfRule type="expression" dxfId="3282" priority="1">
      <formula>AND(AO7="",COUNTIF(AP7,"*,*")=0)</formula>
    </cfRule>
    <cfRule type="expression" dxfId="3281" priority="3">
      <formula>AND(AO7="",FIND(",",AP7))</formula>
    </cfRule>
  </conditionalFormatting>
  <pageMargins left="0.78740157480314965" right="0.39370078740157483" top="0.78740157480314965" bottom="0.39370078740157483" header="0.78740157480314965" footer="0"/>
  <pageSetup paperSize="9" fitToHeight="0" orientation="landscape" verticalDpi="1200" r:id="rId1"/>
  <headerFooter>
    <oddHeader>&amp;R&amp;P. leht &amp;N&amp; -st</oddHeader>
  </headerFooter>
  <rowBreaks count="1" manualBreakCount="1">
    <brk id="297"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P314"/>
  <sheetViews>
    <sheetView showGridLines="0" showRowColHeaders="0" workbookViewId="0">
      <pane ySplit="1" topLeftCell="A2" activePane="bottomLeft" state="frozen"/>
      <selection pane="bottomLeft" activeCell="A5" sqref="A5"/>
    </sheetView>
  </sheetViews>
  <sheetFormatPr defaultRowHeight="12.75" x14ac:dyDescent="0.2"/>
  <cols>
    <col min="1" max="1" width="3.28515625" style="1" customWidth="1"/>
    <col min="2" max="2" width="43.85546875" style="1" bestFit="1" customWidth="1"/>
    <col min="3" max="7" width="7.7109375" style="1" customWidth="1"/>
    <col min="8" max="9" width="6.7109375" style="1" customWidth="1"/>
    <col min="10" max="15" width="5.5703125" style="1" customWidth="1"/>
    <col min="16" max="20" width="0" style="1" hidden="1" customWidth="1"/>
    <col min="21" max="21" width="9.140625" style="1"/>
    <col min="22" max="28" width="0" style="1" hidden="1" customWidth="1"/>
    <col min="29" max="29" width="9.140625" style="1"/>
    <col min="30" max="31" width="9.140625" style="1" hidden="1" customWidth="1"/>
    <col min="32" max="32" width="18.28515625" style="1" hidden="1" customWidth="1"/>
    <col min="33" max="33" width="9.140625" style="1" hidden="1" customWidth="1"/>
    <col min="34" max="34" width="31.28515625" style="1" hidden="1" customWidth="1"/>
    <col min="35" max="35" width="9.140625" style="1" hidden="1" customWidth="1"/>
    <col min="36" max="36" width="17.28515625" style="1" hidden="1" customWidth="1"/>
    <col min="37" max="37" width="9.140625" style="1" hidden="1" customWidth="1"/>
    <col min="38" max="38" width="15.140625" style="1" hidden="1" customWidth="1"/>
    <col min="39" max="39" width="9.140625" style="1" hidden="1" customWidth="1"/>
    <col min="40" max="40" width="17.28515625" style="1" hidden="1" customWidth="1"/>
    <col min="41" max="41" width="9.140625" style="1" hidden="1" customWidth="1"/>
    <col min="42" max="42" width="13.85546875" style="1" hidden="1" customWidth="1"/>
    <col min="43" max="16384" width="9.140625" style="1"/>
  </cols>
  <sheetData>
    <row r="1" spans="1:42" x14ac:dyDescent="0.2">
      <c r="A1" s="400" t="str">
        <f>UPPER((Kalend!E15)&amp;" - "&amp;(Kalend!C15))&amp;" - "&amp;LOWER(Kalend!D15)&amp;" - "&amp;(Kalend!A15)&amp;" kell "&amp;(Kalend!B15)&amp;" - "&amp;(Kalend!F15)</f>
        <v>V-SE - AASTALÕPU "SEENETURNIIR" - duo - P, 29.12.2019 kell 11:00 - Voka petangihall</v>
      </c>
      <c r="C1" s="477"/>
      <c r="D1" s="477"/>
      <c r="E1" s="477"/>
      <c r="F1" s="477"/>
      <c r="G1" s="477"/>
      <c r="H1" s="477"/>
      <c r="I1" s="477"/>
      <c r="J1" s="477"/>
      <c r="K1" s="477"/>
      <c r="L1" s="477"/>
      <c r="M1" s="477"/>
      <c r="N1" s="477"/>
      <c r="P1" s="447" t="s">
        <v>94</v>
      </c>
      <c r="Q1" s="448"/>
      <c r="R1" s="448"/>
      <c r="S1" s="448"/>
      <c r="T1" s="448"/>
      <c r="U1" s="70"/>
      <c r="V1" s="70"/>
      <c r="W1" s="271"/>
      <c r="X1" s="291"/>
      <c r="Y1" s="271"/>
      <c r="Z1" s="271"/>
      <c r="AA1" s="271"/>
      <c r="AD1" s="152" t="s">
        <v>94</v>
      </c>
      <c r="AE1" s="402"/>
      <c r="AF1" s="402"/>
      <c r="AG1" s="402"/>
      <c r="AH1" s="402"/>
      <c r="AI1" s="402"/>
      <c r="AJ1" s="402"/>
      <c r="AK1" s="402"/>
      <c r="AL1" s="402"/>
      <c r="AM1" s="402"/>
      <c r="AN1" s="402"/>
      <c r="AO1" s="532"/>
      <c r="AP1" s="532"/>
    </row>
    <row r="2" spans="1:42" hidden="1" x14ac:dyDescent="0.2">
      <c r="A2" s="477"/>
      <c r="C2" s="477"/>
      <c r="D2" s="477"/>
      <c r="E2" s="477"/>
      <c r="F2" s="477"/>
      <c r="G2" s="477"/>
      <c r="H2" s="477"/>
      <c r="I2" s="477"/>
      <c r="J2" s="477"/>
      <c r="K2" s="477"/>
      <c r="L2" s="477"/>
      <c r="M2" s="477"/>
      <c r="N2" s="477"/>
      <c r="O2" s="271"/>
      <c r="P2" s="271"/>
      <c r="Q2" s="271"/>
      <c r="R2" s="271"/>
      <c r="S2" s="271"/>
      <c r="T2" s="409"/>
      <c r="U2" s="409"/>
      <c r="V2" s="409"/>
      <c r="W2" s="271"/>
      <c r="X2" s="271"/>
      <c r="Y2" s="271"/>
      <c r="Z2" s="271"/>
      <c r="AD2" s="271"/>
      <c r="AE2" s="271"/>
      <c r="AF2" s="271"/>
      <c r="AG2" s="271"/>
      <c r="AH2" s="271"/>
      <c r="AI2" s="271"/>
      <c r="AJ2" s="412"/>
      <c r="AK2" s="271"/>
      <c r="AL2" s="271"/>
      <c r="AM2" s="271"/>
      <c r="AN2" s="271"/>
    </row>
    <row r="3" spans="1:42" hidden="1" x14ac:dyDescent="0.2">
      <c r="A3" s="477"/>
      <c r="C3" s="477"/>
      <c r="D3" s="477"/>
      <c r="E3" s="477"/>
      <c r="F3" s="477"/>
      <c r="G3" s="477"/>
      <c r="H3" s="477"/>
      <c r="I3" s="477"/>
      <c r="J3" s="477"/>
      <c r="K3" s="477"/>
      <c r="L3" s="477"/>
      <c r="M3" s="477"/>
      <c r="N3" s="477"/>
      <c r="O3" s="271"/>
      <c r="P3" s="271"/>
      <c r="Q3" s="271"/>
      <c r="R3" s="271"/>
      <c r="S3" s="271"/>
      <c r="T3" s="409"/>
      <c r="U3" s="409"/>
      <c r="V3" s="409"/>
      <c r="W3" s="271"/>
      <c r="X3" s="271"/>
      <c r="Y3" s="271"/>
      <c r="Z3" s="271"/>
      <c r="AA3" s="271"/>
      <c r="AE3" s="271"/>
      <c r="AG3" s="271"/>
      <c r="AH3" s="271"/>
      <c r="AI3" s="271"/>
      <c r="AJ3" s="271"/>
      <c r="AK3" s="271"/>
      <c r="AL3" s="271"/>
      <c r="AM3" s="271"/>
      <c r="AN3" s="271"/>
    </row>
    <row r="4" spans="1:42" hidden="1" x14ac:dyDescent="0.2">
      <c r="A4" s="477"/>
      <c r="C4" s="477"/>
      <c r="D4" s="477"/>
      <c r="E4" s="477"/>
      <c r="F4" s="477"/>
      <c r="G4" s="477"/>
      <c r="H4" s="477"/>
      <c r="I4" s="477"/>
      <c r="J4" s="477"/>
      <c r="K4" s="477"/>
      <c r="L4" s="477"/>
      <c r="M4" s="477"/>
      <c r="N4" s="477"/>
      <c r="O4" s="271"/>
      <c r="P4" s="271"/>
      <c r="Q4" s="271"/>
      <c r="R4" s="271"/>
      <c r="S4" s="271"/>
      <c r="T4" s="271"/>
      <c r="U4" s="271"/>
      <c r="V4" s="271"/>
      <c r="W4" s="271"/>
      <c r="X4" s="271"/>
      <c r="Y4" s="271"/>
      <c r="Z4" s="271"/>
      <c r="AA4" s="271"/>
      <c r="AE4" s="409"/>
      <c r="AF4" s="409"/>
      <c r="AG4" s="409"/>
      <c r="AH4" s="376"/>
      <c r="AI4" s="409"/>
      <c r="AJ4" s="409"/>
      <c r="AK4" s="409"/>
      <c r="AL4" s="409"/>
      <c r="AM4" s="409"/>
      <c r="AN4" s="409"/>
      <c r="AO4" s="409"/>
      <c r="AP4" s="409"/>
    </row>
    <row r="5" spans="1:42" x14ac:dyDescent="0.2">
      <c r="F5" s="271"/>
      <c r="G5" s="53"/>
      <c r="H5" s="53"/>
      <c r="I5" s="53"/>
      <c r="J5" s="53"/>
      <c r="K5" s="53"/>
      <c r="L5" s="312"/>
      <c r="M5" s="271"/>
      <c r="N5" s="967" t="s">
        <v>476</v>
      </c>
      <c r="P5" s="271"/>
      <c r="Q5" s="271"/>
      <c r="R5" s="271"/>
      <c r="S5" s="271"/>
      <c r="T5" s="271"/>
      <c r="U5" s="271"/>
      <c r="V5" s="271"/>
      <c r="W5" s="271"/>
      <c r="X5" s="271"/>
      <c r="Y5" s="271"/>
      <c r="Z5" s="271"/>
      <c r="AA5" s="271"/>
      <c r="AC5" s="271"/>
      <c r="AD5" s="964" t="s">
        <v>214</v>
      </c>
    </row>
    <row r="6" spans="1:42" x14ac:dyDescent="0.2">
      <c r="A6" s="316" t="s">
        <v>0</v>
      </c>
      <c r="B6" s="466"/>
      <c r="C6" s="467">
        <v>1</v>
      </c>
      <c r="D6" s="467">
        <v>2</v>
      </c>
      <c r="E6" s="467">
        <v>3</v>
      </c>
      <c r="F6" s="467"/>
      <c r="G6" s="467"/>
      <c r="H6" s="467" t="s">
        <v>168</v>
      </c>
      <c r="I6" s="275" t="s">
        <v>169</v>
      </c>
      <c r="J6" s="469" t="s">
        <v>257</v>
      </c>
      <c r="K6" s="470" t="s">
        <v>258</v>
      </c>
      <c r="L6" s="471" t="s">
        <v>259</v>
      </c>
      <c r="M6" s="471" t="s">
        <v>260</v>
      </c>
      <c r="N6" s="472" t="s">
        <v>170</v>
      </c>
      <c r="O6" s="472" t="s">
        <v>170</v>
      </c>
      <c r="P6" s="473" t="s">
        <v>261</v>
      </c>
      <c r="Q6" s="474" t="s">
        <v>21</v>
      </c>
      <c r="R6" s="474" t="b">
        <f>OR(AND(COUNTA(B7:B11)=3,COUNTA(C7:G11)=6),AND(COUNTA(B7:B11)=4,COUNTA(C7:G11)=12),AND(COUNTA(B7:B11)=5,COUNTA(C7:G11)=20))</f>
        <v>1</v>
      </c>
      <c r="S6" s="475" t="s">
        <v>262</v>
      </c>
      <c r="T6" s="476" t="s">
        <v>263</v>
      </c>
      <c r="U6" s="477"/>
      <c r="V6" s="477"/>
      <c r="W6" s="477"/>
      <c r="X6" s="477"/>
      <c r="Y6" s="477"/>
      <c r="Z6" s="477"/>
      <c r="AA6" s="477"/>
      <c r="AB6" s="477"/>
      <c r="AC6" s="478"/>
      <c r="AD6" s="272" t="s">
        <v>370</v>
      </c>
      <c r="AE6" s="273"/>
      <c r="AF6" s="273" t="s">
        <v>249</v>
      </c>
      <c r="AG6" s="273"/>
      <c r="AH6" s="403" t="s">
        <v>250</v>
      </c>
      <c r="AI6" s="273"/>
      <c r="AJ6" s="273" t="s">
        <v>251</v>
      </c>
      <c r="AK6" s="274"/>
      <c r="AL6" s="273" t="s">
        <v>252</v>
      </c>
      <c r="AM6" s="274"/>
      <c r="AN6" s="274" t="s">
        <v>472</v>
      </c>
      <c r="AO6" s="945"/>
      <c r="AP6" s="274" t="s">
        <v>473</v>
      </c>
    </row>
    <row r="7" spans="1:42" x14ac:dyDescent="0.2">
      <c r="A7" s="316">
        <v>1</v>
      </c>
      <c r="B7" s="479" t="s">
        <v>276</v>
      </c>
      <c r="C7" s="319"/>
      <c r="D7" s="318">
        <v>13</v>
      </c>
      <c r="E7" s="318">
        <v>13</v>
      </c>
      <c r="F7" s="318"/>
      <c r="G7" s="318"/>
      <c r="H7" s="317" t="str">
        <f>(IF(D7-C8&gt;0,1)+IF(E7-C9&gt;0,1)+IF(F7-C10&gt;0,1)+IF(G7-C11&gt;0,1))&amp;"-"&amp;(IF(D7-C8&lt;0,1)+IF(E7-C9&lt;0,1)+IF(F7-C10&lt;0,1)+IF(G7-C11&lt;0,1))</f>
        <v>2-0</v>
      </c>
      <c r="I7" s="318" t="str">
        <f>IF(AND(B7&lt;&gt;"",R$6=TRUE),A$6&amp;RANK(S7,S$7:S$11,0)," ")</f>
        <v>A1</v>
      </c>
      <c r="J7" s="480">
        <f>IF(AND(Q7=1,Q8=1,D7&gt;C8),1)+IF(AND(Q7=1,Q9=1,E7&gt;C9),1)+IF(AND(Q7=1,Q10=1,F7&gt;C10),1)+IF(AND(Q7=1,Q11=1,G7&gt;C11),1)+IF(AND(Q7=2,Q8=2,D7&gt;C8),1)+IF(AND(Q7=2,Q9=2,E7&gt;C9),1)+IF(AND(Q7=2,Q10=2,F7&gt;C10),1)+IF(AND(Q7=2,Q11=2,G7&gt;C11),1)+IF(AND(Q7=3,Q8=3,D7&gt;C8),1)+IF(AND(Q7=3,Q9=3,E7&gt;C9),1)+IF(AND(Q7=3,Q10=3,F7&gt;C10),1)+IF(AND(Q7=3,Q11=3,G7&gt;C11),1)</f>
        <v>0</v>
      </c>
      <c r="K7" s="481">
        <f>SUM(AND(T7=T8,D7&gt;C8),AND(T7=T9,E7&gt;C9),AND(T7=T10,F7&gt;C10),AND(T7=T11,G7&gt;C11))</f>
        <v>0</v>
      </c>
      <c r="L7" s="482">
        <f>IF(AND(Q7=1,Q8=1),D7-C8)+IF(AND(Q7=1,Q9=1),E7-C9)+IF(AND(Q7=1,Q10=1),F7-C10)+IF(AND(Q7=1,Q11=1),G7-C11)+IF(AND(Q7=2,Q8=2),D7-C8)+IF(AND(Q7=2,Q9=2),E7-C9)+IF(AND(Q7=2,Q10=2),F7-C10)+IF(AND(Q7=2,Q11=2),G7-C11)+IF(AND(Q7=3,Q8=3),D7-C8)+IF(AND(Q7=3,Q9=3),E7-C9)+IF(AND(Q7=3,Q10=3),F7-C10)+IF(AND(Q7=3,Q11=3),G7-C11)+IF(AND(Q7=4,Q8=4),D7-C8)+IF(AND(Q7=4,Q9=4),E7-C9)+IF(AND(Q7=4,Q10=4),F7-C10)+IF(AND(Q7=4,Q11=4),G7-C11)</f>
        <v>0</v>
      </c>
      <c r="M7" s="483">
        <f>SUM(AND(R7=R8,D7&gt;C8),AND(R7=R9,E7&gt;C9),AND(R7=R10,F7&gt;C10),AND(R7=R11,G7&gt;C11))</f>
        <v>0</v>
      </c>
      <c r="N7" s="537" t="str">
        <f>SUM(C7:G7)&amp;"-"&amp;SUM(C7:C11)</f>
        <v>26-20</v>
      </c>
      <c r="O7" s="538">
        <f>D7+E7+F7+G7-C8-C9-C10-C11</f>
        <v>6</v>
      </c>
      <c r="P7" s="485">
        <f>SUM(C7:G7,C7:C11)/SUM(C7:C11)</f>
        <v>2.2999999999999998</v>
      </c>
      <c r="Q7" s="320">
        <f>VALUE(LEFT(H7,1))</f>
        <v>2</v>
      </c>
      <c r="R7" s="321">
        <f>Q7*100000+J7*10000+K7*1000+100*L7</f>
        <v>200000</v>
      </c>
      <c r="S7" s="486">
        <f>R7+M7*0.1+IF(ISNONTEXT(B7),0,0.01)+0.0001*O7</f>
        <v>200000.01060000001</v>
      </c>
      <c r="T7" s="487" t="str">
        <f>Q7&amp;J7</f>
        <v>20</v>
      </c>
      <c r="U7" s="477"/>
      <c r="V7" s="477"/>
      <c r="W7" s="477"/>
      <c r="X7" s="477"/>
      <c r="Y7" s="477"/>
      <c r="Z7" s="477"/>
      <c r="AA7" s="477"/>
      <c r="AB7" s="477"/>
      <c r="AC7" s="477"/>
      <c r="AD7" s="405">
        <f>SUM(AE7:AP7)</f>
        <v>356</v>
      </c>
      <c r="AE7" s="406">
        <f>IFERROR(INDEX(V!$R:$R,MATCH(AF7,V!$L:$L,0)),"")</f>
        <v>178</v>
      </c>
      <c r="AF7" s="407" t="str">
        <f>IFERROR(LEFT($B7,(FIND(",",$B7,1)-1)),"")</f>
        <v>Jaan Sepp</v>
      </c>
      <c r="AG7" s="406">
        <f>IFERROR(INDEX(V!$R:$R,MATCH(AH7,V!$L:$L,0)),"")</f>
        <v>178</v>
      </c>
      <c r="AH7" s="407" t="str">
        <f>IFERROR(MID($B7,FIND(", ",$B7)+2,256),"")</f>
        <v>Oskar Sepp</v>
      </c>
      <c r="AI7" s="406" t="str">
        <f>IFERROR(INDEX(V!$R:$R,MATCH(AJ7,V!$L:$L,0)),"")</f>
        <v/>
      </c>
      <c r="AJ7" s="407" t="str">
        <f>IFERROR(MID($B7,FIND("^",SUBSTITUTE($B7,", ","^",1))+2,FIND("^",SUBSTITUTE($B7,", ","^",2))-FIND("^",SUBSTITUTE($B7,", ","^",1))-2),"")</f>
        <v/>
      </c>
      <c r="AK7" s="406" t="str">
        <f>IFERROR(INDEX(V!$R:$R,MATCH(AL7,V!$L:$L,0)),"")</f>
        <v/>
      </c>
      <c r="AL7" s="407" t="str">
        <f>IFERROR(MID($B7,FIND(", ",$B7,FIND(", ",$B7,FIND(", ",$B7))+1)+2,30000),"")</f>
        <v/>
      </c>
      <c r="AM7" s="406" t="str">
        <f>IFERROR(INDEX(V!$R:$R,MATCH(AN7,V!$L:$L,0)),"")</f>
        <v/>
      </c>
      <c r="AN7" s="407" t="str">
        <f>IFERROR(MID($B7,FIND(", ",$B7,FIND(", ",$B7)+1)+2,FIND(", ",$B7,FIND(", ",$B7,FIND(", ",$B7)+1)+1)-FIND(", ",$B7,FIND(", ",$B7)+1)-2),"")</f>
        <v/>
      </c>
      <c r="AO7" s="406" t="str">
        <f>IFERROR(INDEX(V!$R:$R,MATCH(AP7,V!$L:$L,0)),"")</f>
        <v/>
      </c>
      <c r="AP7" s="407" t="str">
        <f>IFERROR(MID($B7,FIND(", ",$B7,FIND(", ",$B7,FIND(", ",$B7)+1)+1)+2,30000),"")</f>
        <v/>
      </c>
    </row>
    <row r="8" spans="1:42" x14ac:dyDescent="0.2">
      <c r="A8" s="316">
        <v>2</v>
      </c>
      <c r="B8" s="488" t="s">
        <v>428</v>
      </c>
      <c r="C8" s="318">
        <v>8</v>
      </c>
      <c r="D8" s="319"/>
      <c r="E8" s="318">
        <v>8</v>
      </c>
      <c r="F8" s="318"/>
      <c r="G8" s="318"/>
      <c r="H8" s="317" t="str">
        <f>(IF(C8-D7&gt;0,1)+IF(E8-D9&gt;0,1)+IF(F8-D10&gt;0,1)+IF(G8-D11&gt;0,1))&amp;"-"&amp;(IF(C8-D7&lt;0,1)+IF(E8-D9&lt;0,1)+IF(F8-D10&lt;0,1)+IF(G8-D11&lt;0,1))</f>
        <v>0-2</v>
      </c>
      <c r="I8" s="318" t="str">
        <f>IF(AND(B8&lt;&gt;"",R$6=TRUE),A$6&amp;RANK(S8,S$7:S$11,0)," ")</f>
        <v>A3</v>
      </c>
      <c r="J8" s="489">
        <f>IF(AND(Q8=1,Q7=1,C8&gt;D7),1)+IF(AND(Q8=1,Q9=1,E8&gt;D9),1)+IF(AND(Q8=1,Q10=1,F8&gt;D10),1)+IF(AND(Q8=1,Q11=1,G8&gt;D11),1)+IF(AND(Q8=2,Q7=2,C8&gt;D7),1)+IF(AND(Q8=2,Q9=2,E8&gt;D9),1)+IF(AND(Q8=2,Q10=2,F8&gt;D10),1)+IF(AND(Q8=2,Q11=2,G8&gt;D11),1)+IF(AND(Q8=3,Q7=3,C8&gt;D7),1)+IF(AND(Q8=3,Q9=3,E8&gt;D9),1)+IF(AND(Q8=3,Q10=3,F8&gt;D10),1)+IF(AND(Q8=3,Q11=3,G8&gt;D11),1)</f>
        <v>0</v>
      </c>
      <c r="K8" s="483">
        <f>SUM(AND(T8=T7,C8&gt;D7),AND(T8=T9,E8&gt;D9),AND(T8=T10,F8&gt;D10),AND(T8=T11,G8&gt;D11))</f>
        <v>0</v>
      </c>
      <c r="L8" s="490">
        <f>IF(AND(Q8=1,Q7=1),C8-D7)+IF(AND(Q8=1,Q9=1),E8-D9)+IF(AND(Q8=1,Q10=1),F8-D10)+IF(AND(Q8=1,Q11=1),G8-D11)+IF(AND(Q8=2,Q7=2),C8-D7)+IF(AND(Q8=2,Q9=2),E8-D9)+IF(AND(Q8=2,Q10=2),F8-D10)+IF(AND(Q8=2,Q11=2),G8-D11)+IF(AND(Q8=3,Q7=3),C8-D7)+IF(AND(Q8=3,Q9=3),E8-D9)+IF(AND(Q8=3,Q10=3),F8-D10)+IF(AND(Q8=3,Q11=3),G8-D11)+IF(AND(Q8=4,Q7=4),C8-D7)+IF(AND(Q8=4,Q9=4),E8-D9)+IF(AND(Q8=4,Q10=4),F8-D10)+IF(AND(Q8=4,Q11=4),G8-D11)</f>
        <v>0</v>
      </c>
      <c r="M8" s="483">
        <f>SUM(AND(R8=R7,C8&gt;D7),AND(R8=R9,E8&gt;D9),AND(R8=R10,F8&gt;D10),AND(R8=R11,G8&gt;D11))</f>
        <v>0</v>
      </c>
      <c r="N8" s="537" t="str">
        <f>SUM(C8:G8)&amp;"-"&amp;SUM(D7:D11)</f>
        <v>16-26</v>
      </c>
      <c r="O8" s="538">
        <f>C8+E8+F8+G8-D7-D9-D10-D11</f>
        <v>-10</v>
      </c>
      <c r="P8" s="485">
        <f>SUM(C8:G8,D7:D11)/SUM(D7:D11)</f>
        <v>1.6153846153846154</v>
      </c>
      <c r="Q8" s="491">
        <f>VALUE(LEFT(H8,1))</f>
        <v>0</v>
      </c>
      <c r="R8" s="321">
        <f>Q8*100000+J8*10000+K8*1000+100*L8</f>
        <v>0</v>
      </c>
      <c r="S8" s="486">
        <f>R8+M8*0.1+IF(ISNONTEXT(B8),0,0.01)+0.0001*O8</f>
        <v>9.0000000000000011E-3</v>
      </c>
      <c r="T8" s="487" t="str">
        <f>Q8&amp;J8</f>
        <v>00</v>
      </c>
      <c r="U8" s="477"/>
      <c r="V8" s="477"/>
      <c r="W8" s="477"/>
      <c r="X8" s="477"/>
      <c r="Y8" s="477"/>
      <c r="Z8" s="477"/>
      <c r="AA8" s="477"/>
      <c r="AB8" s="477"/>
      <c r="AC8" s="485"/>
      <c r="AD8" s="405">
        <f t="shared" ref="AD8:AD31" si="0">SUM(AE8:AP8)</f>
        <v>199</v>
      </c>
      <c r="AE8" s="406">
        <f>IFERROR(INDEX(V!$R:$R,MATCH(AF8,V!$L:$L,0)),"")</f>
        <v>118</v>
      </c>
      <c r="AF8" s="407" t="str">
        <f t="shared" ref="AF8:AF31" si="1">IFERROR(LEFT($B8,(FIND(",",$B8,1)-1)),"")</f>
        <v>Enn Tokman</v>
      </c>
      <c r="AG8" s="406">
        <f>IFERROR(INDEX(V!$R:$R,MATCH(AH8,V!$L:$L,0)),"")</f>
        <v>81</v>
      </c>
      <c r="AH8" s="407" t="str">
        <f t="shared" ref="AH8:AH31" si="2">IFERROR(MID($B8,FIND(", ",$B8)+2,256),"")</f>
        <v>Jaan Saar</v>
      </c>
      <c r="AI8" s="406" t="str">
        <f>IFERROR(INDEX(V!$R:$R,MATCH(AJ8,V!$L:$L,0)),"")</f>
        <v/>
      </c>
      <c r="AJ8" s="407" t="str">
        <f t="shared" ref="AJ8:AJ31" si="3">IFERROR(MID($B8,FIND("^",SUBSTITUTE($B8,", ","^",1))+2,FIND("^",SUBSTITUTE($B8,", ","^",2))-FIND("^",SUBSTITUTE($B8,", ","^",1))-2),"")</f>
        <v/>
      </c>
      <c r="AK8" s="406" t="str">
        <f>IFERROR(INDEX(V!$R:$R,MATCH(AL8,V!$L:$L,0)),"")</f>
        <v/>
      </c>
      <c r="AL8" s="407" t="str">
        <f t="shared" ref="AL8:AL31" si="4">IFERROR(MID($B8,FIND(", ",$B8,FIND(", ",$B8,FIND(", ",$B8))+1)+2,30000),"")</f>
        <v/>
      </c>
      <c r="AM8" s="406" t="str">
        <f>IFERROR(INDEX(V!$R:$R,MATCH(AN8,V!$L:$L,0)),"")</f>
        <v/>
      </c>
      <c r="AN8" s="407" t="str">
        <f t="shared" ref="AN8:AN31" si="5">IFERROR(MID($B8,FIND(", ",$B8,FIND(", ",$B8)+1)+2,FIND(", ",$B8,FIND(", ",$B8,FIND(", ",$B8)+1)+1)-FIND(", ",$B8,FIND(", ",$B8)+1)-2),"")</f>
        <v/>
      </c>
      <c r="AO8" s="406" t="str">
        <f>IFERROR(INDEX(V!$R:$R,MATCH(AP8,V!$L:$L,0)),"")</f>
        <v/>
      </c>
      <c r="AP8" s="407" t="str">
        <f t="shared" ref="AP8:AP31" si="6">IFERROR(MID($B8,FIND(", ",$B8,FIND(", ",$B8,FIND(", ",$B8)+1)+1)+2,30000),"")</f>
        <v/>
      </c>
    </row>
    <row r="9" spans="1:42" x14ac:dyDescent="0.2">
      <c r="A9" s="316">
        <v>3</v>
      </c>
      <c r="B9" s="488" t="s">
        <v>309</v>
      </c>
      <c r="C9" s="318">
        <v>12</v>
      </c>
      <c r="D9" s="492">
        <v>13</v>
      </c>
      <c r="E9" s="319"/>
      <c r="F9" s="318"/>
      <c r="G9" s="318"/>
      <c r="H9" s="317" t="str">
        <f>(IF(C9-E7&gt;0,1)+IF(D9-E8&gt;0,1)+IF(F9-E10&gt;0,1)+IF(G9-E11&gt;0,1))&amp;"-"&amp;(IF(C9-E7&lt;0,1)+IF(D9-E8&lt;0,1)+IF(F9-E10&lt;0,1)+IF(G9-E11&lt;0,1))</f>
        <v>1-1</v>
      </c>
      <c r="I9" s="318" t="str">
        <f>IF(AND(B9&lt;&gt;"",R$6=TRUE),A$6&amp;RANK(S9,S$7:S$11,0)," ")</f>
        <v>A2</v>
      </c>
      <c r="J9" s="489">
        <f>IF(AND(Q9=1,Q7=1,C9&gt;E7),1)+IF(AND(Q9=1,Q8=1,D9&gt;E8),1)+IF(AND(Q9=1,Q10=1,F9&gt;E10),1)+IF(AND(Q9=1,Q11=1,G9&gt;E11),1)+IF(AND(Q9=2,Q7=2,C9&gt;E7),1)+IF(AND(Q9=2,Q8=2,D9&gt;E8),1)+IF(AND(Q9=2,Q10=2,F9&gt;E10),1)+IF(AND(Q9=2,Q11=2,G9&gt;E11),1)+IF(AND(Q9=3,Q7=3,C9&gt;E7),1)+IF(AND(Q9=3,Q8=3,D9&gt;E8),1)+IF(AND(Q9=3,Q10=3,F9&gt;E10),1)+IF(AND(Q9=3,Q11=3,G9&gt;E11),1)</f>
        <v>0</v>
      </c>
      <c r="K9" s="483">
        <f>SUM(AND(T9=T7,C9&gt;E7),AND(T9=T8,D9&gt;E8),AND(T9=T10,F9&gt;E10),AND(T9=T11,G9&gt;E11))</f>
        <v>0</v>
      </c>
      <c r="L9" s="490">
        <f>IF(AND(Q9=1,Q7=1),C9-E7)+IF(AND(Q9=1,Q8=1),D9-E8)+IF(AND(Q9=1,Q10=1),F9-E10)+IF(AND(Q9=1,Q11=1),G9-E11)+IF(AND(Q9=2,Q7=2),C9-E7)+IF(AND(Q9=2,Q8=2),D9-E8)+IF(AND(Q9=2,Q10=2),F9-E10)+IF(AND(Q9=2,Q11=2),G9-E11)+IF(AND(Q9=3,Q7=3),C9-E7)+IF(AND(Q9=3,Q8=3),D9-E8)+IF(AND(Q9=3,Q10=3),F9-E10)+IF(AND(Q9=3,Q11=3),G9-E11)+IF(AND(Q9=4,Q7=4),C9-E7)+IF(AND(Q9=4,Q8=4),D9-E8)+IF(AND(Q9=4,Q10=4),F9-E10)+IF(AND(Q9=4,Q11=4),G9-E11)</f>
        <v>0</v>
      </c>
      <c r="M9" s="483">
        <f>SUM(AND(R9=R7,C9&gt;E7),AND(R9=R8,D9&gt;E8),AND(R9=R10,F9&gt;E10),AND(R9=R11,G9&gt;E11))</f>
        <v>0</v>
      </c>
      <c r="N9" s="537" t="str">
        <f>SUM(C9:G9)&amp;"-"&amp;SUM(E7:E11)</f>
        <v>25-21</v>
      </c>
      <c r="O9" s="538">
        <f>C9+D9+F9+G9-E7-E8-E10-E11</f>
        <v>4</v>
      </c>
      <c r="P9" s="485">
        <f>SUM(C9:G9,E7:E11)/SUM(E7:E11)</f>
        <v>2.1904761904761907</v>
      </c>
      <c r="Q9" s="491">
        <f>VALUE(LEFT(H9,1))</f>
        <v>1</v>
      </c>
      <c r="R9" s="321">
        <f>Q9*100000+J9*10000+K9*1000+100*L9</f>
        <v>100000</v>
      </c>
      <c r="S9" s="486">
        <f>R9+M9*0.1+IF(ISNONTEXT(B9),0,0.01)+0.0001*O9</f>
        <v>100000.0104</v>
      </c>
      <c r="T9" s="487" t="str">
        <f>Q9&amp;J9</f>
        <v>10</v>
      </c>
      <c r="U9" s="477"/>
      <c r="V9" s="477"/>
      <c r="W9" s="477"/>
      <c r="X9" s="477"/>
      <c r="Y9" s="477"/>
      <c r="Z9" s="477"/>
      <c r="AA9" s="477"/>
      <c r="AB9" s="477"/>
      <c r="AC9" s="485"/>
      <c r="AD9" s="405">
        <f t="shared" si="0"/>
        <v>224</v>
      </c>
      <c r="AE9" s="406">
        <f>IFERROR(INDEX(V!$R:$R,MATCH(AF9,V!$L:$L,0)),"")</f>
        <v>112</v>
      </c>
      <c r="AF9" s="407" t="str">
        <f t="shared" si="1"/>
        <v>Ljudmila Varendi</v>
      </c>
      <c r="AG9" s="406">
        <f>IFERROR(INDEX(V!$R:$R,MATCH(AH9,V!$L:$L,0)),"")</f>
        <v>112</v>
      </c>
      <c r="AH9" s="407" t="str">
        <f t="shared" si="2"/>
        <v>Viktor Švarõgin</v>
      </c>
      <c r="AI9" s="406" t="str">
        <f>IFERROR(INDEX(V!$R:$R,MATCH(AJ9,V!$L:$L,0)),"")</f>
        <v/>
      </c>
      <c r="AJ9" s="407" t="str">
        <f t="shared" si="3"/>
        <v/>
      </c>
      <c r="AK9" s="406" t="str">
        <f>IFERROR(INDEX(V!$R:$R,MATCH(AL9,V!$L:$L,0)),"")</f>
        <v/>
      </c>
      <c r="AL9" s="407" t="str">
        <f t="shared" si="4"/>
        <v/>
      </c>
      <c r="AM9" s="406" t="str">
        <f>IFERROR(INDEX(V!$R:$R,MATCH(AN9,V!$L:$L,0)),"")</f>
        <v/>
      </c>
      <c r="AN9" s="407" t="str">
        <f t="shared" si="5"/>
        <v/>
      </c>
      <c r="AO9" s="406" t="str">
        <f>IFERROR(INDEX(V!$R:$R,MATCH(AP9,V!$L:$L,0)),"")</f>
        <v/>
      </c>
      <c r="AP9" s="407" t="str">
        <f t="shared" si="6"/>
        <v/>
      </c>
    </row>
    <row r="10" spans="1:42" hidden="1" x14ac:dyDescent="0.2">
      <c r="A10" s="316">
        <v>4</v>
      </c>
      <c r="B10" s="493"/>
      <c r="C10" s="318"/>
      <c r="D10" s="492"/>
      <c r="E10" s="318"/>
      <c r="F10" s="319"/>
      <c r="G10" s="318"/>
      <c r="H10" s="317" t="str">
        <f>(IF(C10-F7&gt;0,1)+IF(D10-F8&gt;0,1)+IF(E10-F9&gt;0,1)+IF(G10-F11&gt;0,1))&amp;"-"&amp;(IF(C10-F7&lt;0,1)+IF(D10-F8&lt;0,1)+IF(E10-F9&lt;0,1)+IF(G10-F11&lt;0,1))</f>
        <v>0-0</v>
      </c>
      <c r="I10" s="318" t="str">
        <f>IF(AND(B10&lt;&gt;"",R$6=TRUE),A$6&amp;RANK(S10,S$7:S$11,0)," ")</f>
        <v xml:space="preserve"> </v>
      </c>
      <c r="J10" s="489">
        <f>IF(AND(Q10=1,Q7=1,C10&gt;F7),1)+IF(AND(Q10=1,Q8=1,D10&gt;F8),1)+IF(AND(Q10=1,Q9=1,E10&gt;F9),1)+IF(AND(Q10=1,Q11=1,G10&gt;F11),1)+IF(AND(Q10=2,Q7=2,C10&gt;F7),1)+IF(AND(Q10=2,Q8=2,D10&gt;F8),1)+IF(AND(Q10=2,Q9=2,E10&gt;F9),1)+IF(AND(Q10=2,Q11=2,G10&gt;F11),1)+IF(AND(Q10=3,Q7=3,C10&gt;F7),1)+IF(AND(Q10=3,Q8=3,D10&gt;F8),1)+IF(AND(Q10=3,Q9=3,E10&gt;F9),1)+IF(AND(Q10=3,Q11=3,G10&gt;F11),1)</f>
        <v>0</v>
      </c>
      <c r="K10" s="483">
        <f>SUM(AND(T10=T7,C10&gt;F7),AND(T10=T8,D10&gt;F8),AND(T10=T9,E10&gt;F9),AND(T10=T11,G10&gt;F11))</f>
        <v>0</v>
      </c>
      <c r="L10" s="490">
        <f>IF(AND(Q10=1,Q7=1),C10-F7)+IF(AND(Q10=1,Q8=1),D10-F8)+IF(AND(Q10=1,Q9=1),E10-F9)+IF(AND(Q10=1,Q11=1),G10-F11)+IF(AND(Q10=2,Q7=2),C10-F7)+IF(AND(Q10=2,Q8=2),D10-F8)+IF(AND(Q10=2,Q9=2),E10-F9)+IF(AND(Q10=2,Q11=2),G10-F11)+IF(AND(Q10=3,Q7=3),C10-F7)+IF(AND(Q10=3,Q8=3),D10-F8)+IF(AND(Q10=3,Q9=3),E10-F9)+IF(AND(Q10=3,Q11=3),G10-F11)+IF(AND(Q10=4,Q7=4),C10-F7)+IF(AND(Q10=4,Q8=4),D10-F8)+IF(AND(Q10=4,Q9=4),E10-F9)+IF(AND(Q10=4,Q11=4),G10-F11)</f>
        <v>0</v>
      </c>
      <c r="M10" s="483">
        <f>SUM(AND(R10=R7,C10&gt;F7),AND(R10=R8,D10&gt;F8),AND(R10=R9,E10&gt;F9),AND(R10=R11,G10&gt;F11))</f>
        <v>0</v>
      </c>
      <c r="N10" s="537" t="str">
        <f>SUM(C10:G10)&amp;"-"&amp;SUM(F7:F11)</f>
        <v>0-0</v>
      </c>
      <c r="O10" s="538">
        <f>C10+D10+E10+G10-F7-F8-F9-F11</f>
        <v>0</v>
      </c>
      <c r="P10" s="485" t="e">
        <f>SUM(C10:G10,F7:F11)/SUM(F7:F11)</f>
        <v>#DIV/0!</v>
      </c>
      <c r="Q10" s="491">
        <f>VALUE(LEFT(H10,1))</f>
        <v>0</v>
      </c>
      <c r="R10" s="321">
        <f>Q10*100000+J10*10000+K10*1000+100*L10</f>
        <v>0</v>
      </c>
      <c r="S10" s="486">
        <f>R10+M10*0.1+IF(ISNONTEXT(B10),0,0.01)+0.0001*O10</f>
        <v>0</v>
      </c>
      <c r="T10" s="487" t="str">
        <f>Q10&amp;J10</f>
        <v>00</v>
      </c>
      <c r="V10" s="477"/>
      <c r="W10" s="477"/>
      <c r="X10" s="477"/>
      <c r="Y10" s="477"/>
      <c r="Z10" s="477"/>
      <c r="AA10" s="477"/>
      <c r="AB10" s="477"/>
      <c r="AC10" s="485"/>
      <c r="AD10" s="405">
        <f t="shared" si="0"/>
        <v>0</v>
      </c>
      <c r="AE10" s="406" t="str">
        <f>IFERROR(INDEX(V!$R:$R,MATCH(AF10,V!$L:$L,0)),"")</f>
        <v/>
      </c>
      <c r="AF10" s="407" t="str">
        <f t="shared" si="1"/>
        <v/>
      </c>
      <c r="AG10" s="406" t="str">
        <f>IFERROR(INDEX(V!$R:$R,MATCH(AH10,V!$L:$L,0)),"")</f>
        <v/>
      </c>
      <c r="AH10" s="407" t="str">
        <f t="shared" si="2"/>
        <v/>
      </c>
      <c r="AI10" s="406" t="str">
        <f>IFERROR(INDEX(V!$R:$R,MATCH(AJ10,V!$L:$L,0)),"")</f>
        <v/>
      </c>
      <c r="AJ10" s="407" t="str">
        <f t="shared" si="3"/>
        <v/>
      </c>
      <c r="AK10" s="406" t="str">
        <f>IFERROR(INDEX(V!$R:$R,MATCH(AL10,V!$L:$L,0)),"")</f>
        <v/>
      </c>
      <c r="AL10" s="407" t="str">
        <f t="shared" si="4"/>
        <v/>
      </c>
      <c r="AM10" s="406" t="str">
        <f>IFERROR(INDEX(V!$R:$R,MATCH(AN10,V!$L:$L,0)),"")</f>
        <v/>
      </c>
      <c r="AN10" s="407" t="str">
        <f t="shared" si="5"/>
        <v/>
      </c>
      <c r="AO10" s="406" t="str">
        <f>IFERROR(INDEX(V!$R:$R,MATCH(AP10,V!$L:$L,0)),"")</f>
        <v/>
      </c>
      <c r="AP10" s="407" t="str">
        <f t="shared" si="6"/>
        <v/>
      </c>
    </row>
    <row r="11" spans="1:42" hidden="1" x14ac:dyDescent="0.2">
      <c r="A11" s="316">
        <v>5</v>
      </c>
      <c r="B11" s="493"/>
      <c r="C11" s="318"/>
      <c r="D11" s="318"/>
      <c r="E11" s="318"/>
      <c r="F11" s="318"/>
      <c r="G11" s="319"/>
      <c r="H11" s="317" t="str">
        <f>(IF(C11-G7&gt;0,1)+IF(D11-G8&gt;0,1)+IF(E11-G9&gt;0,1)+IF(F11-G10&gt;0,1))&amp;"-"&amp;(IF(C11-G7&lt;0,1)+IF(D11-G8&lt;0,1)+IF(E11-G9&lt;0,1)+IF(F11-G10&lt;0,1))</f>
        <v>0-0</v>
      </c>
      <c r="I11" s="318" t="str">
        <f>IF(AND(B11&lt;&gt;"",R$6=TRUE),A$6&amp;RANK(S11,S$7:S$11,0)," ")</f>
        <v xml:space="preserve"> </v>
      </c>
      <c r="J11" s="489">
        <f>IF(AND(Q11=1,Q7=1,C11&gt;G7),1)+IF(AND(Q11=1,Q8=1,D11&gt;G8),1)+IF(AND(Q11=1,Q9=1,E11&gt;G9),1)+IF(AND(Q11=1,Q10=1,F11&gt;G10),1)+IF(AND(Q11=2,Q7=2,C11&gt;G7),1)+IF(AND(Q11=2,Q8=2,D11&gt;G8),1)+IF(AND(Q11=2,Q9=2,E11&gt;G9),1)+IF(AND(Q11=2,Q10=2,F11&gt;G10),1)+IF(AND(Q11=3,Q7=3,C11&gt;G7),1)+IF(AND(Q11=3,Q8=3,D11&gt;G8),1)+IF(AND(Q11=3,Q9=3,E11&gt;G9),1)+IF(AND(Q11=3,Q10=3,F11&gt;G10),1)</f>
        <v>0</v>
      </c>
      <c r="K11" s="483">
        <f>SUM(AND(T11=T7,C11&gt;G7),AND(T11=T8,D11&gt;G8),AND(T11=T9,E11&gt;G9),AND(T11=T10,F11&gt;G10))</f>
        <v>0</v>
      </c>
      <c r="L11" s="490">
        <f>IF(AND(Q11=1,Q7=1),C11-G7)+IF(AND(Q11=1,Q8=1),D11-G8)+IF(AND(Q11=1,Q9=1),E11-G9)+IF(AND(Q11=1,Q10=1),F11-G10)+IF(AND(Q11=2,Q7=2),C11-G7)+IF(AND(Q11=2,Q8=2),D11-G8)+IF(AND(Q11=2,Q9=2),E11-G9)+IF(AND(Q11=2,Q10=2),F11-G10)+IF(AND(Q11=3,Q7=3),C11-G7)+IF(AND(Q11=3,Q8=3),D11-G8)+IF(AND(Q11=3,Q9=3),E11-G9)+IF(AND(Q11=3,Q10=3),F11-G10)+IF(AND(Q11=4,Q7=4),C11-G7)+IF(AND(Q11=4,Q8=4),D11-G8)+IF(AND(Q11=4,Q9=4),E11-G9)+IF(AND(Q11=4,Q10=4),F11-G10)</f>
        <v>0</v>
      </c>
      <c r="M11" s="483">
        <f>SUM(AND(R11=R7,C11&gt;G7),AND(R11=R8,D11&gt;G8),AND(R11=R9,E11&gt;G9),AND(R11=R10,F11&gt;G10))</f>
        <v>0</v>
      </c>
      <c r="N11" s="537" t="str">
        <f>SUM(C11:G11)&amp;"-"&amp;SUM(G7:G11)</f>
        <v>0-0</v>
      </c>
      <c r="O11" s="538">
        <f>C11+D11+E11+F11-G7-G8-G9-G10</f>
        <v>0</v>
      </c>
      <c r="P11" s="485" t="e">
        <f>SUM(C11:G11,G7:G11)/SUM(G7:G11)</f>
        <v>#DIV/0!</v>
      </c>
      <c r="Q11" s="491">
        <f>VALUE(LEFT(H11,1))</f>
        <v>0</v>
      </c>
      <c r="R11" s="321">
        <f>Q11*100000+J11*10000+K11*1000+100*L11</f>
        <v>0</v>
      </c>
      <c r="S11" s="486">
        <f>R11+M11*0.1+IF(ISNONTEXT(B11),0,0.01)+0.0001*O11</f>
        <v>0</v>
      </c>
      <c r="T11" s="487" t="str">
        <f>Q11&amp;J11</f>
        <v>00</v>
      </c>
      <c r="U11" s="477"/>
      <c r="V11" s="477"/>
      <c r="W11" s="477"/>
      <c r="X11" s="477"/>
      <c r="Y11" s="477"/>
      <c r="Z11" s="477"/>
      <c r="AA11" s="477"/>
      <c r="AB11" s="477"/>
      <c r="AC11" s="485"/>
      <c r="AD11" s="405">
        <f t="shared" si="0"/>
        <v>0</v>
      </c>
      <c r="AE11" s="406" t="str">
        <f>IFERROR(INDEX(V!$R:$R,MATCH(AF11,V!$L:$L,0)),"")</f>
        <v/>
      </c>
      <c r="AF11" s="407" t="str">
        <f t="shared" si="1"/>
        <v/>
      </c>
      <c r="AG11" s="406" t="str">
        <f>IFERROR(INDEX(V!$R:$R,MATCH(AH11,V!$L:$L,0)),"")</f>
        <v/>
      </c>
      <c r="AH11" s="407" t="str">
        <f t="shared" si="2"/>
        <v/>
      </c>
      <c r="AI11" s="406" t="str">
        <f>IFERROR(INDEX(V!$R:$R,MATCH(AJ11,V!$L:$L,0)),"")</f>
        <v/>
      </c>
      <c r="AJ11" s="407" t="str">
        <f t="shared" si="3"/>
        <v/>
      </c>
      <c r="AK11" s="406" t="str">
        <f>IFERROR(INDEX(V!$R:$R,MATCH(AL11,V!$L:$L,0)),"")</f>
        <v/>
      </c>
      <c r="AL11" s="407" t="str">
        <f t="shared" si="4"/>
        <v/>
      </c>
      <c r="AM11" s="406" t="str">
        <f>IFERROR(INDEX(V!$R:$R,MATCH(AN11,V!$L:$L,0)),"")</f>
        <v/>
      </c>
      <c r="AN11" s="407" t="str">
        <f t="shared" si="5"/>
        <v/>
      </c>
      <c r="AO11" s="406" t="str">
        <f>IFERROR(INDEX(V!$R:$R,MATCH(AP11,V!$L:$L,0)),"")</f>
        <v/>
      </c>
      <c r="AP11" s="407" t="str">
        <f t="shared" si="6"/>
        <v/>
      </c>
    </row>
    <row r="12" spans="1:42" x14ac:dyDescent="0.2">
      <c r="A12" s="494"/>
      <c r="B12" s="495"/>
      <c r="C12" s="498"/>
      <c r="D12" s="497"/>
      <c r="E12" s="498"/>
      <c r="F12" s="498"/>
      <c r="G12" s="499"/>
      <c r="H12" s="500"/>
      <c r="I12" s="501"/>
      <c r="J12" s="477"/>
      <c r="K12" s="477"/>
      <c r="L12" s="477"/>
      <c r="M12" s="477"/>
      <c r="N12" s="539"/>
      <c r="O12" s="539"/>
      <c r="P12" s="477"/>
      <c r="Q12" s="477"/>
      <c r="R12" s="502" t="s">
        <v>264</v>
      </c>
      <c r="S12" s="477"/>
      <c r="T12" s="477"/>
      <c r="U12" s="477"/>
      <c r="V12" s="477"/>
      <c r="W12" s="477"/>
      <c r="X12" s="477"/>
      <c r="Y12" s="477"/>
      <c r="Z12" s="477"/>
      <c r="AA12" s="477"/>
      <c r="AB12" s="477"/>
      <c r="AC12" s="485"/>
      <c r="AD12" s="405">
        <f t="shared" si="0"/>
        <v>0</v>
      </c>
      <c r="AE12" s="406" t="str">
        <f>IFERROR(INDEX(V!$R:$R,MATCH(AF12,V!$L:$L,0)),"")</f>
        <v/>
      </c>
      <c r="AF12" s="407" t="str">
        <f t="shared" si="1"/>
        <v/>
      </c>
      <c r="AG12" s="406" t="str">
        <f>IFERROR(INDEX(V!$R:$R,MATCH(AH12,V!$L:$L,0)),"")</f>
        <v/>
      </c>
      <c r="AH12" s="407" t="str">
        <f t="shared" si="2"/>
        <v/>
      </c>
      <c r="AI12" s="406" t="str">
        <f>IFERROR(INDEX(V!$R:$R,MATCH(AJ12,V!$L:$L,0)),"")</f>
        <v/>
      </c>
      <c r="AJ12" s="407" t="str">
        <f t="shared" si="3"/>
        <v/>
      </c>
      <c r="AK12" s="406" t="str">
        <f>IFERROR(INDEX(V!$R:$R,MATCH(AL12,V!$L:$L,0)),"")</f>
        <v/>
      </c>
      <c r="AL12" s="407" t="str">
        <f t="shared" si="4"/>
        <v/>
      </c>
      <c r="AM12" s="406" t="str">
        <f>IFERROR(INDEX(V!$R:$R,MATCH(AN12,V!$L:$L,0)),"")</f>
        <v/>
      </c>
      <c r="AN12" s="407" t="str">
        <f t="shared" si="5"/>
        <v/>
      </c>
      <c r="AO12" s="406" t="str">
        <f>IFERROR(INDEX(V!$R:$R,MATCH(AP12,V!$L:$L,0)),"")</f>
        <v/>
      </c>
      <c r="AP12" s="407" t="str">
        <f t="shared" si="6"/>
        <v/>
      </c>
    </row>
    <row r="13" spans="1:42" x14ac:dyDescent="0.2">
      <c r="A13" s="316" t="s">
        <v>1</v>
      </c>
      <c r="B13" s="503"/>
      <c r="C13" s="467">
        <v>1</v>
      </c>
      <c r="D13" s="467">
        <v>2</v>
      </c>
      <c r="E13" s="467">
        <v>3</v>
      </c>
      <c r="F13" s="467">
        <v>4</v>
      </c>
      <c r="G13" s="467"/>
      <c r="H13" s="468" t="s">
        <v>168</v>
      </c>
      <c r="I13" s="468" t="s">
        <v>169</v>
      </c>
      <c r="J13" s="504" t="s">
        <v>257</v>
      </c>
      <c r="K13" s="505" t="s">
        <v>258</v>
      </c>
      <c r="L13" s="506" t="s">
        <v>259</v>
      </c>
      <c r="M13" s="506" t="s">
        <v>260</v>
      </c>
      <c r="N13" s="472" t="s">
        <v>170</v>
      </c>
      <c r="O13" s="472" t="s">
        <v>170</v>
      </c>
      <c r="P13" s="473" t="s">
        <v>261</v>
      </c>
      <c r="Q13" s="507" t="s">
        <v>21</v>
      </c>
      <c r="R13" s="507" t="b">
        <f>OR(AND(COUNTA(B14:B18)=3,COUNTA(C14:G18)=6),AND(COUNTA(B14:B18)=4,COUNTA(C14:G18)=12),AND(COUNTA(B14:B18)=5,COUNTA(C14:G18)=20))</f>
        <v>1</v>
      </c>
      <c r="S13" s="508" t="s">
        <v>262</v>
      </c>
      <c r="T13" s="509" t="s">
        <v>263</v>
      </c>
      <c r="U13" s="477"/>
      <c r="V13" s="477"/>
      <c r="W13" s="477"/>
      <c r="X13" s="477"/>
      <c r="Y13" s="477"/>
      <c r="Z13" s="477"/>
      <c r="AA13" s="477"/>
      <c r="AB13" s="477"/>
      <c r="AC13" s="485"/>
      <c r="AD13" s="405">
        <f t="shared" si="0"/>
        <v>0</v>
      </c>
      <c r="AE13" s="406" t="str">
        <f>IFERROR(INDEX(V!$R:$R,MATCH(AF13,V!$L:$L,0)),"")</f>
        <v/>
      </c>
      <c r="AF13" s="407" t="str">
        <f t="shared" si="1"/>
        <v/>
      </c>
      <c r="AG13" s="406" t="str">
        <f>IFERROR(INDEX(V!$R:$R,MATCH(AH13,V!$L:$L,0)),"")</f>
        <v/>
      </c>
      <c r="AH13" s="407" t="str">
        <f t="shared" si="2"/>
        <v/>
      </c>
      <c r="AI13" s="406" t="str">
        <f>IFERROR(INDEX(V!$R:$R,MATCH(AJ13,V!$L:$L,0)),"")</f>
        <v/>
      </c>
      <c r="AJ13" s="407" t="str">
        <f t="shared" si="3"/>
        <v/>
      </c>
      <c r="AK13" s="406" t="str">
        <f>IFERROR(INDEX(V!$R:$R,MATCH(AL13,V!$L:$L,0)),"")</f>
        <v/>
      </c>
      <c r="AL13" s="407" t="str">
        <f t="shared" si="4"/>
        <v/>
      </c>
      <c r="AM13" s="406" t="str">
        <f>IFERROR(INDEX(V!$R:$R,MATCH(AN13,V!$L:$L,0)),"")</f>
        <v/>
      </c>
      <c r="AN13" s="407" t="str">
        <f t="shared" si="5"/>
        <v/>
      </c>
      <c r="AO13" s="406" t="str">
        <f>IFERROR(INDEX(V!$R:$R,MATCH(AP13,V!$L:$L,0)),"")</f>
        <v/>
      </c>
      <c r="AP13" s="407" t="str">
        <f t="shared" si="6"/>
        <v/>
      </c>
    </row>
    <row r="14" spans="1:42" x14ac:dyDescent="0.2">
      <c r="A14" s="316">
        <v>1</v>
      </c>
      <c r="B14" s="510" t="s">
        <v>429</v>
      </c>
      <c r="C14" s="319"/>
      <c r="D14" s="318">
        <v>13</v>
      </c>
      <c r="E14" s="318">
        <v>13</v>
      </c>
      <c r="F14" s="318">
        <v>13</v>
      </c>
      <c r="G14" s="318"/>
      <c r="H14" s="317" t="str">
        <f>(IF(D14-C15&gt;0,1)+IF(E14-C16&gt;0,1)+IF(F14-C17&gt;0,1)+IF(G14-C18&gt;0,1))&amp;"-"&amp;(IF(D14-C15&lt;0,1)+IF(E14-C16&lt;0,1)+IF(F14-C17&lt;0,1)+IF(G14-C18&lt;0,1))</f>
        <v>3-0</v>
      </c>
      <c r="I14" s="318" t="str">
        <f>IF(AND(B14&lt;&gt;"",R$6=TRUE),A$13&amp;RANK(S14,S$14:S$18,0)," ")</f>
        <v>B1</v>
      </c>
      <c r="J14" s="480">
        <f>IF(AND(Q14=1,Q15=1,D14&gt;C15),1)+IF(AND(Q14=1,Q16=1,E14&gt;C16),1)+IF(AND(Q14=1,Q17=1,F14&gt;C17),1)+IF(AND(Q14=1,Q18=1,G14&gt;C18),1)+IF(AND(Q14=2,Q15=2,D14&gt;C15),1)+IF(AND(Q14=2,Q16=2,E14&gt;C16),1)+IF(AND(Q14=2,Q17=2,F14&gt;C17),1)+IF(AND(Q14=2,Q18=2,G14&gt;C18),1)+IF(AND(Q14=3,Q15=3,D14&gt;C15),1)+IF(AND(Q14=3,Q16=3,E14&gt;C16),1)+IF(AND(Q14=3,Q17=3,F14&gt;C17),1)+IF(AND(Q14=3,Q18=3,G14&gt;C18),1)</f>
        <v>0</v>
      </c>
      <c r="K14" s="481">
        <f>SUM(AND(T14=T15,D14&gt;C15),AND(T14=T16,E14&gt;C16),AND(T14=T17,F14&gt;C17),AND(T14=T18,G14&gt;C18))</f>
        <v>0</v>
      </c>
      <c r="L14" s="482">
        <f>IF(AND(Q14=1,Q15=1),D14-C15)+IF(AND(Q14=1,Q16=1),E14-C16)+IF(AND(Q14=1,Q17=1),F14-C17)+IF(AND(Q14=1,Q18=1),G14-C18)+IF(AND(Q14=2,Q15=2),D14-C15)+IF(AND(Q14=2,Q16=2),E14-C16)+IF(AND(Q14=2,Q17=2),F14-C17)+IF(AND(Q14=2,Q18=2),G14-C18)+IF(AND(Q14=3,Q15=3),D14-C15)+IF(AND(Q14=3,Q16=3),E14-C16)+IF(AND(Q14=3,Q17=3),F14-C17)+IF(AND(Q14=3,Q18=3),G14-C18)+IF(AND(Q14=4,Q15=4),D14-C15)+IF(AND(Q14=4,Q16=4),E14-C16)+IF(AND(Q14=4,Q17=4),F14-C17)+IF(AND(Q14=4,Q18=4),G14-C18)</f>
        <v>0</v>
      </c>
      <c r="M14" s="483">
        <f>SUM(AND(R14=R15,D14&gt;C15),AND(R14=R16,E14&gt;C16),AND(R14=R17,F14&gt;C17),AND(R14=R18,G14&gt;C18))</f>
        <v>0</v>
      </c>
      <c r="N14" s="537" t="str">
        <f>SUM(C14:G14)&amp;"-"&amp;SUM(C14:C18)</f>
        <v>39-13</v>
      </c>
      <c r="O14" s="538">
        <f>D14+E14+F14+G14-C15-C16-C17-C18</f>
        <v>26</v>
      </c>
      <c r="P14" s="485">
        <f>SUM(C14:G14,C14:C18)/SUM(C14:C18)</f>
        <v>4</v>
      </c>
      <c r="Q14" s="320">
        <f>VALUE(LEFT(H14,1))</f>
        <v>3</v>
      </c>
      <c r="R14" s="321">
        <f>Q14*100000+J14*10000+K14*1000+100*L14</f>
        <v>300000</v>
      </c>
      <c r="S14" s="486">
        <f>R14+M14*0.1+IF(ISNONTEXT(B14),0,0.01)+0.0001*O14</f>
        <v>300000.01260000002</v>
      </c>
      <c r="T14" s="487" t="str">
        <f>Q14&amp;J14</f>
        <v>30</v>
      </c>
      <c r="U14" s="477"/>
      <c r="V14" s="477"/>
      <c r="W14" s="477"/>
      <c r="X14" s="477"/>
      <c r="Y14" s="477"/>
      <c r="Z14" s="477"/>
      <c r="AA14" s="477"/>
      <c r="AB14" s="477"/>
      <c r="AC14" s="485"/>
      <c r="AD14" s="405">
        <f t="shared" si="0"/>
        <v>351</v>
      </c>
      <c r="AE14" s="406">
        <f>IFERROR(INDEX(V!$R:$R,MATCH(AF14,V!$L:$L,0)),"")</f>
        <v>164</v>
      </c>
      <c r="AF14" s="407" t="str">
        <f t="shared" si="1"/>
        <v>Kaspar Mänd</v>
      </c>
      <c r="AG14" s="406" t="str">
        <f>IFERROR(INDEX(V!$R:$R,MATCH(AH14,V!$L:$L,0)),"")</f>
        <v/>
      </c>
      <c r="AH14" s="407" t="str">
        <f t="shared" si="2"/>
        <v>Kenneth Muusikus, Kevin Muusikus</v>
      </c>
      <c r="AI14" s="406">
        <f>IFERROR(INDEX(V!$R:$R,MATCH(AJ14,V!$L:$L,0)),"")</f>
        <v>187</v>
      </c>
      <c r="AJ14" s="407" t="str">
        <f t="shared" si="3"/>
        <v>Kenneth Muusikus</v>
      </c>
      <c r="AK14" s="406" t="str">
        <f>IFERROR(INDEX(V!$R:$R,MATCH(AL14,V!$L:$L,0)),"")</f>
        <v/>
      </c>
      <c r="AL14" s="407" t="str">
        <f t="shared" si="4"/>
        <v>Kevin Muusikus</v>
      </c>
      <c r="AM14" s="406" t="str">
        <f>IFERROR(INDEX(V!$R:$R,MATCH(AN14,V!$L:$L,0)),"")</f>
        <v/>
      </c>
      <c r="AN14" s="407" t="str">
        <f t="shared" si="5"/>
        <v/>
      </c>
      <c r="AO14" s="406" t="str">
        <f>IFERROR(INDEX(V!$R:$R,MATCH(AP14,V!$L:$L,0)),"")</f>
        <v/>
      </c>
      <c r="AP14" s="407" t="str">
        <f t="shared" si="6"/>
        <v/>
      </c>
    </row>
    <row r="15" spans="1:42" x14ac:dyDescent="0.2">
      <c r="A15" s="316">
        <v>2</v>
      </c>
      <c r="B15" s="479" t="s">
        <v>311</v>
      </c>
      <c r="C15" s="318">
        <v>2</v>
      </c>
      <c r="D15" s="319"/>
      <c r="E15" s="654">
        <v>12</v>
      </c>
      <c r="F15" s="654">
        <v>13</v>
      </c>
      <c r="G15" s="318"/>
      <c r="H15" s="317" t="str">
        <f>(IF(C15-D14&gt;0,1)+IF(E15-D16&gt;0,1)+IF(F15-D17&gt;0,1)+IF(G15-D18&gt;0,1))&amp;"-"&amp;(IF(C15-D14&lt;0,1)+IF(E15-D16&lt;0,1)+IF(F15-D17&lt;0,1)+IF(G15-D18&lt;0,1))</f>
        <v>1-2</v>
      </c>
      <c r="I15" s="318" t="str">
        <f>IF(AND(B15&lt;&gt;"",R$6=TRUE),A$13&amp;RANK(S15,S$14:S$18,0)," ")</f>
        <v>B2</v>
      </c>
      <c r="J15" s="489">
        <f>IF(AND(Q15=1,Q14=1,C15&gt;D14),1)+IF(AND(Q15=1,Q16=1,E15&gt;D16),1)+IF(AND(Q15=1,Q17=1,F15&gt;D17),1)+IF(AND(Q15=1,Q18=1,G15&gt;D18),1)+IF(AND(Q15=2,Q14=2,C15&gt;D14),1)+IF(AND(Q15=2,Q16=2,E15&gt;D16),1)+IF(AND(Q15=2,Q17=2,F15&gt;D17),1)+IF(AND(Q15=2,Q18=2,G15&gt;D18),1)+IF(AND(Q15=3,Q14=3,C15&gt;D14),1)+IF(AND(Q15=3,Q16=3,E15&gt;D16),1)+IF(AND(Q15=3,Q17=3,F15&gt;D17),1)+IF(AND(Q15=3,Q18=3,G15&gt;D18),1)</f>
        <v>1</v>
      </c>
      <c r="K15" s="483">
        <f>SUM(AND(T15=T14,C15&gt;D14),AND(T15=T16,E15&gt;D16),AND(T15=T17,F15&gt;D17),AND(T15=T18,G15&gt;D18))</f>
        <v>1</v>
      </c>
      <c r="L15" s="490">
        <f>IF(AND(Q15=1,Q14=1),C15-D14)+IF(AND(Q15=1,Q16=1),E15-D16)+IF(AND(Q15=1,Q17=1),F15-D17)+IF(AND(Q15=1,Q18=1),G15-D18)+IF(AND(Q15=2,Q14=2),C15-D14)+IF(AND(Q15=2,Q16=2),E15-D16)+IF(AND(Q15=2,Q17=2),F15-D17)+IF(AND(Q15=2,Q18=2),G15-D18)+IF(AND(Q15=3,Q14=3),C15-D14)+IF(AND(Q15=3,Q16=3),E15-D16)+IF(AND(Q15=3,Q17=3),F15-D17)+IF(AND(Q15=3,Q18=3),G15-D18)+IF(AND(Q15=4,Q14=4),C15-D14)+IF(AND(Q15=4,Q16=4),E15-D16)+IF(AND(Q15=4,Q17=4),F15-D17)+IF(AND(Q15=4,Q18=4),G15-D18)</f>
        <v>2</v>
      </c>
      <c r="M15" s="483">
        <f>SUM(AND(R15=R14,C15&gt;D14),AND(R15=R16,E15&gt;D16),AND(R15=R17,F15&gt;D17),AND(R15=R18,G15&gt;D18))</f>
        <v>0</v>
      </c>
      <c r="N15" s="537" t="str">
        <f>SUM(C15:G15)&amp;"-"&amp;SUM(D14:D18)</f>
        <v>27-36</v>
      </c>
      <c r="O15" s="538">
        <f>C15+E15+F15+G15-D14-D16-D17-D18</f>
        <v>-9</v>
      </c>
      <c r="P15" s="485">
        <f>SUM(C15:G15,D14:D18)/SUM(D14:D18)</f>
        <v>1.75</v>
      </c>
      <c r="Q15" s="491">
        <f>VALUE(LEFT(H15,1))</f>
        <v>1</v>
      </c>
      <c r="R15" s="321">
        <f>Q15*100000+J15*10000+K15*1000+100*L15</f>
        <v>111200</v>
      </c>
      <c r="S15" s="486">
        <f>R15+M15*0.1+IF(ISNONTEXT(B15),0,0.01)+0.0001*O15</f>
        <v>111200.0091</v>
      </c>
      <c r="T15" s="487" t="str">
        <f>Q15&amp;J15</f>
        <v>11</v>
      </c>
      <c r="U15" s="477"/>
      <c r="V15" s="477"/>
      <c r="W15" s="477"/>
      <c r="X15" s="477"/>
      <c r="Y15" s="477"/>
      <c r="Z15" s="477"/>
      <c r="AA15" s="477"/>
      <c r="AB15" s="477"/>
      <c r="AC15" s="485"/>
      <c r="AD15" s="405">
        <f t="shared" si="0"/>
        <v>209</v>
      </c>
      <c r="AE15" s="406">
        <f>IFERROR(INDEX(V!$R:$R,MATCH(AF15,V!$L:$L,0)),"")</f>
        <v>57</v>
      </c>
      <c r="AF15" s="407" t="str">
        <f t="shared" si="1"/>
        <v>Tõnu Kapper</v>
      </c>
      <c r="AG15" s="406">
        <f>IFERROR(INDEX(V!$R:$R,MATCH(AH15,V!$L:$L,0)),"")</f>
        <v>152</v>
      </c>
      <c r="AH15" s="407" t="str">
        <f t="shared" si="2"/>
        <v>Vladimir Ogneštšikov</v>
      </c>
      <c r="AI15" s="406" t="str">
        <f>IFERROR(INDEX(V!$R:$R,MATCH(AJ15,V!$L:$L,0)),"")</f>
        <v/>
      </c>
      <c r="AJ15" s="407" t="str">
        <f t="shared" si="3"/>
        <v/>
      </c>
      <c r="AK15" s="406" t="str">
        <f>IFERROR(INDEX(V!$R:$R,MATCH(AL15,V!$L:$L,0)),"")</f>
        <v/>
      </c>
      <c r="AL15" s="407" t="str">
        <f t="shared" si="4"/>
        <v/>
      </c>
      <c r="AM15" s="406" t="str">
        <f>IFERROR(INDEX(V!$R:$R,MATCH(AN15,V!$L:$L,0)),"")</f>
        <v/>
      </c>
      <c r="AN15" s="407" t="str">
        <f t="shared" si="5"/>
        <v/>
      </c>
      <c r="AO15" s="406" t="str">
        <f>IFERROR(INDEX(V!$R:$R,MATCH(AP15,V!$L:$L,0)),"")</f>
        <v/>
      </c>
      <c r="AP15" s="407" t="str">
        <f t="shared" si="6"/>
        <v/>
      </c>
    </row>
    <row r="16" spans="1:42" x14ac:dyDescent="0.2">
      <c r="A16" s="316">
        <v>3</v>
      </c>
      <c r="B16" s="488" t="s">
        <v>283</v>
      </c>
      <c r="C16" s="318">
        <v>9</v>
      </c>
      <c r="D16" s="655">
        <v>13</v>
      </c>
      <c r="E16" s="319"/>
      <c r="F16" s="654">
        <v>12</v>
      </c>
      <c r="G16" s="318"/>
      <c r="H16" s="317" t="str">
        <f>(IF(C16-E14&gt;0,1)+IF(D16-E15&gt;0,1)+IF(F16-E17&gt;0,1)+IF(G16-E18&gt;0,1))&amp;"-"&amp;(IF(C16-E14&lt;0,1)+IF(D16-E15&lt;0,1)+IF(F16-E17&lt;0,1)+IF(G16-E18&lt;0,1))</f>
        <v>1-2</v>
      </c>
      <c r="I16" s="318" t="str">
        <f>IF(AND(B16&lt;&gt;"",R$6=TRUE),A$13&amp;RANK(S16,S$14:S$18,0)," ")</f>
        <v>B3</v>
      </c>
      <c r="J16" s="489">
        <f>IF(AND(Q16=1,Q14=1,C16&gt;E14),1)+IF(AND(Q16=1,Q15=1,D16&gt;E15),1)+IF(AND(Q16=1,Q17=1,F16&gt;E17),1)+IF(AND(Q16=1,Q18=1,G16&gt;E18),1)+IF(AND(Q16=2,Q14=2,C16&gt;E14),1)+IF(AND(Q16=2,Q15=2,D16&gt;E15),1)+IF(AND(Q16=2,Q17=2,F16&gt;E17),1)+IF(AND(Q16=2,Q18=2,G16&gt;E18),1)+IF(AND(Q16=3,Q14=3,C16&gt;E14),1)+IF(AND(Q16=3,Q15=3,D16&gt;E15),1)+IF(AND(Q16=3,Q17=3,F16&gt;E17),1)+IF(AND(Q16=3,Q18=3,G16&gt;E18),1)</f>
        <v>1</v>
      </c>
      <c r="K16" s="483">
        <f>SUM(AND(T16=T14,C16&gt;E14),AND(T16=T15,D16&gt;E15),AND(T16=T17,F16&gt;E17),AND(T16=T18,G16&gt;E18))</f>
        <v>1</v>
      </c>
      <c r="L16" s="490">
        <f>IF(AND(Q16=1,Q14=1),C16-E14)+IF(AND(Q16=1,Q15=1),D16-E15)+IF(AND(Q16=1,Q17=1),F16-E17)+IF(AND(Q16=1,Q18=1),G16-E18)+IF(AND(Q16=2,Q14=2),C16-E14)+IF(AND(Q16=2,Q15=2),D16-E15)+IF(AND(Q16=2,Q17=2),F16-E17)+IF(AND(Q16=2,Q18=2),G16-E18)+IF(AND(Q16=3,Q14=3),C16-E14)+IF(AND(Q16=3,Q15=3),D16-E15)+IF(AND(Q16=3,Q17=3),F16-E17)+IF(AND(Q16=3,Q18=3),G16-E18)+IF(AND(Q16=4,Q14=4),C16-E14)+IF(AND(Q16=4,Q15=4),D16-E15)+IF(AND(Q16=4,Q17=4),F16-E17)+IF(AND(Q16=4,Q18=4),G16-E18)</f>
        <v>0</v>
      </c>
      <c r="M16" s="483">
        <f>SUM(AND(R16=R14,C16&gt;E14),AND(R16=R15,D16&gt;E15),AND(R16=R17,F16&gt;E17),AND(R16=R18,G16&gt;E18))</f>
        <v>0</v>
      </c>
      <c r="N16" s="537" t="str">
        <f>SUM(C16:G16)&amp;"-"&amp;SUM(E14:E18)</f>
        <v>34-38</v>
      </c>
      <c r="O16" s="538">
        <f>C16+D16+F16+G16-E14-E15-E17-E18</f>
        <v>-4</v>
      </c>
      <c r="P16" s="485">
        <f>SUM(C16:G16,E14:E18)/SUM(E14:E18)</f>
        <v>1.8947368421052631</v>
      </c>
      <c r="Q16" s="491">
        <f>VALUE(LEFT(H16,1))</f>
        <v>1</v>
      </c>
      <c r="R16" s="321">
        <f>Q16*100000+J16*10000+K16*1000+100*L16</f>
        <v>111000</v>
      </c>
      <c r="S16" s="486">
        <f>R16+M16*0.1+IF(ISNONTEXT(B16),0,0.01)+0.0001*O16</f>
        <v>111000.00959999999</v>
      </c>
      <c r="T16" s="487" t="str">
        <f>Q16&amp;J16</f>
        <v>11</v>
      </c>
      <c r="U16" s="477"/>
      <c r="V16" s="477"/>
      <c r="W16" s="477"/>
      <c r="X16" s="477"/>
      <c r="Y16" s="477"/>
      <c r="Z16" s="477"/>
      <c r="AA16" s="477"/>
      <c r="AB16" s="477"/>
      <c r="AC16" s="485"/>
      <c r="AD16" s="405">
        <f t="shared" si="0"/>
        <v>171</v>
      </c>
      <c r="AE16" s="406">
        <f>IFERROR(INDEX(V!$R:$R,MATCH(AF16,V!$L:$L,0)),"")</f>
        <v>104</v>
      </c>
      <c r="AF16" s="407" t="str">
        <f t="shared" si="1"/>
        <v>Andres Veski</v>
      </c>
      <c r="AG16" s="406">
        <f>IFERROR(INDEX(V!$R:$R,MATCH(AH16,V!$L:$L,0)),"")</f>
        <v>67</v>
      </c>
      <c r="AH16" s="407" t="str">
        <f t="shared" si="2"/>
        <v>Svetlana Veski</v>
      </c>
      <c r="AI16" s="406" t="str">
        <f>IFERROR(INDEX(V!$R:$R,MATCH(AJ16,V!$L:$L,0)),"")</f>
        <v/>
      </c>
      <c r="AJ16" s="407" t="str">
        <f t="shared" si="3"/>
        <v/>
      </c>
      <c r="AK16" s="406" t="str">
        <f>IFERROR(INDEX(V!$R:$R,MATCH(AL16,V!$L:$L,0)),"")</f>
        <v/>
      </c>
      <c r="AL16" s="407" t="str">
        <f t="shared" si="4"/>
        <v/>
      </c>
      <c r="AM16" s="406" t="str">
        <f>IFERROR(INDEX(V!$R:$R,MATCH(AN16,V!$L:$L,0)),"")</f>
        <v/>
      </c>
      <c r="AN16" s="407" t="str">
        <f t="shared" si="5"/>
        <v/>
      </c>
      <c r="AO16" s="406" t="str">
        <f>IFERROR(INDEX(V!$R:$R,MATCH(AP16,V!$L:$L,0)),"")</f>
        <v/>
      </c>
      <c r="AP16" s="407" t="str">
        <f t="shared" si="6"/>
        <v/>
      </c>
    </row>
    <row r="17" spans="1:42" x14ac:dyDescent="0.2">
      <c r="A17" s="316">
        <v>4</v>
      </c>
      <c r="B17" s="493" t="s">
        <v>432</v>
      </c>
      <c r="C17" s="318">
        <v>2</v>
      </c>
      <c r="D17" s="655">
        <v>10</v>
      </c>
      <c r="E17" s="654">
        <v>13</v>
      </c>
      <c r="F17" s="319"/>
      <c r="G17" s="511"/>
      <c r="H17" s="317" t="str">
        <f>(IF(C17-F14&gt;0,1)+IF(D17-F15&gt;0,1)+IF(E17-F16&gt;0,1)+IF(G17-F18&gt;0,1))&amp;"-"&amp;(IF(C17-F14&lt;0,1)+IF(D17-F15&lt;0,1)+IF(E17-F16&lt;0,1)+IF(G17-F18&lt;0,1))</f>
        <v>1-2</v>
      </c>
      <c r="I17" s="318" t="str">
        <f>IF(AND(B17&lt;&gt;"",R$6=TRUE),A$13&amp;RANK(S17,S$14:S$18,0)," ")</f>
        <v>B4</v>
      </c>
      <c r="J17" s="489">
        <f>IF(AND(Q17=1,Q14=1,C17&gt;F14),1)+IF(AND(Q17=1,Q15=1,D17&gt;F15),1)+IF(AND(Q17=1,Q16=1,E17&gt;F16),1)+IF(AND(Q17=1,Q18=1,G17&gt;F18),1)+IF(AND(Q17=2,Q14=2,C17&gt;F14),1)+IF(AND(Q17=2,Q15=2,D17&gt;F15),1)+IF(AND(Q17=2,Q16=2,E17&gt;F16),1)+IF(AND(Q17=2,Q18=2,G17&gt;F18),1)+IF(AND(Q17=3,Q14=3,C17&gt;F14),1)+IF(AND(Q17=3,Q15=3,D17&gt;F15),1)+IF(AND(Q17=3,Q16=3,E17&gt;F16),1)+IF(AND(Q17=3,Q18=3,G17&gt;F18),1)</f>
        <v>1</v>
      </c>
      <c r="K17" s="483">
        <f>SUM(AND(T17=T14,C17&gt;F14),AND(T17=T15,D17&gt;F15),AND(T17=T16,E17&gt;F16),AND(T17=T18,G17&gt;F18))</f>
        <v>1</v>
      </c>
      <c r="L17" s="490">
        <f>IF(AND(Q17=1,Q14=1),C17-F14)+IF(AND(Q17=1,Q15=1),D17-F15)+IF(AND(Q17=1,Q16=1),E17-F16)+IF(AND(Q17=1,Q18=1),G17-F18)+IF(AND(Q17=2,Q14=2),C17-F14)+IF(AND(Q17=2,Q15=2),D17-F15)+IF(AND(Q17=2,Q16=2),E17-F16)+IF(AND(Q17=2,Q18=2),G17-F18)+IF(AND(Q17=3,Q14=3),C17-F14)+IF(AND(Q17=3,Q15=3),D17-F15)+IF(AND(Q17=3,Q16=3),E17-F16)+IF(AND(Q17=3,Q18=3),G17-F18)+IF(AND(Q17=4,Q14=4),C17-F14)+IF(AND(Q17=4,Q15=4),D17-F15)+IF(AND(Q17=4,Q16=4),E17-F16)+IF(AND(Q17=4,Q18=4),G17-F18)</f>
        <v>-2</v>
      </c>
      <c r="M17" s="483">
        <f>SUM(AND(R17=R14,C17&gt;F14),AND(R17=R15,D17&gt;F15),AND(R17=R16,E17&gt;F16),AND(R17=R18,G17&gt;F18))</f>
        <v>0</v>
      </c>
      <c r="N17" s="537" t="str">
        <f>SUM(C17:G17)&amp;"-"&amp;SUM(F14:F18)</f>
        <v>25-38</v>
      </c>
      <c r="O17" s="538">
        <f>C17+D17+E17+G17-F14-F15-F16-F18</f>
        <v>-13</v>
      </c>
      <c r="P17" s="485">
        <f>SUM(C17:G17,F14:F18)/SUM(F14:F18)</f>
        <v>1.6578947368421053</v>
      </c>
      <c r="Q17" s="491">
        <f>VALUE(LEFT(H17,1))</f>
        <v>1</v>
      </c>
      <c r="R17" s="321">
        <f>Q17*100000+J17*10000+K17*1000+100*L17</f>
        <v>110800</v>
      </c>
      <c r="S17" s="486">
        <f>R17+M17*0.1+IF(ISNONTEXT(B17),0,0.01)+0.0001*O17</f>
        <v>110800.00869999999</v>
      </c>
      <c r="T17" s="487" t="str">
        <f>Q17&amp;J17</f>
        <v>11</v>
      </c>
      <c r="U17" s="477"/>
      <c r="V17" s="477"/>
      <c r="W17" s="477"/>
      <c r="X17" s="477"/>
      <c r="Y17" s="477"/>
      <c r="Z17" s="477"/>
      <c r="AA17" s="477"/>
      <c r="AB17" s="477"/>
      <c r="AC17" s="485"/>
      <c r="AD17" s="405">
        <f t="shared" si="0"/>
        <v>17</v>
      </c>
      <c r="AE17" s="406">
        <f>IFERROR(INDEX(V!$R:$R,MATCH(AF17,V!$L:$L,0)),"")</f>
        <v>17</v>
      </c>
      <c r="AF17" s="407" t="str">
        <f t="shared" si="1"/>
        <v>Aleksandr Tipakov</v>
      </c>
      <c r="AG17" s="406" t="str">
        <f>IFERROR(INDEX(V!$R:$R,MATCH(AH17,V!$L:$L,0)),"")</f>
        <v/>
      </c>
      <c r="AH17" s="407" t="str">
        <f t="shared" si="2"/>
        <v>Anton Tipakov</v>
      </c>
      <c r="AI17" s="406" t="str">
        <f>IFERROR(INDEX(V!$R:$R,MATCH(AJ17,V!$L:$L,0)),"")</f>
        <v/>
      </c>
      <c r="AJ17" s="407" t="str">
        <f t="shared" si="3"/>
        <v/>
      </c>
      <c r="AK17" s="406" t="str">
        <f>IFERROR(INDEX(V!$R:$R,MATCH(AL17,V!$L:$L,0)),"")</f>
        <v/>
      </c>
      <c r="AL17" s="407" t="str">
        <f t="shared" si="4"/>
        <v/>
      </c>
      <c r="AM17" s="406" t="str">
        <f>IFERROR(INDEX(V!$R:$R,MATCH(AN17,V!$L:$L,0)),"")</f>
        <v/>
      </c>
      <c r="AN17" s="407" t="str">
        <f t="shared" si="5"/>
        <v/>
      </c>
      <c r="AO17" s="406" t="str">
        <f>IFERROR(INDEX(V!$R:$R,MATCH(AP17,V!$L:$L,0)),"")</f>
        <v/>
      </c>
      <c r="AP17" s="407" t="str">
        <f t="shared" si="6"/>
        <v/>
      </c>
    </row>
    <row r="18" spans="1:42" hidden="1" x14ac:dyDescent="0.2">
      <c r="A18" s="316">
        <v>5</v>
      </c>
      <c r="B18" s="493"/>
      <c r="C18" s="318"/>
      <c r="D18" s="318"/>
      <c r="E18" s="318"/>
      <c r="F18" s="318"/>
      <c r="G18" s="319"/>
      <c r="H18" s="317" t="str">
        <f>(IF(C18-G14&gt;0,1)+IF(D18-G15&gt;0,1)+IF(E18-G16&gt;0,1)+IF(F18-G17&gt;0,1))&amp;"-"&amp;(IF(C18-G14&lt;0,1)+IF(D18-G15&lt;0,1)+IF(E18-G16&lt;0,1)+IF(F18-G17&lt;0,1))</f>
        <v>0-0</v>
      </c>
      <c r="I18" s="318" t="str">
        <f>IF(AND(B18&lt;&gt;"",R$6=TRUE),A$13&amp;RANK(S18,S$14:S$18,0)," ")</f>
        <v xml:space="preserve"> </v>
      </c>
      <c r="J18" s="489">
        <f>IF(AND(Q18=1,Q14=1,C18&gt;G14),1)+IF(AND(Q18=1,Q15=1,D18&gt;G15),1)+IF(AND(Q18=1,Q16=1,E18&gt;G16),1)+IF(AND(Q18=1,Q17=1,F18&gt;G17),1)+IF(AND(Q18=2,Q14=2,C18&gt;G14),1)+IF(AND(Q18=2,Q15=2,D18&gt;G15),1)+IF(AND(Q18=2,Q16=2,E18&gt;G16),1)+IF(AND(Q18=2,Q17=2,F18&gt;G17),1)+IF(AND(Q18=3,Q14=3,C18&gt;G14),1)+IF(AND(Q18=3,Q15=3,D18&gt;G15),1)+IF(AND(Q18=3,Q16=3,E18&gt;G16),1)+IF(AND(Q18=3,Q17=3,F18&gt;G17),1)</f>
        <v>0</v>
      </c>
      <c r="K18" s="483">
        <f>SUM(AND(T18=T14,C18&gt;G14),AND(T18=T15,D18&gt;G15),AND(T18=T16,E18&gt;G16),AND(T18=T17,F18&gt;G17))</f>
        <v>0</v>
      </c>
      <c r="L18" s="490">
        <f>IF(AND(Q18=1,Q14=1),C18-G14)+IF(AND(Q18=1,Q15=1),D18-G15)+IF(AND(Q18=1,Q16=1),E18-G16)+IF(AND(Q18=1,Q17=1),F18-G17)+IF(AND(Q18=2,Q14=2),C18-G14)+IF(AND(Q18=2,Q15=2),D18-G15)+IF(AND(Q18=2,Q16=2),E18-G16)+IF(AND(Q18=2,Q17=2),F18-G17)+IF(AND(Q18=3,Q14=3),C18-G14)+IF(AND(Q18=3,Q15=3),D18-G15)+IF(AND(Q18=3,Q16=3),E18-G16)+IF(AND(Q18=3,Q17=3),F18-G17)+IF(AND(Q18=4,Q14=4),C18-G14)+IF(AND(Q18=4,Q15=4),D18-G15)+IF(AND(Q18=4,Q16=4),E18-G16)+IF(AND(Q18=4,Q17=4),F18-G17)</f>
        <v>0</v>
      </c>
      <c r="M18" s="483">
        <f>SUM(AND(R18=R14,C18&gt;G14),AND(R18=R15,D18&gt;G15),AND(R18=R16,E18&gt;G16),AND(R18=R17,F18&gt;G17))</f>
        <v>0</v>
      </c>
      <c r="N18" s="537" t="str">
        <f>SUM(C18:G18)&amp;"-"&amp;SUM(G14:G18)</f>
        <v>0-0</v>
      </c>
      <c r="O18" s="538">
        <f>C18+D18+E18+F18-G14-G15-G16-G17</f>
        <v>0</v>
      </c>
      <c r="P18" s="485" t="e">
        <f>SUM(C18:G18,G14:G18)/SUM(G14:G18)</f>
        <v>#DIV/0!</v>
      </c>
      <c r="Q18" s="491">
        <f>VALUE(LEFT(H18,1))</f>
        <v>0</v>
      </c>
      <c r="R18" s="321">
        <f>Q18*100000+J18*10000+K18*1000+100*L18</f>
        <v>0</v>
      </c>
      <c r="S18" s="486">
        <f>R18+M18*0.1+IF(ISNONTEXT(B18),0,0.01)+0.0001*O18</f>
        <v>0</v>
      </c>
      <c r="T18" s="487" t="str">
        <f>Q18&amp;J18</f>
        <v>00</v>
      </c>
      <c r="U18" s="477"/>
      <c r="V18" s="477"/>
      <c r="W18" s="477"/>
      <c r="X18" s="477"/>
      <c r="Y18" s="477"/>
      <c r="Z18" s="477"/>
      <c r="AA18" s="477"/>
      <c r="AB18" s="477"/>
      <c r="AC18" s="485"/>
      <c r="AD18" s="405">
        <f t="shared" si="0"/>
        <v>0</v>
      </c>
      <c r="AE18" s="406" t="str">
        <f>IFERROR(INDEX(V!$R:$R,MATCH(AF18,V!$L:$L,0)),"")</f>
        <v/>
      </c>
      <c r="AF18" s="407" t="str">
        <f t="shared" si="1"/>
        <v/>
      </c>
      <c r="AG18" s="406" t="str">
        <f>IFERROR(INDEX(V!$R:$R,MATCH(AH18,V!$L:$L,0)),"")</f>
        <v/>
      </c>
      <c r="AH18" s="407" t="str">
        <f t="shared" si="2"/>
        <v/>
      </c>
      <c r="AI18" s="406" t="str">
        <f>IFERROR(INDEX(V!$R:$R,MATCH(AJ18,V!$L:$L,0)),"")</f>
        <v/>
      </c>
      <c r="AJ18" s="407" t="str">
        <f t="shared" si="3"/>
        <v/>
      </c>
      <c r="AK18" s="406" t="str">
        <f>IFERROR(INDEX(V!$R:$R,MATCH(AL18,V!$L:$L,0)),"")</f>
        <v/>
      </c>
      <c r="AL18" s="407" t="str">
        <f t="shared" si="4"/>
        <v/>
      </c>
      <c r="AM18" s="406" t="str">
        <f>IFERROR(INDEX(V!$R:$R,MATCH(AN18,V!$L:$L,0)),"")</f>
        <v/>
      </c>
      <c r="AN18" s="407" t="str">
        <f t="shared" si="5"/>
        <v/>
      </c>
      <c r="AO18" s="406" t="str">
        <f>IFERROR(INDEX(V!$R:$R,MATCH(AP18,V!$L:$L,0)),"")</f>
        <v/>
      </c>
      <c r="AP18" s="407" t="str">
        <f t="shared" si="6"/>
        <v/>
      </c>
    </row>
    <row r="19" spans="1:42" x14ac:dyDescent="0.2">
      <c r="A19" s="494"/>
      <c r="B19" s="495"/>
      <c r="C19" s="496"/>
      <c r="D19" s="497"/>
      <c r="E19" s="496"/>
      <c r="F19" s="498"/>
      <c r="G19" s="499"/>
      <c r="H19" s="500"/>
      <c r="I19" s="512"/>
      <c r="J19" s="477"/>
      <c r="K19" s="477"/>
      <c r="L19" s="477"/>
      <c r="M19" s="477"/>
      <c r="N19" s="539"/>
      <c r="O19" s="539"/>
      <c r="P19" s="477"/>
      <c r="Q19" s="477"/>
      <c r="R19" s="502" t="s">
        <v>264</v>
      </c>
      <c r="S19" s="477"/>
      <c r="T19" s="477"/>
      <c r="U19" s="477"/>
      <c r="V19" s="477"/>
      <c r="W19" s="477"/>
      <c r="X19" s="477"/>
      <c r="Y19" s="477"/>
      <c r="Z19" s="477"/>
      <c r="AA19" s="477"/>
      <c r="AB19" s="477"/>
      <c r="AC19" s="485"/>
      <c r="AD19" s="405">
        <f t="shared" si="0"/>
        <v>0</v>
      </c>
      <c r="AE19" s="406" t="str">
        <f>IFERROR(INDEX(V!$R:$R,MATCH(AF19,V!$L:$L,0)),"")</f>
        <v/>
      </c>
      <c r="AF19" s="407" t="str">
        <f t="shared" si="1"/>
        <v/>
      </c>
      <c r="AG19" s="406" t="str">
        <f>IFERROR(INDEX(V!$R:$R,MATCH(AH19,V!$L:$L,0)),"")</f>
        <v/>
      </c>
      <c r="AH19" s="407" t="str">
        <f t="shared" si="2"/>
        <v/>
      </c>
      <c r="AI19" s="406" t="str">
        <f>IFERROR(INDEX(V!$R:$R,MATCH(AJ19,V!$L:$L,0)),"")</f>
        <v/>
      </c>
      <c r="AJ19" s="407" t="str">
        <f t="shared" si="3"/>
        <v/>
      </c>
      <c r="AK19" s="406" t="str">
        <f>IFERROR(INDEX(V!$R:$R,MATCH(AL19,V!$L:$L,0)),"")</f>
        <v/>
      </c>
      <c r="AL19" s="407" t="str">
        <f t="shared" si="4"/>
        <v/>
      </c>
      <c r="AM19" s="406" t="str">
        <f>IFERROR(INDEX(V!$R:$R,MATCH(AN19,V!$L:$L,0)),"")</f>
        <v/>
      </c>
      <c r="AN19" s="407" t="str">
        <f t="shared" si="5"/>
        <v/>
      </c>
      <c r="AO19" s="406" t="str">
        <f>IFERROR(INDEX(V!$R:$R,MATCH(AP19,V!$L:$L,0)),"")</f>
        <v/>
      </c>
      <c r="AP19" s="407" t="str">
        <f t="shared" si="6"/>
        <v/>
      </c>
    </row>
    <row r="20" spans="1:42" x14ac:dyDescent="0.2">
      <c r="A20" s="316" t="s">
        <v>2</v>
      </c>
      <c r="B20" s="503"/>
      <c r="C20" s="467">
        <v>1</v>
      </c>
      <c r="D20" s="467">
        <v>2</v>
      </c>
      <c r="E20" s="467">
        <v>3</v>
      </c>
      <c r="F20" s="467">
        <v>4</v>
      </c>
      <c r="G20" s="467"/>
      <c r="H20" s="468" t="s">
        <v>168</v>
      </c>
      <c r="I20" s="468" t="s">
        <v>169</v>
      </c>
      <c r="J20" s="504" t="s">
        <v>257</v>
      </c>
      <c r="K20" s="505" t="s">
        <v>258</v>
      </c>
      <c r="L20" s="506" t="s">
        <v>259</v>
      </c>
      <c r="M20" s="506" t="s">
        <v>260</v>
      </c>
      <c r="N20" s="472" t="s">
        <v>170</v>
      </c>
      <c r="O20" s="472" t="s">
        <v>170</v>
      </c>
      <c r="P20" s="473" t="s">
        <v>261</v>
      </c>
      <c r="Q20" s="507" t="s">
        <v>21</v>
      </c>
      <c r="R20" s="507" t="b">
        <f>OR(AND(COUNTA(B21:B25)=3,COUNTA(C21:G25)=6),AND(COUNTA(B21:B25)=4,COUNTA(C21:G25)=12),AND(COUNTA(B21:B25)=5,COUNTA(C21:G25)=20))</f>
        <v>1</v>
      </c>
      <c r="S20" s="508" t="s">
        <v>262</v>
      </c>
      <c r="T20" s="509" t="s">
        <v>263</v>
      </c>
      <c r="U20" s="477"/>
      <c r="V20" s="477"/>
      <c r="W20" s="477"/>
      <c r="X20" s="477"/>
      <c r="Y20" s="477"/>
      <c r="Z20" s="477"/>
      <c r="AA20" s="477"/>
      <c r="AB20" s="477"/>
      <c r="AC20" s="477"/>
      <c r="AD20" s="405">
        <f t="shared" si="0"/>
        <v>0</v>
      </c>
      <c r="AE20" s="406" t="str">
        <f>IFERROR(INDEX(V!$R:$R,MATCH(AF20,V!$L:$L,0)),"")</f>
        <v/>
      </c>
      <c r="AF20" s="407" t="str">
        <f t="shared" si="1"/>
        <v/>
      </c>
      <c r="AG20" s="406" t="str">
        <f>IFERROR(INDEX(V!$R:$R,MATCH(AH20,V!$L:$L,0)),"")</f>
        <v/>
      </c>
      <c r="AH20" s="407" t="str">
        <f t="shared" si="2"/>
        <v/>
      </c>
      <c r="AI20" s="406" t="str">
        <f>IFERROR(INDEX(V!$R:$R,MATCH(AJ20,V!$L:$L,0)),"")</f>
        <v/>
      </c>
      <c r="AJ20" s="407" t="str">
        <f t="shared" si="3"/>
        <v/>
      </c>
      <c r="AK20" s="406" t="str">
        <f>IFERROR(INDEX(V!$R:$R,MATCH(AL20,V!$L:$L,0)),"")</f>
        <v/>
      </c>
      <c r="AL20" s="407" t="str">
        <f t="shared" si="4"/>
        <v/>
      </c>
      <c r="AM20" s="406" t="str">
        <f>IFERROR(INDEX(V!$R:$R,MATCH(AN20,V!$L:$L,0)),"")</f>
        <v/>
      </c>
      <c r="AN20" s="407" t="str">
        <f t="shared" si="5"/>
        <v/>
      </c>
      <c r="AO20" s="406" t="str">
        <f>IFERROR(INDEX(V!$R:$R,MATCH(AP20,V!$L:$L,0)),"")</f>
        <v/>
      </c>
      <c r="AP20" s="407" t="str">
        <f t="shared" si="6"/>
        <v/>
      </c>
    </row>
    <row r="21" spans="1:42" x14ac:dyDescent="0.2">
      <c r="A21" s="316">
        <v>1</v>
      </c>
      <c r="B21" s="479" t="s">
        <v>431</v>
      </c>
      <c r="C21" s="319"/>
      <c r="D21" s="318">
        <v>13</v>
      </c>
      <c r="E21" s="318">
        <v>13</v>
      </c>
      <c r="F21" s="534">
        <v>10</v>
      </c>
      <c r="G21" s="318"/>
      <c r="H21" s="317" t="str">
        <f>(IF(D21-C22&gt;0,1)+IF(E21-C23&gt;0,1)+IF(F21-C24&gt;0,1)+IF(G21-C25&gt;0,1))&amp;"-"&amp;(IF(D21-C22&lt;0,1)+IF(E21-C23&lt;0,1)+IF(F21-C24&lt;0,1)+IF(G21-C25&lt;0,1))</f>
        <v>2-1</v>
      </c>
      <c r="I21" s="318" t="str">
        <f>IF(AND(B21&lt;&gt;"",R$20=TRUE),A$20&amp;RANK(S21,S$21:S$25,0)," ")</f>
        <v>C2</v>
      </c>
      <c r="J21" s="480">
        <f>IF(AND(Q21=1,Q22=1,D21&gt;C22),1)+IF(AND(Q21=1,Q23=1,E21&gt;C23),1)+IF(AND(Q21=1,Q24=1,F21&gt;C24),1)+IF(AND(Q21=1,Q25=1,G21&gt;C25),1)+IF(AND(Q21=2,Q22=2,D21&gt;C22),1)+IF(AND(Q21=2,Q23=2,E21&gt;C23),1)+IF(AND(Q21=2,Q24=2,F21&gt;C24),1)+IF(AND(Q21=2,Q25=2,G21&gt;C25),1)+IF(AND(Q21=3,Q22=3,D21&gt;C22),1)+IF(AND(Q21=3,Q23=3,E21&gt;C23),1)+IF(AND(Q21=3,Q24=3,F21&gt;C24),1)+IF(AND(Q21=3,Q25=3,G21&gt;C25),1)</f>
        <v>0</v>
      </c>
      <c r="K21" s="481">
        <f>SUM(AND(T21=T22,D21&gt;C22),AND(T21=T23,E21&gt;C23),AND(T21=T24,F21&gt;C24),AND(T21=T25,G21&gt;C25))</f>
        <v>0</v>
      </c>
      <c r="L21" s="482">
        <f>IF(AND(Q21=1,Q22=1),D21-C22)+IF(AND(Q21=1,Q23=1),E21-C23)+IF(AND(Q21=1,Q24=1),F21-C24)+IF(AND(Q21=1,Q25=1),G21-C25)+IF(AND(Q21=2,Q22=2),D21-C22)+IF(AND(Q21=2,Q23=2),E21-C23)+IF(AND(Q21=2,Q24=2),F21-C24)+IF(AND(Q21=2,Q25=2),G21-C25)+IF(AND(Q21=3,Q22=3),D21-C22)+IF(AND(Q21=3,Q23=3),E21-C23)+IF(AND(Q21=3,Q24=3),F21-C24)+IF(AND(Q21=3,Q25=3),G21-C25)+IF(AND(Q21=4,Q22=4),D21-C22)+IF(AND(Q21=4,Q23=4),E21-C23)+IF(AND(Q21=4,Q24=4),F21-C24)+IF(AND(Q21=4,Q25=4),G21-C25)</f>
        <v>-3</v>
      </c>
      <c r="M21" s="483">
        <f>SUM(AND(R21=R22,D21&gt;C22),AND(R21=R23,E21&gt;C23),AND(R21=R24,F21&gt;C24),AND(R21=R25,G21&gt;C25))</f>
        <v>0</v>
      </c>
      <c r="N21" s="537" t="str">
        <f>SUM(C21:G21)&amp;"-"&amp;SUM(C21:C25)</f>
        <v>36-20</v>
      </c>
      <c r="O21" s="538">
        <f>D21+E21+F21+G21-C22-C23-C24-C25</f>
        <v>16</v>
      </c>
      <c r="P21" s="485">
        <f>SUM(C21:G21,C21:C25)/SUM(C21:C25)</f>
        <v>2.8</v>
      </c>
      <c r="Q21" s="320">
        <f>VALUE(LEFT(H21,1))</f>
        <v>2</v>
      </c>
      <c r="R21" s="321">
        <f>Q21*100000+J21*10000+K21*1000+100*L21</f>
        <v>199700</v>
      </c>
      <c r="S21" s="486">
        <f>R21+M21*0.1+IF(ISNONTEXT(B21),0,0.01)+0.0001*O21</f>
        <v>199700.0116</v>
      </c>
      <c r="T21" s="487" t="str">
        <f>Q21&amp;J21</f>
        <v>20</v>
      </c>
      <c r="U21" s="477"/>
      <c r="V21" s="477"/>
      <c r="W21" s="477"/>
      <c r="X21" s="477"/>
      <c r="Y21" s="477"/>
      <c r="Z21" s="477"/>
      <c r="AA21" s="477"/>
      <c r="AB21" s="477"/>
      <c r="AC21" s="477"/>
      <c r="AD21" s="405">
        <f t="shared" si="0"/>
        <v>245</v>
      </c>
      <c r="AE21" s="406">
        <f>IFERROR(INDEX(V!$R:$R,MATCH(AF21,V!$L:$L,0)),"")</f>
        <v>133.5</v>
      </c>
      <c r="AF21" s="407" t="str">
        <f t="shared" si="1"/>
        <v>Tõnu Piik</v>
      </c>
      <c r="AG21" s="406">
        <f>IFERROR(INDEX(V!$R:$R,MATCH(AH21,V!$L:$L,0)),"")</f>
        <v>111.5</v>
      </c>
      <c r="AH21" s="407" t="str">
        <f t="shared" si="2"/>
        <v>Ülo Piik</v>
      </c>
      <c r="AI21" s="406" t="str">
        <f>IFERROR(INDEX(V!$R:$R,MATCH(AJ21,V!$L:$L,0)),"")</f>
        <v/>
      </c>
      <c r="AJ21" s="407" t="str">
        <f t="shared" si="3"/>
        <v/>
      </c>
      <c r="AK21" s="406" t="str">
        <f>IFERROR(INDEX(V!$R:$R,MATCH(AL21,V!$L:$L,0)),"")</f>
        <v/>
      </c>
      <c r="AL21" s="407" t="str">
        <f t="shared" si="4"/>
        <v/>
      </c>
      <c r="AM21" s="406" t="str">
        <f>IFERROR(INDEX(V!$R:$R,MATCH(AN21,V!$L:$L,0)),"")</f>
        <v/>
      </c>
      <c r="AN21" s="407" t="str">
        <f t="shared" si="5"/>
        <v/>
      </c>
      <c r="AO21" s="406" t="str">
        <f>IFERROR(INDEX(V!$R:$R,MATCH(AP21,V!$L:$L,0)),"")</f>
        <v/>
      </c>
      <c r="AP21" s="407" t="str">
        <f t="shared" si="6"/>
        <v/>
      </c>
    </row>
    <row r="22" spans="1:42" x14ac:dyDescent="0.2">
      <c r="A22" s="316">
        <v>2</v>
      </c>
      <c r="B22" s="488" t="s">
        <v>313</v>
      </c>
      <c r="C22" s="318">
        <v>6</v>
      </c>
      <c r="D22" s="319"/>
      <c r="E22" s="654">
        <v>7</v>
      </c>
      <c r="F22" s="318">
        <v>13</v>
      </c>
      <c r="G22" s="318"/>
      <c r="H22" s="317" t="str">
        <f>(IF(C22-D21&gt;0,1)+IF(E22-D23&gt;0,1)+IF(F22-D24&gt;0,1)+IF(G22-D25&gt;0,1))&amp;"-"&amp;(IF(C22-D21&lt;0,1)+IF(E22-D23&lt;0,1)+IF(F22-D24&lt;0,1)+IF(G22-D25&lt;0,1))</f>
        <v>1-2</v>
      </c>
      <c r="I22" s="318" t="str">
        <f t="shared" ref="I22:I25" si="7">IF(AND(B22&lt;&gt;"",R$20=TRUE),A$20&amp;RANK(S22,S$21:S$25,0)," ")</f>
        <v>C4</v>
      </c>
      <c r="J22" s="489">
        <f>IF(AND(Q22=1,Q21=1,C22&gt;D21),1)+IF(AND(Q22=1,Q23=1,E22&gt;D23),1)+IF(AND(Q22=1,Q24=1,F22&gt;D24),1)+IF(AND(Q22=1,Q25=1,G22&gt;D25),1)+IF(AND(Q22=2,Q21=2,C22&gt;D21),1)+IF(AND(Q22=2,Q23=2,E22&gt;D23),1)+IF(AND(Q22=2,Q24=2,F22&gt;D24),1)+IF(AND(Q22=2,Q25=2,G22&gt;D25),1)+IF(AND(Q22=3,Q21=3,C22&gt;D21),1)+IF(AND(Q22=3,Q23=3,E22&gt;D23),1)+IF(AND(Q22=3,Q24=3,F22&gt;D24),1)+IF(AND(Q22=3,Q25=3,G22&gt;D25),1)</f>
        <v>0</v>
      </c>
      <c r="K22" s="483">
        <f>SUM(AND(T22=T21,C22&gt;D21),AND(T22=T23,E22&gt;D23),AND(T22=T24,F22&gt;D24),AND(T22=T25,G22&gt;D25))</f>
        <v>0</v>
      </c>
      <c r="L22" s="490">
        <f>IF(AND(Q22=1,Q21=1),C22-D21)+IF(AND(Q22=1,Q23=1),E22-D23)+IF(AND(Q22=1,Q24=1),F22-D24)+IF(AND(Q22=1,Q25=1),G22-D25)+IF(AND(Q22=2,Q21=2),C22-D21)+IF(AND(Q22=2,Q23=2),E22-D23)+IF(AND(Q22=2,Q24=2),F22-D24)+IF(AND(Q22=2,Q25=2),G22-D25)+IF(AND(Q22=3,Q21=3),C22-D21)+IF(AND(Q22=3,Q23=3),E22-D23)+IF(AND(Q22=3,Q24=3),F22-D24)+IF(AND(Q22=3,Q25=3),G22-D25)+IF(AND(Q22=4,Q21=4),C22-D21)+IF(AND(Q22=4,Q23=4),E22-D23)+IF(AND(Q22=4,Q24=4),F22-D24)+IF(AND(Q22=4,Q25=4),G22-D25)</f>
        <v>-6</v>
      </c>
      <c r="M22" s="483">
        <f>SUM(AND(R22=R21,C22&gt;D21),AND(R22=R23,E22&gt;D23),AND(R22=R24,F22&gt;D24),AND(R22=R25,G22&gt;D25))</f>
        <v>0</v>
      </c>
      <c r="N22" s="537" t="str">
        <f>SUM(C22:G22)&amp;"-"&amp;SUM(D21:D25)</f>
        <v>26-32</v>
      </c>
      <c r="O22" s="538">
        <f>C22+E22+F22+G22-D21-D23-D24-D25</f>
        <v>-6</v>
      </c>
      <c r="P22" s="485">
        <f>SUM(C22:G22,D21:D25)/SUM(D21:D25)</f>
        <v>1.8125</v>
      </c>
      <c r="Q22" s="491">
        <f>VALUE(LEFT(H22,1))</f>
        <v>1</v>
      </c>
      <c r="R22" s="321">
        <f>Q22*100000+J22*10000+K22*1000+100*L22</f>
        <v>99400</v>
      </c>
      <c r="S22" s="486">
        <f>R22+M22*0.1+IF(ISNONTEXT(B22),0,0.01)+0.0001*O22</f>
        <v>99400.009399999995</v>
      </c>
      <c r="T22" s="487" t="str">
        <f>Q22&amp;J22</f>
        <v>10</v>
      </c>
      <c r="U22" s="477"/>
      <c r="V22" s="477"/>
      <c r="W22" s="477"/>
      <c r="X22" s="477"/>
      <c r="Y22" s="477"/>
      <c r="Z22" s="477"/>
      <c r="AA22" s="477"/>
      <c r="AB22" s="477"/>
      <c r="AC22" s="477"/>
      <c r="AD22" s="405">
        <f t="shared" si="0"/>
        <v>278</v>
      </c>
      <c r="AE22" s="406">
        <f>IFERROR(INDEX(V!$R:$R,MATCH(AF22,V!$L:$L,0)),"")</f>
        <v>145</v>
      </c>
      <c r="AF22" s="407" t="str">
        <f t="shared" si="1"/>
        <v>Aigi Orro</v>
      </c>
      <c r="AG22" s="406">
        <f>IFERROR(INDEX(V!$R:$R,MATCH(AH22,V!$L:$L,0)),"")</f>
        <v>133</v>
      </c>
      <c r="AH22" s="407" t="str">
        <f t="shared" si="2"/>
        <v>Kalle Orro</v>
      </c>
      <c r="AI22" s="406" t="str">
        <f>IFERROR(INDEX(V!$R:$R,MATCH(AJ22,V!$L:$L,0)),"")</f>
        <v/>
      </c>
      <c r="AJ22" s="407" t="str">
        <f t="shared" si="3"/>
        <v/>
      </c>
      <c r="AK22" s="406" t="str">
        <f>IFERROR(INDEX(V!$R:$R,MATCH(AL22,V!$L:$L,0)),"")</f>
        <v/>
      </c>
      <c r="AL22" s="407" t="str">
        <f t="shared" si="4"/>
        <v/>
      </c>
      <c r="AM22" s="406" t="str">
        <f>IFERROR(INDEX(V!$R:$R,MATCH(AN22,V!$L:$L,0)),"")</f>
        <v/>
      </c>
      <c r="AN22" s="407" t="str">
        <f t="shared" si="5"/>
        <v/>
      </c>
      <c r="AO22" s="406" t="str">
        <f>IFERROR(INDEX(V!$R:$R,MATCH(AP22,V!$L:$L,0)),"")</f>
        <v/>
      </c>
      <c r="AP22" s="407" t="str">
        <f t="shared" si="6"/>
        <v/>
      </c>
    </row>
    <row r="23" spans="1:42" x14ac:dyDescent="0.2">
      <c r="A23" s="316">
        <v>3</v>
      </c>
      <c r="B23" s="488" t="s">
        <v>430</v>
      </c>
      <c r="C23" s="318">
        <v>1</v>
      </c>
      <c r="D23" s="655">
        <v>13</v>
      </c>
      <c r="E23" s="319"/>
      <c r="F23" s="318">
        <v>4</v>
      </c>
      <c r="G23" s="318"/>
      <c r="H23" s="317" t="str">
        <f>(IF(C23-E21&gt;0,1)+IF(D23-E22&gt;0,1)+IF(F23-E24&gt;0,1)+IF(G23-E25&gt;0,1))&amp;"-"&amp;(IF(C23-E21&lt;0,1)+IF(D23-E22&lt;0,1)+IF(F23-E24&lt;0,1)+IF(G23-E25&lt;0,1))</f>
        <v>1-2</v>
      </c>
      <c r="I23" s="318" t="str">
        <f t="shared" si="7"/>
        <v>C3</v>
      </c>
      <c r="J23" s="489">
        <f>IF(AND(Q23=1,Q21=1,C23&gt;E21),1)+IF(AND(Q23=1,Q22=1,D23&gt;E22),1)+IF(AND(Q23=1,Q24=1,F23&gt;E24),1)+IF(AND(Q23=1,Q25=1,G23&gt;E25),1)+IF(AND(Q23=2,Q21=2,C23&gt;E21),1)+IF(AND(Q23=2,Q22=2,D23&gt;E22),1)+IF(AND(Q23=2,Q24=2,F23&gt;E24),1)+IF(AND(Q23=2,Q25=2,G23&gt;E25),1)+IF(AND(Q23=3,Q21=3,C23&gt;E21),1)+IF(AND(Q23=3,Q22=3,D23&gt;E22),1)+IF(AND(Q23=3,Q24=3,F23&gt;E24),1)+IF(AND(Q23=3,Q25=3,G23&gt;E25),1)</f>
        <v>1</v>
      </c>
      <c r="K23" s="483">
        <f>SUM(AND(T23=T21,C23&gt;E21),AND(T23=T22,D23&gt;E22),AND(T23=T24,F23&gt;E24),AND(T23=T25,G23&gt;E25))</f>
        <v>0</v>
      </c>
      <c r="L23" s="490">
        <f>IF(AND(Q23=1,Q21=1),C23-E21)+IF(AND(Q23=1,Q22=1),D23-E22)+IF(AND(Q23=1,Q24=1),F23-E24)+IF(AND(Q23=1,Q25=1),G23-E25)+IF(AND(Q23=2,Q21=2),C23-E21)+IF(AND(Q23=2,Q22=2),D23-E22)+IF(AND(Q23=2,Q24=2),F23-E24)+IF(AND(Q23=2,Q25=2),G23-E25)+IF(AND(Q23=3,Q21=3),C23-E21)+IF(AND(Q23=3,Q22=3),D23-E22)+IF(AND(Q23=3,Q24=3),F23-E24)+IF(AND(Q23=3,Q25=3),G23-E25)+IF(AND(Q23=4,Q21=4),C23-E21)+IF(AND(Q23=4,Q22=4),D23-E22)+IF(AND(Q23=4,Q24=4),F23-E24)+IF(AND(Q23=4,Q25=4),G23-E25)</f>
        <v>6</v>
      </c>
      <c r="M23" s="483">
        <f>SUM(AND(R23=R21,C23&gt;E21),AND(R23=R22,D23&gt;E22),AND(R23=R24,F23&gt;E24),AND(R23=R25,G23&gt;E25))</f>
        <v>0</v>
      </c>
      <c r="N23" s="537" t="str">
        <f>SUM(C23:G23)&amp;"-"&amp;SUM(E21:E25)</f>
        <v>18-33</v>
      </c>
      <c r="O23" s="538">
        <f>C23+D23+F23+G23-E21-E22-E24-E25</f>
        <v>-15</v>
      </c>
      <c r="P23" s="485">
        <f>SUM(C23:G23,E21:E25)/SUM(E21:E25)</f>
        <v>1.5454545454545454</v>
      </c>
      <c r="Q23" s="491">
        <f>VALUE(LEFT(H23,1))</f>
        <v>1</v>
      </c>
      <c r="R23" s="321">
        <f>Q23*100000+J23*10000+K23*1000+100*L23</f>
        <v>110600</v>
      </c>
      <c r="S23" s="486">
        <f>R23+M23*0.1+IF(ISNONTEXT(B23),0,0.01)+0.0001*O23</f>
        <v>110600.0085</v>
      </c>
      <c r="T23" s="487" t="str">
        <f>Q23&amp;J23</f>
        <v>11</v>
      </c>
      <c r="U23" s="477"/>
      <c r="V23" s="477"/>
      <c r="W23" s="477"/>
      <c r="X23" s="477"/>
      <c r="Y23" s="477"/>
      <c r="Z23" s="477"/>
      <c r="AA23" s="477"/>
      <c r="AB23" s="477"/>
      <c r="AC23" s="477"/>
      <c r="AD23" s="405">
        <f t="shared" si="0"/>
        <v>126</v>
      </c>
      <c r="AE23" s="406" t="str">
        <f>IFERROR(INDEX(V!$R:$R,MATCH(AF23,V!$L:$L,0)),"")</f>
        <v/>
      </c>
      <c r="AF23" s="407" t="str">
        <f t="shared" si="1"/>
        <v>Oksana Rõndenkova</v>
      </c>
      <c r="AG23" s="406">
        <f>IFERROR(INDEX(V!$R:$R,MATCH(AH23,V!$L:$L,0)),"")</f>
        <v>126</v>
      </c>
      <c r="AH23" s="407" t="str">
        <f t="shared" si="2"/>
        <v>Oleg Rõndenkov</v>
      </c>
      <c r="AI23" s="406" t="str">
        <f>IFERROR(INDEX(V!$R:$R,MATCH(AJ23,V!$L:$L,0)),"")</f>
        <v/>
      </c>
      <c r="AJ23" s="407" t="str">
        <f t="shared" si="3"/>
        <v/>
      </c>
      <c r="AK23" s="406" t="str">
        <f>IFERROR(INDEX(V!$R:$R,MATCH(AL23,V!$L:$L,0)),"")</f>
        <v/>
      </c>
      <c r="AL23" s="407" t="str">
        <f t="shared" si="4"/>
        <v/>
      </c>
      <c r="AM23" s="406" t="str">
        <f>IFERROR(INDEX(V!$R:$R,MATCH(AN23,V!$L:$L,0)),"")</f>
        <v/>
      </c>
      <c r="AN23" s="407" t="str">
        <f t="shared" si="5"/>
        <v/>
      </c>
      <c r="AO23" s="406" t="str">
        <f>IFERROR(INDEX(V!$R:$R,MATCH(AP23,V!$L:$L,0)),"")</f>
        <v/>
      </c>
      <c r="AP23" s="407" t="str">
        <f t="shared" si="6"/>
        <v/>
      </c>
    </row>
    <row r="24" spans="1:42" x14ac:dyDescent="0.2">
      <c r="A24" s="316">
        <v>4</v>
      </c>
      <c r="B24" s="488" t="s">
        <v>382</v>
      </c>
      <c r="C24" s="534">
        <v>13</v>
      </c>
      <c r="D24" s="492">
        <v>6</v>
      </c>
      <c r="E24" s="318">
        <v>13</v>
      </c>
      <c r="F24" s="319"/>
      <c r="G24" s="511"/>
      <c r="H24" s="317" t="str">
        <f>(IF(C24-F21&gt;0,1)+IF(D24-F22&gt;0,1)+IF(E24-F23&gt;0,1)+IF(G24-F25&gt;0,1))&amp;"-"&amp;(IF(C24-F21&lt;0,1)+IF(D24-F22&lt;0,1)+IF(E24-F23&lt;0,1)+IF(G24-F25&lt;0,1))</f>
        <v>2-1</v>
      </c>
      <c r="I24" s="318" t="str">
        <f t="shared" si="7"/>
        <v>C1</v>
      </c>
      <c r="J24" s="489">
        <f>IF(AND(Q24=1,Q21=1,C24&gt;F21),1)+IF(AND(Q24=1,Q22=1,D24&gt;F22),1)+IF(AND(Q24=1,Q23=1,E24&gt;F23),1)+IF(AND(Q24=1,Q25=1,G24&gt;F25),1)+IF(AND(Q24=2,Q21=2,C24&gt;F21),1)+IF(AND(Q24=2,Q22=2,D24&gt;F22),1)+IF(AND(Q24=2,Q23=2,E24&gt;F23),1)+IF(AND(Q24=2,Q25=2,G24&gt;F25),1)+IF(AND(Q24=3,Q21=3,C24&gt;F21),1)+IF(AND(Q24=3,Q22=3,D24&gt;F22),1)+IF(AND(Q24=3,Q23=3,E24&gt;F23),1)+IF(AND(Q24=3,Q25=3,G24&gt;F25),1)</f>
        <v>1</v>
      </c>
      <c r="K24" s="483">
        <f>SUM(AND(T24=T21,C24&gt;F21),AND(T24=T22,D24&gt;F22),AND(T24=T23,E24&gt;F23),AND(T24=T25,G24&gt;F25))</f>
        <v>0</v>
      </c>
      <c r="L24" s="490">
        <f>IF(AND(Q24=1,Q21=1),C24-F21)+IF(AND(Q24=1,Q22=1),D24-F22)+IF(AND(Q24=1,Q23=1),E24-F23)+IF(AND(Q24=1,Q25=1),G24-F25)+IF(AND(Q24=2,Q21=2),C24-F21)+IF(AND(Q24=2,Q22=2),D24-F22)+IF(AND(Q24=2,Q23=2),E24-F23)+IF(AND(Q24=2,Q25=2),G24-F25)+IF(AND(Q24=3,Q21=3),C24-F21)+IF(AND(Q24=3,Q22=3),D24-F22)+IF(AND(Q24=3,Q23=3),E24-F23)+IF(AND(Q24=3,Q25=3),G24-F25)+IF(AND(Q24=4,Q21=4),C24-F21)+IF(AND(Q24=4,Q22=4),D24-F22)+IF(AND(Q24=4,Q23=4),E24-F23)+IF(AND(Q24=4,Q25=4),G24-F25)</f>
        <v>3</v>
      </c>
      <c r="M24" s="483">
        <f>SUM(AND(R24=R21,C24&gt;F21),AND(R24=R22,D24&gt;F22),AND(R24=R23,E24&gt;F23),AND(R24=R25,G24&gt;F25))</f>
        <v>0</v>
      </c>
      <c r="N24" s="537" t="str">
        <f>SUM(C24:G24)&amp;"-"&amp;SUM(F21:F25)</f>
        <v>32-27</v>
      </c>
      <c r="O24" s="538">
        <f>C24+D24+E24+G24-F21-F22-F23-F25</f>
        <v>5</v>
      </c>
      <c r="P24" s="485">
        <f>SUM(C24:G24,F21:F25)/SUM(F21:F25)</f>
        <v>2.1851851851851851</v>
      </c>
      <c r="Q24" s="491">
        <f>VALUE(LEFT(H24,1))</f>
        <v>2</v>
      </c>
      <c r="R24" s="321">
        <f>Q24*100000+J24*10000+K24*1000+100*L24</f>
        <v>210300</v>
      </c>
      <c r="S24" s="486">
        <f>R24+M24*0.1+IF(ISNONTEXT(B24),0,0.01)+0.0001*O24</f>
        <v>210300.0105</v>
      </c>
      <c r="T24" s="487" t="str">
        <f>Q24&amp;J24</f>
        <v>21</v>
      </c>
      <c r="U24" s="477"/>
      <c r="V24" s="477"/>
      <c r="W24" s="477"/>
      <c r="X24" s="477"/>
      <c r="Y24" s="477"/>
      <c r="Z24" s="477"/>
      <c r="AA24" s="477"/>
      <c r="AB24" s="477"/>
      <c r="AC24" s="477"/>
      <c r="AD24" s="405">
        <f t="shared" si="0"/>
        <v>92</v>
      </c>
      <c r="AE24" s="406">
        <f>IFERROR(INDEX(V!$R:$R,MATCH(AF24,V!$L:$L,0)),"")</f>
        <v>56</v>
      </c>
      <c r="AF24" s="407" t="str">
        <f t="shared" si="1"/>
        <v>Ivar Viljaste</v>
      </c>
      <c r="AG24" s="406">
        <f>IFERROR(INDEX(V!$R:$R,MATCH(AH24,V!$L:$L,0)),"")</f>
        <v>36</v>
      </c>
      <c r="AH24" s="407" t="str">
        <f t="shared" si="2"/>
        <v>Sirje Viljaste</v>
      </c>
      <c r="AI24" s="406" t="str">
        <f>IFERROR(INDEX(V!$R:$R,MATCH(AJ24,V!$L:$L,0)),"")</f>
        <v/>
      </c>
      <c r="AJ24" s="407" t="str">
        <f t="shared" si="3"/>
        <v/>
      </c>
      <c r="AK24" s="406" t="str">
        <f>IFERROR(INDEX(V!$R:$R,MATCH(AL24,V!$L:$L,0)),"")</f>
        <v/>
      </c>
      <c r="AL24" s="407" t="str">
        <f t="shared" si="4"/>
        <v/>
      </c>
      <c r="AM24" s="406" t="str">
        <f>IFERROR(INDEX(V!$R:$R,MATCH(AN24,V!$L:$L,0)),"")</f>
        <v/>
      </c>
      <c r="AN24" s="407" t="str">
        <f t="shared" si="5"/>
        <v/>
      </c>
      <c r="AO24" s="406" t="str">
        <f>IFERROR(INDEX(V!$R:$R,MATCH(AP24,V!$L:$L,0)),"")</f>
        <v/>
      </c>
      <c r="AP24" s="407" t="str">
        <f t="shared" si="6"/>
        <v/>
      </c>
    </row>
    <row r="25" spans="1:42" hidden="1" x14ac:dyDescent="0.2">
      <c r="A25" s="316">
        <v>5</v>
      </c>
      <c r="B25" s="493"/>
      <c r="C25" s="318"/>
      <c r="D25" s="318"/>
      <c r="E25" s="318"/>
      <c r="F25" s="318"/>
      <c r="G25" s="319"/>
      <c r="H25" s="317" t="str">
        <f>(IF(C25-G21&gt;0,1)+IF(D25-G22&gt;0,1)+IF(E25-G23&gt;0,1)+IF(F25-G24&gt;0,1))&amp;"-"&amp;(IF(C25-G21&lt;0,1)+IF(D25-G22&lt;0,1)+IF(E25-G23&lt;0,1)+IF(F25-G24&lt;0,1))</f>
        <v>0-0</v>
      </c>
      <c r="I25" s="318" t="str">
        <f t="shared" si="7"/>
        <v xml:space="preserve"> </v>
      </c>
      <c r="J25" s="489">
        <f>IF(AND(Q25=1,Q21=1,C25&gt;G21),1)+IF(AND(Q25=1,Q22=1,D25&gt;G22),1)+IF(AND(Q25=1,Q23=1,E25&gt;G23),1)+IF(AND(Q25=1,Q24=1,F25&gt;G24),1)+IF(AND(Q25=2,Q21=2,C25&gt;G21),1)+IF(AND(Q25=2,Q22=2,D25&gt;G22),1)+IF(AND(Q25=2,Q23=2,E25&gt;G23),1)+IF(AND(Q25=2,Q24=2,F25&gt;G24),1)+IF(AND(Q25=3,Q21=3,C25&gt;G21),1)+IF(AND(Q25=3,Q22=3,D25&gt;G22),1)+IF(AND(Q25=3,Q23=3,E25&gt;G23),1)+IF(AND(Q25=3,Q24=3,F25&gt;G24),1)</f>
        <v>0</v>
      </c>
      <c r="K25" s="483">
        <f>SUM(AND(T25=T21,C25&gt;G21),AND(T25=T22,D25&gt;G22),AND(T25=T23,E25&gt;G23),AND(T25=T24,F25&gt;G24))</f>
        <v>0</v>
      </c>
      <c r="L25" s="490">
        <f>IF(AND(Q25=1,Q21=1),C25-G21)+IF(AND(Q25=1,Q22=1),D25-G22)+IF(AND(Q25=1,Q23=1),E25-G23)+IF(AND(Q25=1,Q24=1),F25-G24)+IF(AND(Q25=2,Q21=2),C25-G21)+IF(AND(Q25=2,Q22=2),D25-G22)+IF(AND(Q25=2,Q23=2),E25-G23)+IF(AND(Q25=2,Q24=2),F25-G24)+IF(AND(Q25=3,Q21=3),C25-G21)+IF(AND(Q25=3,Q22=3),D25-G22)+IF(AND(Q25=3,Q23=3),E25-G23)+IF(AND(Q25=3,Q24=3),F25-G24)+IF(AND(Q25=4,Q21=4),C25-G21)+IF(AND(Q25=4,Q22=4),D25-G22)+IF(AND(Q25=4,Q23=4),E25-G23)+IF(AND(Q25=4,Q24=4),F25-G24)</f>
        <v>0</v>
      </c>
      <c r="M25" s="483">
        <f>SUM(AND(R25=R21,C25&gt;G21),AND(R25=R22,D25&gt;G22),AND(R25=R23,E25&gt;G23),AND(R25=R24,F25&gt;G24))</f>
        <v>0</v>
      </c>
      <c r="N25" s="537" t="str">
        <f>SUM(C25:G25)&amp;"-"&amp;SUM(G21:G25)</f>
        <v>0-0</v>
      </c>
      <c r="O25" s="538">
        <f>C25+D25+E25+F25-G21-G22-G23-G24</f>
        <v>0</v>
      </c>
      <c r="P25" s="485" t="e">
        <f>SUM(C25:G25,G21:G25)/SUM(G21:G25)</f>
        <v>#DIV/0!</v>
      </c>
      <c r="Q25" s="491">
        <f>VALUE(LEFT(H25,1))</f>
        <v>0</v>
      </c>
      <c r="R25" s="321">
        <f>Q25*100000+J25*10000+K25*1000+100*L25</f>
        <v>0</v>
      </c>
      <c r="S25" s="486">
        <f>R25+M25*0.1+IF(ISNONTEXT(B25),0,0.01)+0.0001*O25</f>
        <v>0</v>
      </c>
      <c r="T25" s="487" t="str">
        <f>Q25&amp;J25</f>
        <v>00</v>
      </c>
      <c r="U25" s="477"/>
      <c r="V25" s="477"/>
      <c r="W25" s="477"/>
      <c r="X25" s="477"/>
      <c r="Y25" s="477"/>
      <c r="Z25" s="477"/>
      <c r="AA25" s="477"/>
      <c r="AB25" s="477"/>
      <c r="AC25" s="477"/>
      <c r="AD25" s="405">
        <f t="shared" si="0"/>
        <v>0</v>
      </c>
      <c r="AE25" s="406" t="str">
        <f>IFERROR(INDEX(V!$R:$R,MATCH(AF25,V!$L:$L,0)),"")</f>
        <v/>
      </c>
      <c r="AF25" s="407" t="str">
        <f t="shared" si="1"/>
        <v/>
      </c>
      <c r="AG25" s="406" t="str">
        <f>IFERROR(INDEX(V!$R:$R,MATCH(AH25,V!$L:$L,0)),"")</f>
        <v/>
      </c>
      <c r="AH25" s="407" t="str">
        <f t="shared" si="2"/>
        <v/>
      </c>
      <c r="AI25" s="406" t="str">
        <f>IFERROR(INDEX(V!$R:$R,MATCH(AJ25,V!$L:$L,0)),"")</f>
        <v/>
      </c>
      <c r="AJ25" s="407" t="str">
        <f t="shared" si="3"/>
        <v/>
      </c>
      <c r="AK25" s="406" t="str">
        <f>IFERROR(INDEX(V!$R:$R,MATCH(AL25,V!$L:$L,0)),"")</f>
        <v/>
      </c>
      <c r="AL25" s="407" t="str">
        <f t="shared" si="4"/>
        <v/>
      </c>
      <c r="AM25" s="406" t="str">
        <f>IFERROR(INDEX(V!$R:$R,MATCH(AN25,V!$L:$L,0)),"")</f>
        <v/>
      </c>
      <c r="AN25" s="407" t="str">
        <f t="shared" si="5"/>
        <v/>
      </c>
      <c r="AO25" s="406" t="str">
        <f>IFERROR(INDEX(V!$R:$R,MATCH(AP25,V!$L:$L,0)),"")</f>
        <v/>
      </c>
      <c r="AP25" s="407" t="str">
        <f t="shared" si="6"/>
        <v/>
      </c>
    </row>
    <row r="26" spans="1:42" x14ac:dyDescent="0.2">
      <c r="A26" s="513"/>
      <c r="B26" s="514"/>
      <c r="C26" s="499"/>
      <c r="D26" s="499"/>
      <c r="E26" s="499"/>
      <c r="F26" s="515"/>
      <c r="G26" s="515"/>
      <c r="H26" s="516"/>
      <c r="I26" s="517"/>
      <c r="J26" s="477"/>
      <c r="K26" s="477"/>
      <c r="L26" s="477"/>
      <c r="M26" s="477"/>
      <c r="N26" s="539"/>
      <c r="O26" s="539"/>
      <c r="P26" s="477"/>
      <c r="Q26" s="477"/>
      <c r="R26" s="502" t="s">
        <v>264</v>
      </c>
      <c r="S26" s="477"/>
      <c r="T26" s="477"/>
      <c r="U26" s="477"/>
      <c r="V26" s="477"/>
      <c r="W26" s="477"/>
      <c r="X26" s="477"/>
      <c r="Y26" s="477"/>
      <c r="Z26" s="477"/>
      <c r="AA26" s="477"/>
      <c r="AB26" s="477"/>
      <c r="AC26" s="477"/>
      <c r="AD26" s="405">
        <f t="shared" si="0"/>
        <v>0</v>
      </c>
      <c r="AE26" s="406" t="str">
        <f>IFERROR(INDEX(V!$R:$R,MATCH(AF26,V!$L:$L,0)),"")</f>
        <v/>
      </c>
      <c r="AF26" s="407" t="str">
        <f t="shared" si="1"/>
        <v/>
      </c>
      <c r="AG26" s="406" t="str">
        <f>IFERROR(INDEX(V!$R:$R,MATCH(AH26,V!$L:$L,0)),"")</f>
        <v/>
      </c>
      <c r="AH26" s="407" t="str">
        <f t="shared" si="2"/>
        <v/>
      </c>
      <c r="AI26" s="406" t="str">
        <f>IFERROR(INDEX(V!$R:$R,MATCH(AJ26,V!$L:$L,0)),"")</f>
        <v/>
      </c>
      <c r="AJ26" s="407" t="str">
        <f t="shared" si="3"/>
        <v/>
      </c>
      <c r="AK26" s="406" t="str">
        <f>IFERROR(INDEX(V!$R:$R,MATCH(AL26,V!$L:$L,0)),"")</f>
        <v/>
      </c>
      <c r="AL26" s="407" t="str">
        <f t="shared" si="4"/>
        <v/>
      </c>
      <c r="AM26" s="406" t="str">
        <f>IFERROR(INDEX(V!$R:$R,MATCH(AN26,V!$L:$L,0)),"")</f>
        <v/>
      </c>
      <c r="AN26" s="407" t="str">
        <f t="shared" si="5"/>
        <v/>
      </c>
      <c r="AO26" s="406" t="str">
        <f>IFERROR(INDEX(V!$R:$R,MATCH(AP26,V!$L:$L,0)),"")</f>
        <v/>
      </c>
      <c r="AP26" s="407" t="str">
        <f t="shared" si="6"/>
        <v/>
      </c>
    </row>
    <row r="27" spans="1:42" x14ac:dyDescent="0.2">
      <c r="A27" s="316" t="s">
        <v>3</v>
      </c>
      <c r="B27" s="503"/>
      <c r="C27" s="467">
        <v>1</v>
      </c>
      <c r="D27" s="467">
        <v>2</v>
      </c>
      <c r="E27" s="467">
        <v>3</v>
      </c>
      <c r="F27" s="467">
        <v>4</v>
      </c>
      <c r="G27" s="467"/>
      <c r="H27" s="468" t="s">
        <v>168</v>
      </c>
      <c r="I27" s="468" t="s">
        <v>169</v>
      </c>
      <c r="J27" s="504" t="s">
        <v>257</v>
      </c>
      <c r="K27" s="505" t="s">
        <v>258</v>
      </c>
      <c r="L27" s="506" t="s">
        <v>259</v>
      </c>
      <c r="M27" s="506" t="s">
        <v>260</v>
      </c>
      <c r="N27" s="472" t="s">
        <v>170</v>
      </c>
      <c r="O27" s="472" t="s">
        <v>170</v>
      </c>
      <c r="P27" s="473" t="s">
        <v>261</v>
      </c>
      <c r="Q27" s="507" t="s">
        <v>21</v>
      </c>
      <c r="R27" s="507" t="b">
        <f>OR(AND(COUNTA(B28:B32)=3,COUNTA(C28:G32)=6),AND(COUNTA(B28:B32)=4,COUNTA(C28:G32)=12),AND(COUNTA(B28:B32)=5,COUNTA(C28:G32)=20))</f>
        <v>1</v>
      </c>
      <c r="S27" s="508" t="s">
        <v>262</v>
      </c>
      <c r="T27" s="509" t="s">
        <v>263</v>
      </c>
      <c r="U27" s="477"/>
      <c r="V27" s="477"/>
      <c r="W27" s="477"/>
      <c r="X27" s="477"/>
      <c r="Y27" s="477"/>
      <c r="Z27" s="477"/>
      <c r="AA27" s="477"/>
      <c r="AB27" s="477"/>
      <c r="AC27" s="477"/>
      <c r="AD27" s="405">
        <f t="shared" si="0"/>
        <v>0</v>
      </c>
      <c r="AE27" s="406" t="str">
        <f>IFERROR(INDEX(V!$R:$R,MATCH(AF27,V!$L:$L,0)),"")</f>
        <v/>
      </c>
      <c r="AF27" s="407" t="str">
        <f t="shared" si="1"/>
        <v/>
      </c>
      <c r="AG27" s="406" t="str">
        <f>IFERROR(INDEX(V!$R:$R,MATCH(AH27,V!$L:$L,0)),"")</f>
        <v/>
      </c>
      <c r="AH27" s="407" t="str">
        <f t="shared" si="2"/>
        <v/>
      </c>
      <c r="AI27" s="406" t="str">
        <f>IFERROR(INDEX(V!$R:$R,MATCH(AJ27,V!$L:$L,0)),"")</f>
        <v/>
      </c>
      <c r="AJ27" s="407" t="str">
        <f t="shared" si="3"/>
        <v/>
      </c>
      <c r="AK27" s="406" t="str">
        <f>IFERROR(INDEX(V!$R:$R,MATCH(AL27,V!$L:$L,0)),"")</f>
        <v/>
      </c>
      <c r="AL27" s="407" t="str">
        <f t="shared" si="4"/>
        <v/>
      </c>
      <c r="AM27" s="406" t="str">
        <f>IFERROR(INDEX(V!$R:$R,MATCH(AN27,V!$L:$L,0)),"")</f>
        <v/>
      </c>
      <c r="AN27" s="407" t="str">
        <f t="shared" si="5"/>
        <v/>
      </c>
      <c r="AO27" s="406" t="str">
        <f>IFERROR(INDEX(V!$R:$R,MATCH(AP27,V!$L:$L,0)),"")</f>
        <v/>
      </c>
      <c r="AP27" s="407" t="str">
        <f t="shared" si="6"/>
        <v/>
      </c>
    </row>
    <row r="28" spans="1:42" x14ac:dyDescent="0.2">
      <c r="A28" s="316">
        <v>1</v>
      </c>
      <c r="B28" s="518" t="s">
        <v>274</v>
      </c>
      <c r="C28" s="319"/>
      <c r="D28" s="318">
        <v>7</v>
      </c>
      <c r="E28" s="318">
        <v>13</v>
      </c>
      <c r="F28" s="318">
        <v>11</v>
      </c>
      <c r="G28" s="318"/>
      <c r="H28" s="317" t="str">
        <f>(IF(D28-C29&gt;0,1)+IF(E28-C30&gt;0,1)+IF(F28-C31&gt;0,1)+IF(G28-C32&gt;0,1))&amp;"-"&amp;(IF(D28-C29&lt;0,1)+IF(E28-C30&lt;0,1)+IF(F28-C31&lt;0,1)+IF(G28-C32&lt;0,1))</f>
        <v>1-2</v>
      </c>
      <c r="I28" s="318" t="str">
        <f>IF(AND(B28&lt;&gt;"",R$27=TRUE),A$27&amp;RANK(S28,S$28:S$32,0)," ")</f>
        <v>D3</v>
      </c>
      <c r="J28" s="480">
        <f>IF(AND(Q28=1,Q29=1,D28&gt;C29),1)+IF(AND(Q28=1,Q30=1,E28&gt;C30),1)+IF(AND(Q28=1,Q31=1,F28&gt;C31),1)+IF(AND(Q28=1,Q32=1,G28&gt;C32),1)+IF(AND(Q28=2,Q29=2,D28&gt;C29),1)+IF(AND(Q28=2,Q30=2,E28&gt;C30),1)+IF(AND(Q28=2,Q31=2,F28&gt;C31),1)+IF(AND(Q28=2,Q32=2,G28&gt;C32),1)+IF(AND(Q28=3,Q29=3,D28&gt;C29),1)+IF(AND(Q28=3,Q30=3,E28&gt;C30),1)+IF(AND(Q28=3,Q31=3,F28&gt;C31),1)+IF(AND(Q28=3,Q32=3,G28&gt;C32),1)</f>
        <v>0</v>
      </c>
      <c r="K28" s="481">
        <f>SUM(AND(T28=T29,D28&gt;C29),AND(T28=T30,E28&gt;C30),AND(T28=T31,F28&gt;C31),AND(T28=T32,G28&gt;C32))</f>
        <v>0</v>
      </c>
      <c r="L28" s="482">
        <f>IF(AND(Q28=1,Q29=1),D28-C29)+IF(AND(Q28=1,Q30=1),E28-C30)+IF(AND(Q28=1,Q31=1),F28-C31)+IF(AND(Q28=1,Q32=1),G28-C32)+IF(AND(Q28=2,Q29=2),D28-C29)+IF(AND(Q28=2,Q30=2),E28-C30)+IF(AND(Q28=2,Q31=2),F28-C31)+IF(AND(Q28=2,Q32=2),G28-C32)+IF(AND(Q28=3,Q29=3),D28-C29)+IF(AND(Q28=3,Q30=3),E28-C30)+IF(AND(Q28=3,Q31=3),F28-C31)+IF(AND(Q28=3,Q32=3),G28-C32)+IF(AND(Q28=4,Q29=4),D28-C29)+IF(AND(Q28=4,Q30=4),E28-C30)+IF(AND(Q28=4,Q31=4),F28-C31)+IF(AND(Q28=4,Q32=4),G28-C32)</f>
        <v>0</v>
      </c>
      <c r="M28" s="483">
        <f>SUM(AND(R28=R29,D28&gt;C29),AND(R28=R30,E28&gt;C30),AND(R28=R31,F28&gt;C31),AND(R28=R32,G28&gt;C32))</f>
        <v>0</v>
      </c>
      <c r="N28" s="537" t="str">
        <f>SUM(C28:G28)&amp;"-"&amp;SUM(C28:C32)</f>
        <v>31-28</v>
      </c>
      <c r="O28" s="538">
        <f>D28+E28+F28+G28-C29-C30-C31-C32</f>
        <v>3</v>
      </c>
      <c r="P28" s="485">
        <f>SUM(C28:G28,C28:C32)/SUM(C28:C32)</f>
        <v>2.1071428571428572</v>
      </c>
      <c r="Q28" s="320">
        <f>VALUE(LEFT(H28,1))</f>
        <v>1</v>
      </c>
      <c r="R28" s="321">
        <f>Q28*100000+J28*10000+K28*1000+100*L28</f>
        <v>100000</v>
      </c>
      <c r="S28" s="486">
        <f>R28+M28*0.1+IF(ISNONTEXT(B28),0,0.01)+0.0001*O28</f>
        <v>100000.01029999999</v>
      </c>
      <c r="T28" s="487" t="str">
        <f>Q28&amp;J28</f>
        <v>10</v>
      </c>
      <c r="U28" s="477"/>
      <c r="V28" s="477"/>
      <c r="W28" s="477"/>
      <c r="X28" s="477"/>
      <c r="Y28" s="477"/>
      <c r="Z28" s="477"/>
      <c r="AA28" s="477"/>
      <c r="AB28" s="477"/>
      <c r="AC28" s="477"/>
      <c r="AD28" s="405">
        <f t="shared" si="0"/>
        <v>276</v>
      </c>
      <c r="AE28" s="406">
        <f>IFERROR(INDEX(V!$R:$R,MATCH(AF28,V!$L:$L,0)),"")</f>
        <v>150.5</v>
      </c>
      <c r="AF28" s="407" t="str">
        <f t="shared" si="1"/>
        <v>Karla Purgats</v>
      </c>
      <c r="AG28" s="406">
        <f>IFERROR(INDEX(V!$R:$R,MATCH(AH28,V!$L:$L,0)),"")</f>
        <v>125.5</v>
      </c>
      <c r="AH28" s="407" t="str">
        <f t="shared" si="2"/>
        <v>Lemmit Toomra</v>
      </c>
      <c r="AI28" s="406" t="str">
        <f>IFERROR(INDEX(V!$R:$R,MATCH(AJ28,V!$L:$L,0)),"")</f>
        <v/>
      </c>
      <c r="AJ28" s="407" t="str">
        <f t="shared" si="3"/>
        <v/>
      </c>
      <c r="AK28" s="406" t="str">
        <f>IFERROR(INDEX(V!$R:$R,MATCH(AL28,V!$L:$L,0)),"")</f>
        <v/>
      </c>
      <c r="AL28" s="407" t="str">
        <f t="shared" si="4"/>
        <v/>
      </c>
      <c r="AM28" s="406" t="str">
        <f>IFERROR(INDEX(V!$R:$R,MATCH(AN28,V!$L:$L,0)),"")</f>
        <v/>
      </c>
      <c r="AN28" s="407" t="str">
        <f t="shared" si="5"/>
        <v/>
      </c>
      <c r="AO28" s="406" t="str">
        <f>IFERROR(INDEX(V!$R:$R,MATCH(AP28,V!$L:$L,0)),"")</f>
        <v/>
      </c>
      <c r="AP28" s="407" t="str">
        <f t="shared" si="6"/>
        <v/>
      </c>
    </row>
    <row r="29" spans="1:42" x14ac:dyDescent="0.2">
      <c r="A29" s="316">
        <v>2</v>
      </c>
      <c r="B29" s="488" t="s">
        <v>418</v>
      </c>
      <c r="C29" s="318">
        <v>13</v>
      </c>
      <c r="D29" s="319"/>
      <c r="E29" s="318">
        <v>13</v>
      </c>
      <c r="F29" s="318">
        <v>8</v>
      </c>
      <c r="G29" s="318"/>
      <c r="H29" s="317" t="str">
        <f>(IF(C29-D28&gt;0,1)+IF(E29-D30&gt;0,1)+IF(F29-D31&gt;0,1)+IF(G29-D32&gt;0,1))&amp;"-"&amp;(IF(C29-D28&lt;0,1)+IF(E29-D30&lt;0,1)+IF(F29-D31&lt;0,1)+IF(G29-D32&lt;0,1))</f>
        <v>2-1</v>
      </c>
      <c r="I29" s="318" t="str">
        <f t="shared" ref="I29:I32" si="8">IF(AND(B29&lt;&gt;"",R$27=TRUE),A$27&amp;RANK(S29,S$28:S$32,0)," ")</f>
        <v>D2</v>
      </c>
      <c r="J29" s="489">
        <f>IF(AND(Q29=1,Q28=1,C29&gt;D28),1)+IF(AND(Q29=1,Q30=1,E29&gt;D30),1)+IF(AND(Q29=1,Q31=1,F29&gt;D31),1)+IF(AND(Q29=1,Q32=1,G29&gt;D32),1)+IF(AND(Q29=2,Q28=2,C29&gt;D28),1)+IF(AND(Q29=2,Q30=2,E29&gt;D30),1)+IF(AND(Q29=2,Q31=2,F29&gt;D31),1)+IF(AND(Q29=2,Q32=2,G29&gt;D32),1)+IF(AND(Q29=3,Q28=3,C29&gt;D28),1)+IF(AND(Q29=3,Q30=3,E29&gt;D30),1)+IF(AND(Q29=3,Q31=3,F29&gt;D31),1)+IF(AND(Q29=3,Q32=3,G29&gt;D32),1)</f>
        <v>0</v>
      </c>
      <c r="K29" s="483">
        <f>SUM(AND(T29=T28,C29&gt;D28),AND(T29=T30,E29&gt;D30),AND(T29=T31,F29&gt;D31),AND(T29=T32,G29&gt;D32))</f>
        <v>0</v>
      </c>
      <c r="L29" s="490">
        <f>IF(AND(Q29=1,Q28=1),C29-D28)+IF(AND(Q29=1,Q30=1),E29-D30)+IF(AND(Q29=1,Q31=1),F29-D31)+IF(AND(Q29=1,Q32=1),G29-D32)+IF(AND(Q29=2,Q28=2),C29-D28)+IF(AND(Q29=2,Q30=2),E29-D30)+IF(AND(Q29=2,Q31=2),F29-D31)+IF(AND(Q29=2,Q32=2),G29-D32)+IF(AND(Q29=3,Q28=3),C29-D28)+IF(AND(Q29=3,Q30=3),E29-D30)+IF(AND(Q29=3,Q31=3),F29-D31)+IF(AND(Q29=3,Q32=3),G29-D32)+IF(AND(Q29=4,Q28=4),C29-D28)+IF(AND(Q29=4,Q30=4),E29-D30)+IF(AND(Q29=4,Q31=4),F29-D31)+IF(AND(Q29=4,Q32=4),G29-D32)</f>
        <v>0</v>
      </c>
      <c r="M29" s="483">
        <f>SUM(AND(R29=R28,C29&gt;D28),AND(R29=R30,E29&gt;D30),AND(R29=R31,F29&gt;D31),AND(R29=R32,G29&gt;D32))</f>
        <v>0</v>
      </c>
      <c r="N29" s="537" t="str">
        <f>SUM(C29:G29)&amp;"-"&amp;SUM(D28:D32)</f>
        <v>34-21</v>
      </c>
      <c r="O29" s="538">
        <f>C29+E29+F29+G29-D28-D30-D31-D32</f>
        <v>13</v>
      </c>
      <c r="P29" s="485">
        <f>SUM(C29:G29,D28:D32)/SUM(D28:D32)</f>
        <v>2.6190476190476191</v>
      </c>
      <c r="Q29" s="491">
        <f>VALUE(LEFT(H29,1))</f>
        <v>2</v>
      </c>
      <c r="R29" s="321">
        <f>Q29*100000+J29*10000+K29*1000+100*L29</f>
        <v>200000</v>
      </c>
      <c r="S29" s="486">
        <f>R29+M29*0.1+IF(ISNONTEXT(B29),0,0.01)+0.0001*O29</f>
        <v>200000.01130000001</v>
      </c>
      <c r="T29" s="487" t="str">
        <f>Q29&amp;J29</f>
        <v>20</v>
      </c>
      <c r="U29" s="477"/>
      <c r="V29" s="477"/>
      <c r="W29" s="477"/>
      <c r="X29" s="477"/>
      <c r="Y29" s="477"/>
      <c r="Z29" s="477"/>
      <c r="AA29" s="477"/>
      <c r="AB29" s="477"/>
      <c r="AC29" s="477"/>
      <c r="AD29" s="405">
        <f t="shared" si="0"/>
        <v>258</v>
      </c>
      <c r="AE29" s="406">
        <f>IFERROR(INDEX(V!$R:$R,MATCH(AF29,V!$L:$L,0)),"")</f>
        <v>90</v>
      </c>
      <c r="AF29" s="407" t="str">
        <f t="shared" si="1"/>
        <v>Janek Tarto</v>
      </c>
      <c r="AG29" s="406">
        <f>IFERROR(INDEX(V!$R:$R,MATCH(AH29,V!$L:$L,0)),"")</f>
        <v>168</v>
      </c>
      <c r="AH29" s="407" t="str">
        <f t="shared" si="2"/>
        <v>Matti Vinni</v>
      </c>
      <c r="AI29" s="406" t="str">
        <f>IFERROR(INDEX(V!$R:$R,MATCH(AJ29,V!$L:$L,0)),"")</f>
        <v/>
      </c>
      <c r="AJ29" s="407" t="str">
        <f t="shared" si="3"/>
        <v/>
      </c>
      <c r="AK29" s="406" t="str">
        <f>IFERROR(INDEX(V!$R:$R,MATCH(AL29,V!$L:$L,0)),"")</f>
        <v/>
      </c>
      <c r="AL29" s="407" t="str">
        <f t="shared" si="4"/>
        <v/>
      </c>
      <c r="AM29" s="406" t="str">
        <f>IFERROR(INDEX(V!$R:$R,MATCH(AN29,V!$L:$L,0)),"")</f>
        <v/>
      </c>
      <c r="AN29" s="407" t="str">
        <f t="shared" si="5"/>
        <v/>
      </c>
      <c r="AO29" s="406" t="str">
        <f>IFERROR(INDEX(V!$R:$R,MATCH(AP29,V!$L:$L,0)),"")</f>
        <v/>
      </c>
      <c r="AP29" s="407" t="str">
        <f t="shared" si="6"/>
        <v/>
      </c>
    </row>
    <row r="30" spans="1:42" x14ac:dyDescent="0.2">
      <c r="A30" s="316">
        <v>3</v>
      </c>
      <c r="B30" s="488" t="s">
        <v>420</v>
      </c>
      <c r="C30" s="318">
        <v>2</v>
      </c>
      <c r="D30" s="492">
        <v>1</v>
      </c>
      <c r="E30" s="319"/>
      <c r="F30" s="318">
        <v>6</v>
      </c>
      <c r="G30" s="318"/>
      <c r="H30" s="317" t="str">
        <f>(IF(C30-E28&gt;0,1)+IF(D30-E29&gt;0,1)+IF(F30-E31&gt;0,1)+IF(G30-E32&gt;0,1))&amp;"-"&amp;(IF(C30-E28&lt;0,1)+IF(D30-E29&lt;0,1)+IF(F30-E31&lt;0,1)+IF(G30-E32&lt;0,1))</f>
        <v>0-3</v>
      </c>
      <c r="I30" s="318" t="str">
        <f t="shared" si="8"/>
        <v>D4</v>
      </c>
      <c r="J30" s="489">
        <f>IF(AND(Q30=1,Q28=1,C30&gt;E28),1)+IF(AND(Q30=1,Q29=1,D30&gt;E29),1)+IF(AND(Q30=1,Q31=1,F30&gt;E31),1)+IF(AND(Q30=1,Q32=1,G30&gt;E32),1)+IF(AND(Q30=2,Q28=2,C30&gt;E28),1)+IF(AND(Q30=2,Q29=2,D30&gt;E29),1)+IF(AND(Q30=2,Q31=2,F30&gt;E31),1)+IF(AND(Q30=2,Q32=2,G30&gt;E32),1)+IF(AND(Q30=3,Q28=3,C30&gt;E28),1)+IF(AND(Q30=3,Q29=3,D30&gt;E29),1)+IF(AND(Q30=3,Q31=3,F30&gt;E31),1)+IF(AND(Q30=3,Q32=3,G30&gt;E32),1)</f>
        <v>0</v>
      </c>
      <c r="K30" s="483">
        <f>SUM(AND(T30=T28,C30&gt;E28),AND(T30=T29,D30&gt;E29),AND(T30=T31,F30&gt;E31),AND(T30=T32,G30&gt;E32))</f>
        <v>0</v>
      </c>
      <c r="L30" s="490">
        <f>IF(AND(Q30=1,Q28=1),C30-E28)+IF(AND(Q30=1,Q29=1),D30-E29)+IF(AND(Q30=1,Q31=1),F30-E31)+IF(AND(Q30=1,Q32=1),G30-E32)+IF(AND(Q30=2,Q28=2),C30-E28)+IF(AND(Q30=2,Q29=2),D30-E29)+IF(AND(Q30=2,Q31=2),F30-E31)+IF(AND(Q30=2,Q32=2),G30-E32)+IF(AND(Q30=3,Q28=3),C30-E28)+IF(AND(Q30=3,Q29=3),D30-E29)+IF(AND(Q30=3,Q31=3),F30-E31)+IF(AND(Q30=3,Q32=3),G30-E32)+IF(AND(Q30=4,Q28=4),C30-E28)+IF(AND(Q30=4,Q29=4),D30-E29)+IF(AND(Q30=4,Q31=4),F30-E31)+IF(AND(Q30=4,Q32=4),G30-E32)</f>
        <v>0</v>
      </c>
      <c r="M30" s="483">
        <f>SUM(AND(R30=R28,C30&gt;E28),AND(R30=R29,D30&gt;E29),AND(R30=R31,F30&gt;E31),AND(R30=R32,G30&gt;E32))</f>
        <v>0</v>
      </c>
      <c r="N30" s="537" t="str">
        <f>SUM(C30:G30)&amp;"-"&amp;SUM(E28:E32)</f>
        <v>9-39</v>
      </c>
      <c r="O30" s="538">
        <f>C30+D30+F30+G30-E28-E29-E31-E32</f>
        <v>-30</v>
      </c>
      <c r="P30" s="485">
        <f>SUM(C30:G30,E28:E32)/SUM(E28:E32)</f>
        <v>1.2307692307692308</v>
      </c>
      <c r="Q30" s="491">
        <f>VALUE(LEFT(H30,1))</f>
        <v>0</v>
      </c>
      <c r="R30" s="321">
        <f>Q30*100000+J30*10000+K30*1000+100*L30</f>
        <v>0</v>
      </c>
      <c r="S30" s="486">
        <f>R30+M30*0.1+IF(ISNONTEXT(B30),0,0.01)+0.0001*O30</f>
        <v>7.0000000000000001E-3</v>
      </c>
      <c r="T30" s="487" t="str">
        <f>Q30&amp;J30</f>
        <v>00</v>
      </c>
      <c r="U30" s="477"/>
      <c r="V30" s="477"/>
      <c r="W30" s="477"/>
      <c r="X30" s="477"/>
      <c r="Y30" s="477"/>
      <c r="Z30" s="477"/>
      <c r="AA30" s="477"/>
      <c r="AB30" s="477"/>
      <c r="AC30" s="477"/>
      <c r="AD30" s="405">
        <f t="shared" si="0"/>
        <v>93</v>
      </c>
      <c r="AE30" s="406">
        <f>IFERROR(INDEX(V!$R:$R,MATCH(AF30,V!$L:$L,0)),"")</f>
        <v>79</v>
      </c>
      <c r="AF30" s="407" t="str">
        <f t="shared" si="1"/>
        <v>Liidia Põllu</v>
      </c>
      <c r="AG30" s="406">
        <f>IFERROR(INDEX(V!$R:$R,MATCH(AH30,V!$L:$L,0)),"")</f>
        <v>14</v>
      </c>
      <c r="AH30" s="407" t="str">
        <f t="shared" si="2"/>
        <v>Veronika Pirk</v>
      </c>
      <c r="AI30" s="406" t="str">
        <f>IFERROR(INDEX(V!$R:$R,MATCH(AJ30,V!$L:$L,0)),"")</f>
        <v/>
      </c>
      <c r="AJ30" s="407" t="str">
        <f t="shared" si="3"/>
        <v/>
      </c>
      <c r="AK30" s="406" t="str">
        <f>IFERROR(INDEX(V!$R:$R,MATCH(AL30,V!$L:$L,0)),"")</f>
        <v/>
      </c>
      <c r="AL30" s="407" t="str">
        <f t="shared" si="4"/>
        <v/>
      </c>
      <c r="AM30" s="406" t="str">
        <f>IFERROR(INDEX(V!$R:$R,MATCH(AN30,V!$L:$L,0)),"")</f>
        <v/>
      </c>
      <c r="AN30" s="407" t="str">
        <f t="shared" si="5"/>
        <v/>
      </c>
      <c r="AO30" s="406" t="str">
        <f>IFERROR(INDEX(V!$R:$R,MATCH(AP30,V!$L:$L,0)),"")</f>
        <v/>
      </c>
      <c r="AP30" s="407" t="str">
        <f t="shared" si="6"/>
        <v/>
      </c>
    </row>
    <row r="31" spans="1:42" x14ac:dyDescent="0.2">
      <c r="A31" s="316">
        <v>4</v>
      </c>
      <c r="B31" s="493" t="s">
        <v>383</v>
      </c>
      <c r="C31" s="318">
        <v>13</v>
      </c>
      <c r="D31" s="492">
        <v>13</v>
      </c>
      <c r="E31" s="318">
        <v>13</v>
      </c>
      <c r="F31" s="319"/>
      <c r="G31" s="511"/>
      <c r="H31" s="317" t="str">
        <f>(IF(C31-F28&gt;0,1)+IF(D31-F29&gt;0,1)+IF(E31-F30&gt;0,1)+IF(G31-F32&gt;0,1))&amp;"-"&amp;(IF(C31-F28&lt;0,1)+IF(D31-F29&lt;0,1)+IF(E31-F30&lt;0,1)+IF(G31-F32&lt;0,1))</f>
        <v>3-0</v>
      </c>
      <c r="I31" s="318" t="str">
        <f t="shared" si="8"/>
        <v>D1</v>
      </c>
      <c r="J31" s="489">
        <f>IF(AND(Q31=1,Q28=1,C31&gt;F28),1)+IF(AND(Q31=1,Q29=1,D31&gt;F29),1)+IF(AND(Q31=1,Q30=1,E31&gt;F30),1)+IF(AND(Q31=1,Q32=1,G31&gt;F32),1)+IF(AND(Q31=2,Q28=2,C31&gt;F28),1)+IF(AND(Q31=2,Q29=2,D31&gt;F29),1)+IF(AND(Q31=2,Q30=2,E31&gt;F30),1)+IF(AND(Q31=2,Q32=2,G31&gt;F32),1)+IF(AND(Q31=3,Q28=3,C31&gt;F28),1)+IF(AND(Q31=3,Q29=3,D31&gt;F29),1)+IF(AND(Q31=3,Q30=3,E31&gt;F30),1)+IF(AND(Q31=3,Q32=3,G31&gt;F32),1)</f>
        <v>0</v>
      </c>
      <c r="K31" s="483">
        <f>SUM(AND(T31=T28,C31&gt;F28),AND(T31=T29,D31&gt;F29),AND(T31=T30,E31&gt;F30),AND(T31=T32,G31&gt;F32))</f>
        <v>0</v>
      </c>
      <c r="L31" s="490">
        <f>IF(AND(Q31=1,Q28=1),C31-F28)+IF(AND(Q31=1,Q29=1),D31-F29)+IF(AND(Q31=1,Q30=1),E31-F30)+IF(AND(Q31=1,Q32=1),G31-F32)+IF(AND(Q31=2,Q28=2),C31-F28)+IF(AND(Q31=2,Q29=2),D31-F29)+IF(AND(Q31=2,Q30=2),E31-F30)+IF(AND(Q31=2,Q32=2),G31-F32)+IF(AND(Q31=3,Q28=3),C31-F28)+IF(AND(Q31=3,Q29=3),D31-F29)+IF(AND(Q31=3,Q30=3),E31-F30)+IF(AND(Q31=3,Q32=3),G31-F32)+IF(AND(Q31=4,Q28=4),C31-F28)+IF(AND(Q31=4,Q29=4),D31-F29)+IF(AND(Q31=4,Q30=4),E31-F30)+IF(AND(Q31=4,Q32=4),G31-F32)</f>
        <v>0</v>
      </c>
      <c r="M31" s="483">
        <f>SUM(AND(R31=R28,C31&gt;F28),AND(R31=R29,D31&gt;F29),AND(R31=R30,E31&gt;F30),AND(R31=R32,G31&gt;F32))</f>
        <v>0</v>
      </c>
      <c r="N31" s="537" t="str">
        <f>SUM(C31:G31)&amp;"-"&amp;SUM(F28:F32)</f>
        <v>39-25</v>
      </c>
      <c r="O31" s="538">
        <f>C31+D31+E31+G31-F28-F29-F30-F32</f>
        <v>14</v>
      </c>
      <c r="P31" s="485">
        <f>SUM(C31:G31,F28:F32)/SUM(F28:F32)</f>
        <v>2.56</v>
      </c>
      <c r="Q31" s="491">
        <f>VALUE(LEFT(H31,1))</f>
        <v>3</v>
      </c>
      <c r="R31" s="321">
        <f>Q31*100000+J31*10000+K31*1000+100*L31</f>
        <v>300000</v>
      </c>
      <c r="S31" s="486">
        <f>R31+M31*0.1+IF(ISNONTEXT(B31),0,0.01)+0.0001*O31</f>
        <v>300000.01140000002</v>
      </c>
      <c r="T31" s="487" t="str">
        <f>Q31&amp;J31</f>
        <v>30</v>
      </c>
      <c r="U31" s="477"/>
      <c r="V31" s="477"/>
      <c r="W31" s="477"/>
      <c r="X31" s="477"/>
      <c r="Y31" s="477"/>
      <c r="Z31" s="477"/>
      <c r="AA31" s="477"/>
      <c r="AB31" s="477"/>
      <c r="AC31" s="477"/>
      <c r="AD31" s="405">
        <f t="shared" si="0"/>
        <v>59</v>
      </c>
      <c r="AE31" s="406">
        <f>IFERROR(INDEX(V!$R:$R,MATCH(AF31,V!$L:$L,0)),"")</f>
        <v>29</v>
      </c>
      <c r="AF31" s="407" t="str">
        <f t="shared" si="1"/>
        <v>Olav Türk</v>
      </c>
      <c r="AG31" s="406">
        <f>IFERROR(INDEX(V!$R:$R,MATCH(AH31,V!$L:$L,0)),"")</f>
        <v>30</v>
      </c>
      <c r="AH31" s="407" t="str">
        <f t="shared" si="2"/>
        <v>Urmas Jõeäär</v>
      </c>
      <c r="AI31" s="406" t="str">
        <f>IFERROR(INDEX(V!$R:$R,MATCH(AJ31,V!$L:$L,0)),"")</f>
        <v/>
      </c>
      <c r="AJ31" s="407" t="str">
        <f t="shared" si="3"/>
        <v/>
      </c>
      <c r="AK31" s="406" t="str">
        <f>IFERROR(INDEX(V!$R:$R,MATCH(AL31,V!$L:$L,0)),"")</f>
        <v/>
      </c>
      <c r="AL31" s="407" t="str">
        <f t="shared" si="4"/>
        <v/>
      </c>
      <c r="AM31" s="406" t="str">
        <f>IFERROR(INDEX(V!$R:$R,MATCH(AN31,V!$L:$L,0)),"")</f>
        <v/>
      </c>
      <c r="AN31" s="407" t="str">
        <f t="shared" si="5"/>
        <v/>
      </c>
      <c r="AO31" s="406" t="str">
        <f>IFERROR(INDEX(V!$R:$R,MATCH(AP31,V!$L:$L,0)),"")</f>
        <v/>
      </c>
      <c r="AP31" s="407" t="str">
        <f t="shared" si="6"/>
        <v/>
      </c>
    </row>
    <row r="32" spans="1:42" hidden="1" x14ac:dyDescent="0.2">
      <c r="A32" s="316">
        <v>5</v>
      </c>
      <c r="B32" s="493"/>
      <c r="C32" s="318"/>
      <c r="D32" s="318"/>
      <c r="E32" s="318"/>
      <c r="F32" s="318"/>
      <c r="G32" s="319"/>
      <c r="H32" s="317" t="str">
        <f>(IF(C32-G28&gt;0,1)+IF(D32-G29&gt;0,1)+IF(E32-G30&gt;0,1)+IF(F32-G31&gt;0,1))&amp;"-"&amp;(IF(C32-G28&lt;0,1)+IF(D32-G29&lt;0,1)+IF(E32-G30&lt;0,1)+IF(F32-G31&lt;0,1))</f>
        <v>0-0</v>
      </c>
      <c r="I32" s="318" t="str">
        <f t="shared" si="8"/>
        <v xml:space="preserve"> </v>
      </c>
      <c r="J32" s="489">
        <f>IF(AND(Q32=1,Q28=1,C32&gt;G28),1)+IF(AND(Q32=1,Q29=1,D32&gt;G29),1)+IF(AND(Q32=1,Q30=1,E32&gt;G30),1)+IF(AND(Q32=1,Q31=1,F32&gt;G31),1)+IF(AND(Q32=2,Q28=2,C32&gt;G28),1)+IF(AND(Q32=2,Q29=2,D32&gt;G29),1)+IF(AND(Q32=2,Q30=2,E32&gt;G30),1)+IF(AND(Q32=2,Q31=2,F32&gt;G31),1)+IF(AND(Q32=3,Q28=3,C32&gt;G28),1)+IF(AND(Q32=3,Q29=3,D32&gt;G29),1)+IF(AND(Q32=3,Q30=3,E32&gt;G30),1)+IF(AND(Q32=3,Q31=3,F32&gt;G31),1)</f>
        <v>0</v>
      </c>
      <c r="K32" s="483">
        <f>SUM(AND(T32=T28,C32&gt;G28),AND(T32=T29,D32&gt;G29),AND(T32=T30,E32&gt;G30),AND(T32=T31,F32&gt;G31))</f>
        <v>0</v>
      </c>
      <c r="L32" s="490">
        <f>IF(AND(Q32=1,Q28=1),C32-G28)+IF(AND(Q32=1,Q29=1),D32-G29)+IF(AND(Q32=1,Q30=1),E32-G30)+IF(AND(Q32=1,Q31=1),F32-G31)+IF(AND(Q32=2,Q28=2),C32-G28)+IF(AND(Q32=2,Q29=2),D32-G29)+IF(AND(Q32=2,Q30=2),E32-G30)+IF(AND(Q32=2,Q31=2),F32-G31)+IF(AND(Q32=3,Q28=3),C32-G28)+IF(AND(Q32=3,Q29=3),D32-G29)+IF(AND(Q32=3,Q30=3),E32-G30)+IF(AND(Q32=3,Q31=3),F32-G31)+IF(AND(Q32=4,Q28=4),C32-G28)+IF(AND(Q32=4,Q29=4),D32-G29)+IF(AND(Q32=4,Q30=4),E32-G30)+IF(AND(Q32=4,Q31=4),F32-G31)</f>
        <v>0</v>
      </c>
      <c r="M32" s="483">
        <f>SUM(AND(R32=R28,C32&gt;G28),AND(R32=R29,D32&gt;G29),AND(R32=R30,E32&gt;G30),AND(R32=R31,F32&gt;G31))</f>
        <v>0</v>
      </c>
      <c r="N32" s="537" t="str">
        <f>SUM(C32:G32)&amp;"-"&amp;SUM(G28:G32)</f>
        <v>0-0</v>
      </c>
      <c r="O32" s="538">
        <f>C32+D32+E32+F32-G28-G29-G30-G31</f>
        <v>0</v>
      </c>
      <c r="P32" s="485" t="e">
        <f>SUM(C32:G32,G28:G32)/SUM(G28:G32)</f>
        <v>#DIV/0!</v>
      </c>
      <c r="Q32" s="491">
        <f>VALUE(LEFT(H32,1))</f>
        <v>0</v>
      </c>
      <c r="R32" s="321">
        <f>Q32*100000+J32*10000+K32*1000+100*L32</f>
        <v>0</v>
      </c>
      <c r="S32" s="486">
        <f>R32+M32*0.1+IF(ISNONTEXT(B32),0,0.01)+0.0001*O32</f>
        <v>0</v>
      </c>
      <c r="T32" s="487" t="str">
        <f>Q32&amp;J32</f>
        <v>00</v>
      </c>
      <c r="U32" s="477"/>
      <c r="V32" s="477"/>
      <c r="W32" s="477"/>
      <c r="X32" s="477"/>
      <c r="Y32" s="477"/>
      <c r="Z32" s="477"/>
      <c r="AA32" s="477"/>
      <c r="AB32" s="477"/>
      <c r="AC32" s="477"/>
    </row>
    <row r="33" spans="1:29" hidden="1" x14ac:dyDescent="0.2">
      <c r="A33" s="494"/>
      <c r="B33" s="519"/>
      <c r="C33" s="499"/>
      <c r="D33" s="499"/>
      <c r="E33" s="499"/>
      <c r="F33" s="496"/>
      <c r="G33" s="499"/>
      <c r="H33" s="520"/>
      <c r="I33" s="521"/>
      <c r="J33" s="477"/>
      <c r="K33" s="477"/>
      <c r="L33" s="477"/>
      <c r="M33" s="477"/>
      <c r="N33" s="539"/>
      <c r="O33" s="539"/>
      <c r="P33" s="477"/>
      <c r="Q33" s="477"/>
      <c r="R33" s="502" t="s">
        <v>264</v>
      </c>
      <c r="S33" s="477"/>
      <c r="T33" s="477"/>
      <c r="U33" s="477"/>
      <c r="V33" s="477"/>
      <c r="W33" s="477"/>
      <c r="X33" s="477"/>
      <c r="Y33" s="477"/>
      <c r="Z33" s="477"/>
      <c r="AA33" s="477"/>
      <c r="AB33" s="477"/>
      <c r="AC33" s="477"/>
    </row>
    <row r="34" spans="1:29" hidden="1" x14ac:dyDescent="0.2">
      <c r="A34" s="477"/>
      <c r="B34" s="477"/>
      <c r="C34" s="477"/>
      <c r="D34" s="477"/>
      <c r="E34" s="477"/>
      <c r="F34" s="477"/>
      <c r="G34" s="477"/>
      <c r="H34" s="477"/>
      <c r="I34" s="477"/>
      <c r="J34" s="477"/>
      <c r="K34" s="477"/>
      <c r="L34" s="477"/>
      <c r="M34" s="477"/>
      <c r="N34" s="477"/>
      <c r="O34" s="477"/>
      <c r="P34" s="477"/>
      <c r="Q34" s="477"/>
      <c r="R34" s="477"/>
      <c r="S34" s="477"/>
      <c r="T34" s="477"/>
      <c r="U34" s="477"/>
      <c r="V34" s="477"/>
      <c r="W34" s="477"/>
      <c r="X34" s="477"/>
      <c r="Y34" s="477"/>
      <c r="Z34" s="477"/>
      <c r="AA34" s="477"/>
      <c r="AB34" s="477"/>
      <c r="AC34" s="477"/>
    </row>
    <row r="35" spans="1:29" hidden="1" x14ac:dyDescent="0.2">
      <c r="A35" s="477"/>
      <c r="B35" s="477"/>
      <c r="C35" s="477"/>
      <c r="D35" s="477"/>
      <c r="E35" s="477"/>
      <c r="F35" s="477"/>
      <c r="G35" s="477"/>
      <c r="H35" s="477"/>
      <c r="I35" s="477"/>
      <c r="J35" s="477"/>
      <c r="K35" s="477"/>
      <c r="L35" s="477"/>
      <c r="M35" s="477"/>
      <c r="N35" s="477"/>
      <c r="O35" s="477"/>
      <c r="P35" s="477"/>
      <c r="Q35" s="477"/>
      <c r="R35" s="477"/>
      <c r="S35" s="477"/>
      <c r="T35" s="477"/>
      <c r="U35" s="477"/>
      <c r="V35" s="477"/>
      <c r="W35" s="477"/>
      <c r="X35" s="477"/>
      <c r="Y35" s="477"/>
      <c r="Z35" s="477"/>
      <c r="AA35" s="477"/>
      <c r="AB35" s="477"/>
      <c r="AC35" s="477"/>
    </row>
    <row r="36" spans="1:29" hidden="1" x14ac:dyDescent="0.2">
      <c r="A36" s="477"/>
      <c r="B36" s="477"/>
      <c r="C36" s="477"/>
      <c r="D36" s="477"/>
      <c r="E36" s="477"/>
      <c r="F36" s="477"/>
      <c r="G36" s="477"/>
      <c r="H36" s="477"/>
      <c r="I36" s="477"/>
      <c r="J36" s="477"/>
      <c r="K36" s="477"/>
      <c r="L36" s="477"/>
      <c r="M36" s="477"/>
      <c r="N36" s="477"/>
      <c r="O36" s="477"/>
      <c r="P36" s="477"/>
      <c r="Q36" s="477"/>
      <c r="R36" s="477"/>
      <c r="S36" s="477"/>
      <c r="T36" s="477"/>
      <c r="U36" s="477"/>
      <c r="V36" s="477"/>
      <c r="W36" s="477"/>
      <c r="X36" s="477"/>
      <c r="Y36" s="477"/>
      <c r="Z36" s="477"/>
      <c r="AA36" s="477"/>
      <c r="AB36" s="477"/>
      <c r="AC36" s="477"/>
    </row>
    <row r="37" spans="1:29" hidden="1" x14ac:dyDescent="0.2">
      <c r="A37" s="477"/>
      <c r="B37" s="477"/>
      <c r="C37" s="477"/>
      <c r="D37" s="477"/>
      <c r="E37" s="477"/>
      <c r="F37" s="477"/>
      <c r="G37" s="477"/>
      <c r="H37" s="477"/>
      <c r="I37" s="477"/>
      <c r="J37" s="477"/>
      <c r="K37" s="477"/>
      <c r="L37" s="477"/>
      <c r="M37" s="477"/>
      <c r="N37" s="477"/>
      <c r="O37" s="477"/>
      <c r="P37" s="477"/>
      <c r="Q37" s="477"/>
      <c r="R37" s="477"/>
      <c r="S37" s="477"/>
      <c r="T37" s="477"/>
      <c r="U37" s="477"/>
      <c r="V37" s="477"/>
      <c r="W37" s="477"/>
      <c r="X37" s="477"/>
      <c r="Y37" s="477"/>
      <c r="Z37" s="477"/>
      <c r="AA37" s="477"/>
      <c r="AB37" s="477"/>
      <c r="AC37" s="477"/>
    </row>
    <row r="38" spans="1:29" hidden="1" x14ac:dyDescent="0.2">
      <c r="A38" s="477"/>
      <c r="B38" s="477"/>
      <c r="C38" s="477"/>
      <c r="D38" s="477"/>
      <c r="E38" s="477"/>
      <c r="F38" s="477"/>
      <c r="G38" s="477"/>
      <c r="H38" s="477"/>
      <c r="I38" s="477"/>
      <c r="J38" s="477"/>
      <c r="K38" s="477"/>
      <c r="L38" s="477"/>
      <c r="M38" s="477"/>
      <c r="N38" s="477"/>
      <c r="O38" s="477"/>
      <c r="P38" s="477"/>
      <c r="Q38" s="477"/>
      <c r="R38" s="477"/>
      <c r="S38" s="477"/>
      <c r="T38" s="477"/>
      <c r="U38" s="477"/>
      <c r="V38" s="477"/>
      <c r="W38" s="477"/>
      <c r="X38" s="477"/>
      <c r="Y38" s="477"/>
      <c r="Z38" s="477"/>
      <c r="AA38" s="477"/>
      <c r="AB38" s="477"/>
      <c r="AC38" s="477"/>
    </row>
    <row r="39" spans="1:29" hidden="1" x14ac:dyDescent="0.2">
      <c r="A39" s="477"/>
      <c r="B39" s="477"/>
      <c r="C39" s="477"/>
      <c r="D39" s="477"/>
      <c r="E39" s="477"/>
      <c r="F39" s="477"/>
      <c r="G39" s="477"/>
      <c r="H39" s="477"/>
      <c r="I39" s="477"/>
      <c r="J39" s="477"/>
      <c r="K39" s="477"/>
      <c r="L39" s="477"/>
      <c r="M39" s="477"/>
      <c r="N39" s="477"/>
      <c r="O39" s="477"/>
      <c r="P39" s="477"/>
      <c r="Q39" s="477"/>
      <c r="R39" s="477"/>
      <c r="S39" s="477"/>
      <c r="T39" s="477"/>
      <c r="U39" s="477"/>
      <c r="V39" s="477"/>
      <c r="W39" s="477"/>
      <c r="X39" s="477"/>
      <c r="Y39" s="477"/>
      <c r="Z39" s="477"/>
      <c r="AA39" s="477"/>
      <c r="AB39" s="477"/>
      <c r="AC39" s="477"/>
    </row>
    <row r="40" spans="1:29" hidden="1" x14ac:dyDescent="0.2">
      <c r="A40" s="477"/>
      <c r="B40" s="477"/>
      <c r="C40" s="477"/>
      <c r="D40" s="477"/>
      <c r="E40" s="477"/>
      <c r="F40" s="477"/>
      <c r="G40" s="477"/>
      <c r="H40" s="477"/>
      <c r="I40" s="477"/>
      <c r="J40" s="477"/>
      <c r="K40" s="477"/>
      <c r="L40" s="477"/>
      <c r="M40" s="477"/>
      <c r="N40" s="477"/>
      <c r="O40" s="477"/>
      <c r="P40" s="477"/>
      <c r="Q40" s="477"/>
      <c r="R40" s="477"/>
      <c r="S40" s="477"/>
      <c r="T40" s="477"/>
      <c r="U40" s="477"/>
      <c r="V40" s="477"/>
      <c r="W40" s="477"/>
      <c r="X40" s="477"/>
      <c r="Y40" s="477"/>
      <c r="Z40" s="477"/>
      <c r="AA40" s="477"/>
      <c r="AB40" s="477"/>
      <c r="AC40" s="477"/>
    </row>
    <row r="41" spans="1:29" hidden="1" x14ac:dyDescent="0.2">
      <c r="A41" s="477"/>
      <c r="B41" s="477"/>
      <c r="C41" s="477"/>
      <c r="D41" s="477"/>
      <c r="E41" s="477"/>
      <c r="F41" s="477"/>
      <c r="G41" s="477"/>
      <c r="H41" s="477"/>
      <c r="I41" s="477"/>
      <c r="J41" s="477"/>
      <c r="K41" s="477"/>
      <c r="L41" s="477"/>
      <c r="M41" s="477"/>
      <c r="N41" s="477"/>
      <c r="O41" s="477"/>
      <c r="P41" s="477"/>
      <c r="Q41" s="477"/>
      <c r="R41" s="477"/>
      <c r="S41" s="477"/>
      <c r="T41" s="477"/>
      <c r="U41" s="477"/>
      <c r="V41" s="477"/>
      <c r="W41" s="477"/>
      <c r="X41" s="477"/>
      <c r="Y41" s="477"/>
      <c r="Z41" s="477"/>
      <c r="AA41" s="477"/>
      <c r="AB41" s="477"/>
      <c r="AC41" s="477"/>
    </row>
    <row r="42" spans="1:29" hidden="1" x14ac:dyDescent="0.2">
      <c r="A42" s="477"/>
      <c r="B42" s="477"/>
      <c r="C42" s="477"/>
      <c r="D42" s="477"/>
      <c r="E42" s="477"/>
      <c r="F42" s="477"/>
      <c r="G42" s="477"/>
      <c r="H42" s="477"/>
      <c r="I42" s="477"/>
      <c r="J42" s="477"/>
      <c r="K42" s="477"/>
      <c r="L42" s="477"/>
      <c r="M42" s="477"/>
      <c r="N42" s="477"/>
      <c r="O42" s="477"/>
      <c r="P42" s="477"/>
      <c r="Q42" s="477"/>
      <c r="R42" s="477"/>
      <c r="S42" s="477"/>
      <c r="T42" s="477"/>
      <c r="U42" s="477"/>
      <c r="V42" s="477"/>
      <c r="W42" s="477"/>
      <c r="X42" s="477"/>
      <c r="Y42" s="477"/>
      <c r="Z42" s="477"/>
      <c r="AA42" s="477"/>
      <c r="AB42" s="477"/>
      <c r="AC42" s="477"/>
    </row>
    <row r="43" spans="1:29" hidden="1" x14ac:dyDescent="0.2">
      <c r="A43" s="477"/>
      <c r="B43" s="477"/>
      <c r="C43" s="477"/>
      <c r="D43" s="477"/>
      <c r="E43" s="477"/>
      <c r="F43" s="477"/>
      <c r="G43" s="477"/>
      <c r="H43" s="477"/>
      <c r="I43" s="477"/>
      <c r="J43" s="477"/>
      <c r="K43" s="477"/>
      <c r="L43" s="477"/>
      <c r="M43" s="477"/>
      <c r="N43" s="477"/>
      <c r="O43" s="477"/>
      <c r="P43" s="477"/>
      <c r="Q43" s="477"/>
      <c r="R43" s="477"/>
      <c r="S43" s="477"/>
      <c r="T43" s="477"/>
      <c r="U43" s="477"/>
      <c r="V43" s="477"/>
      <c r="W43" s="477"/>
      <c r="X43" s="477"/>
      <c r="Y43" s="477"/>
      <c r="Z43" s="477"/>
      <c r="AA43" s="477"/>
      <c r="AB43" s="477"/>
      <c r="AC43" s="477"/>
    </row>
    <row r="44" spans="1:29" hidden="1" x14ac:dyDescent="0.2">
      <c r="A44" s="477"/>
      <c r="B44" s="477"/>
      <c r="C44" s="477"/>
      <c r="D44" s="477"/>
      <c r="E44" s="477"/>
      <c r="F44" s="477"/>
      <c r="G44" s="477"/>
      <c r="H44" s="477"/>
      <c r="I44" s="477"/>
      <c r="J44" s="477"/>
      <c r="K44" s="477"/>
      <c r="L44" s="477"/>
      <c r="M44" s="477"/>
      <c r="N44" s="477"/>
      <c r="O44" s="477"/>
      <c r="P44" s="477"/>
      <c r="Q44" s="477"/>
      <c r="R44" s="477"/>
      <c r="S44" s="477"/>
      <c r="T44" s="477"/>
      <c r="U44" s="477"/>
      <c r="V44" s="477"/>
      <c r="W44" s="477"/>
      <c r="X44" s="477"/>
      <c r="Y44" s="477"/>
      <c r="Z44" s="477"/>
      <c r="AA44" s="477"/>
      <c r="AB44" s="477"/>
      <c r="AC44" s="477"/>
    </row>
    <row r="45" spans="1:29" hidden="1" x14ac:dyDescent="0.2">
      <c r="A45" s="477"/>
      <c r="B45" s="477"/>
      <c r="C45" s="477"/>
      <c r="D45" s="477"/>
      <c r="E45" s="477"/>
      <c r="F45" s="477"/>
      <c r="G45" s="477"/>
      <c r="H45" s="477"/>
      <c r="I45" s="477"/>
      <c r="J45" s="477"/>
      <c r="K45" s="477"/>
      <c r="L45" s="477"/>
      <c r="M45" s="477"/>
      <c r="N45" s="477"/>
      <c r="O45" s="477"/>
      <c r="P45" s="477"/>
      <c r="Q45" s="477"/>
      <c r="R45" s="477"/>
      <c r="S45" s="477"/>
      <c r="T45" s="477"/>
      <c r="U45" s="477"/>
      <c r="V45" s="477"/>
      <c r="W45" s="477"/>
      <c r="X45" s="477"/>
      <c r="Y45" s="477"/>
      <c r="Z45" s="477"/>
      <c r="AA45" s="477"/>
      <c r="AB45" s="477"/>
      <c r="AC45" s="477"/>
    </row>
    <row r="46" spans="1:29" hidden="1" x14ac:dyDescent="0.2">
      <c r="A46" s="477"/>
      <c r="B46" s="477"/>
      <c r="C46" s="477"/>
      <c r="D46" s="477"/>
      <c r="E46" s="477"/>
      <c r="F46" s="477"/>
      <c r="G46" s="477"/>
      <c r="H46" s="477"/>
      <c r="I46" s="477"/>
      <c r="J46" s="477"/>
      <c r="K46" s="477"/>
      <c r="L46" s="477"/>
      <c r="M46" s="477"/>
      <c r="N46" s="477"/>
      <c r="O46" s="477"/>
      <c r="P46" s="477"/>
      <c r="Q46" s="477"/>
      <c r="R46" s="477"/>
      <c r="S46" s="477"/>
      <c r="T46" s="477"/>
      <c r="U46" s="477"/>
      <c r="V46" s="477"/>
      <c r="W46" s="477"/>
      <c r="X46" s="477"/>
      <c r="Y46" s="477"/>
      <c r="Z46" s="477"/>
      <c r="AA46" s="477"/>
      <c r="AB46" s="477"/>
      <c r="AC46" s="477"/>
    </row>
    <row r="47" spans="1:29" hidden="1" x14ac:dyDescent="0.2">
      <c r="A47" s="477"/>
      <c r="B47" s="477"/>
      <c r="C47" s="477"/>
      <c r="D47" s="477"/>
      <c r="E47" s="477"/>
      <c r="F47" s="477"/>
      <c r="G47" s="477"/>
      <c r="H47" s="477"/>
      <c r="I47" s="477"/>
      <c r="J47" s="477"/>
      <c r="K47" s="477"/>
      <c r="L47" s="477"/>
      <c r="M47" s="477"/>
      <c r="N47" s="477"/>
      <c r="O47" s="477"/>
      <c r="P47" s="477"/>
      <c r="Q47" s="477"/>
      <c r="R47" s="477"/>
      <c r="S47" s="477"/>
      <c r="T47" s="477"/>
      <c r="U47" s="477"/>
      <c r="V47" s="477"/>
      <c r="W47" s="477"/>
      <c r="X47" s="477"/>
      <c r="Y47" s="477"/>
      <c r="Z47" s="477"/>
      <c r="AA47" s="477"/>
      <c r="AB47" s="477"/>
      <c r="AC47" s="477"/>
    </row>
    <row r="48" spans="1:29" hidden="1" x14ac:dyDescent="0.2">
      <c r="A48" s="477"/>
      <c r="B48" s="477"/>
      <c r="C48" s="477"/>
      <c r="D48" s="477"/>
      <c r="E48" s="477"/>
      <c r="F48" s="477"/>
      <c r="G48" s="477"/>
      <c r="H48" s="477"/>
      <c r="I48" s="477"/>
      <c r="J48" s="477"/>
      <c r="K48" s="477"/>
      <c r="L48" s="477"/>
      <c r="M48" s="477"/>
      <c r="N48" s="477"/>
      <c r="O48" s="477"/>
      <c r="P48" s="477"/>
      <c r="Q48" s="477"/>
      <c r="R48" s="477"/>
      <c r="S48" s="477"/>
      <c r="T48" s="477"/>
      <c r="U48" s="477"/>
      <c r="V48" s="477"/>
      <c r="W48" s="477"/>
      <c r="X48" s="477"/>
      <c r="Y48" s="477"/>
      <c r="Z48" s="477"/>
      <c r="AA48" s="477"/>
      <c r="AB48" s="477"/>
      <c r="AC48" s="477"/>
    </row>
    <row r="49" spans="1:29" hidden="1" x14ac:dyDescent="0.2">
      <c r="A49" s="477"/>
      <c r="B49" s="477"/>
      <c r="C49" s="477"/>
      <c r="D49" s="477"/>
      <c r="E49" s="477"/>
      <c r="F49" s="477"/>
      <c r="G49" s="477"/>
      <c r="H49" s="477"/>
      <c r="I49" s="477"/>
      <c r="J49" s="477"/>
      <c r="K49" s="477"/>
      <c r="L49" s="477"/>
      <c r="M49" s="477"/>
      <c r="N49" s="477"/>
      <c r="O49" s="477"/>
      <c r="P49" s="477"/>
      <c r="Q49" s="477"/>
      <c r="R49" s="477"/>
      <c r="S49" s="477"/>
      <c r="T49" s="477"/>
      <c r="U49" s="477"/>
      <c r="V49" s="477"/>
      <c r="W49" s="477"/>
      <c r="X49" s="477"/>
      <c r="Y49" s="477"/>
      <c r="Z49" s="477"/>
      <c r="AA49" s="477"/>
      <c r="AB49" s="477"/>
      <c r="AC49" s="477"/>
    </row>
    <row r="50" spans="1:29" hidden="1" x14ac:dyDescent="0.2">
      <c r="A50" s="477"/>
      <c r="B50" s="477"/>
      <c r="C50" s="477"/>
      <c r="D50" s="477"/>
      <c r="E50" s="477"/>
      <c r="F50" s="477"/>
      <c r="G50" s="477"/>
      <c r="H50" s="477"/>
      <c r="I50" s="477"/>
      <c r="J50" s="477"/>
      <c r="K50" s="477"/>
      <c r="L50" s="477"/>
      <c r="M50" s="477"/>
      <c r="N50" s="477"/>
      <c r="O50" s="477"/>
      <c r="P50" s="477"/>
      <c r="Q50" s="477"/>
      <c r="R50" s="477"/>
      <c r="S50" s="477"/>
      <c r="T50" s="477"/>
      <c r="U50" s="477"/>
      <c r="V50" s="477"/>
      <c r="W50" s="477"/>
      <c r="X50" s="477"/>
      <c r="Y50" s="477"/>
      <c r="Z50" s="477"/>
      <c r="AA50" s="477"/>
      <c r="AB50" s="477"/>
      <c r="AC50" s="477"/>
    </row>
    <row r="51" spans="1:29" hidden="1" x14ac:dyDescent="0.2">
      <c r="A51" s="477"/>
      <c r="B51" s="477"/>
      <c r="C51" s="477"/>
      <c r="D51" s="477"/>
      <c r="E51" s="477"/>
      <c r="F51" s="477"/>
      <c r="G51" s="477"/>
      <c r="H51" s="477"/>
      <c r="I51" s="477"/>
      <c r="J51" s="477"/>
      <c r="K51" s="477"/>
      <c r="L51" s="477"/>
      <c r="M51" s="477"/>
      <c r="N51" s="477"/>
      <c r="O51" s="477"/>
      <c r="P51" s="477"/>
      <c r="Q51" s="477"/>
      <c r="R51" s="477"/>
      <c r="S51" s="477"/>
      <c r="T51" s="477"/>
      <c r="U51" s="477"/>
      <c r="V51" s="477"/>
      <c r="W51" s="477"/>
      <c r="X51" s="477"/>
      <c r="Y51" s="477"/>
      <c r="Z51" s="477"/>
      <c r="AA51" s="477"/>
      <c r="AB51" s="477"/>
      <c r="AC51" s="477"/>
    </row>
    <row r="52" spans="1:29" hidden="1" x14ac:dyDescent="0.2">
      <c r="A52" s="477"/>
      <c r="B52" s="477"/>
      <c r="C52" s="477"/>
      <c r="D52" s="477"/>
      <c r="E52" s="477"/>
      <c r="F52" s="477"/>
      <c r="G52" s="477"/>
      <c r="H52" s="477"/>
      <c r="I52" s="477"/>
      <c r="J52" s="477"/>
      <c r="K52" s="477"/>
      <c r="L52" s="477"/>
      <c r="M52" s="477"/>
      <c r="N52" s="477"/>
      <c r="O52" s="477"/>
      <c r="P52" s="477"/>
      <c r="Q52" s="477"/>
      <c r="R52" s="477"/>
      <c r="S52" s="477"/>
      <c r="T52" s="477"/>
      <c r="U52" s="477"/>
      <c r="V52" s="477"/>
      <c r="W52" s="477"/>
      <c r="X52" s="477"/>
      <c r="Y52" s="477"/>
      <c r="Z52" s="477"/>
      <c r="AA52" s="477"/>
      <c r="AB52" s="477"/>
      <c r="AC52" s="477"/>
    </row>
    <row r="53" spans="1:29" hidden="1" x14ac:dyDescent="0.2">
      <c r="A53" s="477"/>
      <c r="B53" s="477"/>
      <c r="C53" s="477"/>
      <c r="D53" s="477"/>
      <c r="E53" s="477"/>
      <c r="F53" s="477"/>
      <c r="G53" s="477"/>
      <c r="H53" s="477"/>
      <c r="I53" s="477"/>
      <c r="J53" s="477"/>
      <c r="K53" s="477"/>
      <c r="L53" s="477"/>
      <c r="M53" s="477"/>
      <c r="N53" s="477"/>
      <c r="O53" s="477"/>
      <c r="P53" s="477"/>
      <c r="Q53" s="477"/>
      <c r="R53" s="477"/>
      <c r="S53" s="477"/>
      <c r="T53" s="477"/>
      <c r="U53" s="477"/>
      <c r="V53" s="477"/>
      <c r="W53" s="477"/>
      <c r="X53" s="477"/>
      <c r="Y53" s="477"/>
      <c r="Z53" s="477"/>
      <c r="AA53" s="477"/>
      <c r="AB53" s="477"/>
      <c r="AC53" s="477"/>
    </row>
    <row r="54" spans="1:29" hidden="1" x14ac:dyDescent="0.2">
      <c r="A54" s="477"/>
      <c r="B54" s="477"/>
      <c r="C54" s="477"/>
      <c r="D54" s="477"/>
      <c r="E54" s="477"/>
      <c r="F54" s="477"/>
      <c r="G54" s="477"/>
      <c r="H54" s="477"/>
      <c r="I54" s="477"/>
      <c r="J54" s="477"/>
      <c r="K54" s="477"/>
      <c r="L54" s="477"/>
      <c r="M54" s="477"/>
      <c r="N54" s="477"/>
      <c r="O54" s="477"/>
      <c r="P54" s="477"/>
      <c r="Q54" s="477"/>
      <c r="R54" s="477"/>
      <c r="S54" s="477"/>
      <c r="T54" s="477"/>
      <c r="U54" s="477"/>
      <c r="V54" s="477"/>
      <c r="W54" s="477"/>
      <c r="X54" s="477"/>
      <c r="Y54" s="477"/>
      <c r="Z54" s="477"/>
      <c r="AA54" s="477"/>
      <c r="AB54" s="477"/>
      <c r="AC54" s="477"/>
    </row>
    <row r="55" spans="1:29" hidden="1" x14ac:dyDescent="0.2">
      <c r="A55" s="477"/>
      <c r="B55" s="477"/>
      <c r="C55" s="477"/>
      <c r="D55" s="477"/>
      <c r="E55" s="477"/>
      <c r="F55" s="477"/>
      <c r="G55" s="477"/>
      <c r="H55" s="477"/>
      <c r="I55" s="477"/>
      <c r="J55" s="477"/>
      <c r="K55" s="477"/>
      <c r="L55" s="477"/>
      <c r="M55" s="477"/>
      <c r="N55" s="477"/>
      <c r="O55" s="477"/>
      <c r="P55" s="477"/>
      <c r="Q55" s="477"/>
      <c r="R55" s="477"/>
      <c r="S55" s="477"/>
      <c r="T55" s="477"/>
      <c r="U55" s="477"/>
      <c r="V55" s="477"/>
      <c r="W55" s="477"/>
      <c r="X55" s="477"/>
      <c r="Y55" s="477"/>
      <c r="Z55" s="477"/>
      <c r="AA55" s="477"/>
      <c r="AB55" s="477"/>
      <c r="AC55" s="477"/>
    </row>
    <row r="56" spans="1:29" hidden="1" x14ac:dyDescent="0.2">
      <c r="A56" s="477"/>
      <c r="B56" s="477"/>
      <c r="C56" s="477"/>
      <c r="D56" s="477"/>
      <c r="E56" s="477"/>
      <c r="F56" s="477"/>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row>
    <row r="57" spans="1:29" hidden="1" x14ac:dyDescent="0.2">
      <c r="A57" s="477"/>
      <c r="B57" s="477"/>
      <c r="C57" s="477"/>
      <c r="D57" s="477"/>
      <c r="E57" s="477"/>
      <c r="F57" s="477"/>
      <c r="G57" s="477"/>
      <c r="H57" s="477"/>
      <c r="I57" s="477"/>
      <c r="J57" s="477"/>
      <c r="K57" s="477"/>
      <c r="L57" s="477"/>
      <c r="M57" s="477"/>
      <c r="N57" s="477"/>
      <c r="O57" s="477"/>
      <c r="P57" s="477"/>
      <c r="Q57" s="477"/>
      <c r="R57" s="477"/>
      <c r="S57" s="477"/>
      <c r="T57" s="477"/>
      <c r="U57" s="477"/>
      <c r="V57" s="477"/>
      <c r="W57" s="477"/>
      <c r="X57" s="477"/>
      <c r="Y57" s="477"/>
      <c r="Z57" s="477"/>
      <c r="AA57" s="477"/>
      <c r="AB57" s="477"/>
      <c r="AC57" s="477"/>
    </row>
    <row r="58" spans="1:29" hidden="1" x14ac:dyDescent="0.2">
      <c r="A58" s="477"/>
      <c r="B58" s="477"/>
      <c r="C58" s="477"/>
      <c r="D58" s="477"/>
      <c r="E58" s="477"/>
      <c r="F58" s="477"/>
      <c r="G58" s="477"/>
      <c r="H58" s="477"/>
      <c r="I58" s="477"/>
      <c r="J58" s="477"/>
      <c r="K58" s="477"/>
      <c r="L58" s="477"/>
      <c r="M58" s="477"/>
      <c r="N58" s="477"/>
      <c r="O58" s="477"/>
      <c r="P58" s="477"/>
      <c r="Q58" s="477"/>
      <c r="R58" s="477"/>
      <c r="S58" s="477"/>
      <c r="T58" s="477"/>
      <c r="U58" s="477"/>
      <c r="V58" s="477"/>
      <c r="W58" s="477"/>
      <c r="X58" s="477"/>
      <c r="Y58" s="477"/>
      <c r="Z58" s="477"/>
      <c r="AA58" s="477"/>
      <c r="AB58" s="477"/>
      <c r="AC58" s="477"/>
    </row>
    <row r="59" spans="1:29" hidden="1" x14ac:dyDescent="0.2">
      <c r="A59" s="477"/>
      <c r="B59" s="477"/>
      <c r="C59" s="477"/>
      <c r="D59" s="477"/>
      <c r="E59" s="477"/>
      <c r="F59" s="477"/>
      <c r="G59" s="477"/>
      <c r="H59" s="477"/>
      <c r="I59" s="477"/>
      <c r="J59" s="477"/>
      <c r="K59" s="477"/>
      <c r="L59" s="477"/>
      <c r="M59" s="477"/>
      <c r="N59" s="477"/>
      <c r="O59" s="477"/>
      <c r="P59" s="477"/>
      <c r="Q59" s="477"/>
      <c r="R59" s="477"/>
      <c r="S59" s="477"/>
      <c r="T59" s="477"/>
      <c r="U59" s="477"/>
      <c r="V59" s="477"/>
      <c r="W59" s="477"/>
      <c r="X59" s="477"/>
      <c r="Y59" s="477"/>
      <c r="Z59" s="477"/>
      <c r="AA59" s="477"/>
      <c r="AB59" s="477"/>
      <c r="AC59" s="477"/>
    </row>
    <row r="60" spans="1:29" hidden="1" x14ac:dyDescent="0.2">
      <c r="A60" s="477"/>
      <c r="B60" s="477"/>
      <c r="C60" s="477"/>
      <c r="D60" s="477"/>
      <c r="E60" s="477"/>
      <c r="F60" s="477"/>
      <c r="G60" s="477"/>
      <c r="H60" s="477"/>
      <c r="I60" s="477"/>
      <c r="J60" s="477"/>
      <c r="K60" s="477"/>
      <c r="L60" s="477"/>
      <c r="M60" s="477"/>
      <c r="N60" s="477"/>
      <c r="O60" s="477"/>
      <c r="P60" s="477"/>
      <c r="Q60" s="477"/>
      <c r="R60" s="477"/>
      <c r="S60" s="477"/>
      <c r="T60" s="477"/>
      <c r="U60" s="477"/>
      <c r="V60" s="477"/>
      <c r="W60" s="477"/>
      <c r="X60" s="477"/>
      <c r="Y60" s="477"/>
      <c r="Z60" s="477"/>
      <c r="AA60" s="477"/>
      <c r="AB60" s="477"/>
      <c r="AC60" s="477"/>
    </row>
    <row r="61" spans="1:29" x14ac:dyDescent="0.2">
      <c r="A61" s="477"/>
      <c r="B61" s="477"/>
      <c r="C61" s="477"/>
      <c r="D61" s="477"/>
      <c r="E61" s="477"/>
      <c r="F61" s="477"/>
      <c r="G61" s="477"/>
      <c r="H61" s="477"/>
      <c r="I61" s="477"/>
      <c r="J61" s="477"/>
      <c r="K61" s="477"/>
      <c r="L61" s="477"/>
      <c r="M61" s="477"/>
      <c r="N61" s="477"/>
      <c r="O61" s="477"/>
      <c r="P61" s="477"/>
      <c r="Q61" s="477"/>
      <c r="R61" s="477"/>
      <c r="S61" s="477"/>
      <c r="T61" s="477"/>
      <c r="U61" s="477"/>
    </row>
    <row r="62" spans="1:29" x14ac:dyDescent="0.2">
      <c r="A62" s="79"/>
      <c r="B62" s="322" t="s">
        <v>171</v>
      </c>
      <c r="C62" s="283" t="s">
        <v>175</v>
      </c>
      <c r="D62" s="445"/>
      <c r="E62" s="79"/>
      <c r="F62" s="62"/>
      <c r="G62" s="79"/>
      <c r="H62" s="79"/>
      <c r="I62" s="79"/>
      <c r="J62" s="79"/>
      <c r="K62" s="62"/>
      <c r="L62" s="79"/>
      <c r="M62" s="62"/>
      <c r="N62" s="79"/>
      <c r="O62" s="299"/>
      <c r="P62" s="62"/>
      <c r="Q62" s="62"/>
      <c r="R62" s="62"/>
      <c r="S62" s="62"/>
      <c r="T62" s="62"/>
      <c r="U62" s="62"/>
    </row>
    <row r="63" spans="1:29" x14ac:dyDescent="0.2">
      <c r="A63" s="79"/>
      <c r="B63" s="322" t="s">
        <v>174</v>
      </c>
      <c r="C63" s="283" t="s">
        <v>191</v>
      </c>
      <c r="D63" s="79"/>
      <c r="E63" s="79"/>
      <c r="F63" s="62"/>
      <c r="G63" s="79"/>
      <c r="H63" s="79"/>
      <c r="I63" s="79"/>
      <c r="J63" s="79"/>
      <c r="K63" s="62"/>
      <c r="L63" s="79"/>
      <c r="M63" s="62"/>
      <c r="N63" s="79"/>
      <c r="O63" s="299"/>
      <c r="P63" s="62"/>
      <c r="Q63" s="62"/>
      <c r="R63" s="62"/>
      <c r="S63" s="62"/>
      <c r="T63" s="62"/>
      <c r="U63" s="62"/>
    </row>
    <row r="64" spans="1:29" x14ac:dyDescent="0.2">
      <c r="A64" s="79"/>
      <c r="B64" s="322" t="s">
        <v>177</v>
      </c>
      <c r="C64" s="283" t="s">
        <v>183</v>
      </c>
      <c r="D64" s="79"/>
      <c r="E64" s="79"/>
      <c r="F64" s="62"/>
      <c r="G64" s="79"/>
      <c r="H64" s="79"/>
      <c r="I64" s="79"/>
      <c r="J64" s="79"/>
      <c r="K64" s="62"/>
      <c r="L64" s="79"/>
      <c r="M64" s="62"/>
      <c r="N64" s="79"/>
      <c r="O64" s="299"/>
      <c r="P64" s="62"/>
      <c r="Q64" s="62"/>
      <c r="R64" s="62"/>
      <c r="S64" s="62"/>
      <c r="T64" s="62"/>
      <c r="U64" s="62"/>
    </row>
    <row r="65" spans="1:21" x14ac:dyDescent="0.2">
      <c r="A65" s="79"/>
      <c r="B65" s="79"/>
      <c r="C65" s="79"/>
      <c r="D65" s="79"/>
      <c r="E65" s="79"/>
      <c r="F65" s="79"/>
      <c r="G65" s="79"/>
      <c r="H65" s="79"/>
      <c r="I65" s="79"/>
      <c r="J65" s="79"/>
      <c r="K65" s="62"/>
      <c r="L65" s="79"/>
      <c r="M65" s="62"/>
      <c r="N65" s="79"/>
      <c r="O65" s="299"/>
      <c r="P65" s="62"/>
      <c r="Q65" s="62"/>
      <c r="R65" s="62"/>
      <c r="S65" s="62"/>
      <c r="T65" s="62"/>
      <c r="U65" s="62"/>
    </row>
    <row r="66" spans="1:21" x14ac:dyDescent="0.2">
      <c r="A66" s="79"/>
      <c r="B66" s="322" t="s">
        <v>171</v>
      </c>
      <c r="C66" s="283" t="s">
        <v>184</v>
      </c>
      <c r="D66" s="283" t="s">
        <v>183</v>
      </c>
      <c r="E66" s="79"/>
      <c r="F66" s="79"/>
      <c r="G66" s="79"/>
      <c r="H66" s="79"/>
      <c r="I66" s="79"/>
      <c r="J66" s="79"/>
      <c r="K66" s="62"/>
      <c r="L66" s="79"/>
      <c r="M66" s="62"/>
      <c r="N66" s="79"/>
      <c r="O66" s="299"/>
      <c r="P66" s="62"/>
      <c r="Q66" s="62"/>
      <c r="R66" s="62"/>
      <c r="S66" s="62"/>
      <c r="T66" s="62"/>
      <c r="U66" s="62"/>
    </row>
    <row r="67" spans="1:21" x14ac:dyDescent="0.2">
      <c r="A67" s="79"/>
      <c r="B67" s="322" t="s">
        <v>174</v>
      </c>
      <c r="C67" s="283" t="s">
        <v>175</v>
      </c>
      <c r="D67" s="283" t="s">
        <v>173</v>
      </c>
      <c r="E67" s="79"/>
      <c r="F67" s="79"/>
      <c r="G67" s="79"/>
      <c r="H67" s="79"/>
      <c r="I67" s="79"/>
      <c r="J67" s="79"/>
      <c r="K67" s="62"/>
      <c r="L67" s="79"/>
      <c r="M67" s="62"/>
      <c r="N67" s="79"/>
      <c r="O67" s="299"/>
      <c r="P67" s="62"/>
      <c r="Q67" s="62"/>
      <c r="R67" s="62"/>
      <c r="S67" s="62"/>
      <c r="T67" s="62"/>
      <c r="U67" s="62"/>
    </row>
    <row r="68" spans="1:21" x14ac:dyDescent="0.2">
      <c r="A68" s="79"/>
      <c r="B68" s="322" t="s">
        <v>177</v>
      </c>
      <c r="C68" s="283" t="s">
        <v>191</v>
      </c>
      <c r="D68" s="283" t="s">
        <v>179</v>
      </c>
      <c r="E68" s="79"/>
      <c r="F68" s="79"/>
      <c r="G68" s="79"/>
      <c r="H68" s="79"/>
      <c r="I68" s="79"/>
      <c r="J68" s="79"/>
      <c r="K68" s="62"/>
      <c r="L68" s="79"/>
      <c r="M68" s="62"/>
      <c r="N68" s="79"/>
      <c r="O68" s="299"/>
      <c r="P68" s="62"/>
      <c r="Q68" s="62"/>
      <c r="R68" s="62"/>
      <c r="S68" s="62"/>
      <c r="T68" s="62"/>
      <c r="U68" s="62"/>
    </row>
    <row r="69" spans="1:21" hidden="1" x14ac:dyDescent="0.2">
      <c r="A69" s="79"/>
      <c r="B69" s="330"/>
      <c r="C69" s="140"/>
      <c r="D69" s="140"/>
      <c r="E69" s="79"/>
      <c r="F69" s="79"/>
      <c r="G69" s="79"/>
      <c r="H69" s="79"/>
      <c r="I69" s="79"/>
      <c r="J69" s="79"/>
      <c r="K69" s="62"/>
      <c r="L69" s="79"/>
      <c r="M69" s="62"/>
      <c r="N69" s="79"/>
      <c r="O69" s="299"/>
      <c r="P69" s="62"/>
      <c r="Q69" s="62"/>
      <c r="R69" s="62"/>
      <c r="S69" s="62"/>
      <c r="T69" s="62"/>
      <c r="U69" s="62"/>
    </row>
    <row r="70" spans="1:21" hidden="1" x14ac:dyDescent="0.2">
      <c r="A70" s="79"/>
      <c r="B70" s="322" t="s">
        <v>171</v>
      </c>
      <c r="C70" s="283" t="s">
        <v>172</v>
      </c>
      <c r="D70" s="283" t="s">
        <v>173</v>
      </c>
      <c r="E70" s="79"/>
      <c r="F70" s="62"/>
      <c r="G70" s="62"/>
      <c r="H70" s="79"/>
      <c r="I70" s="79"/>
      <c r="J70" s="79"/>
      <c r="K70" s="62"/>
      <c r="L70" s="79"/>
      <c r="M70" s="62"/>
      <c r="N70" s="79"/>
      <c r="O70" s="299"/>
      <c r="P70" s="62"/>
      <c r="Q70" s="62"/>
      <c r="R70" s="62"/>
      <c r="S70" s="62"/>
      <c r="T70" s="62"/>
      <c r="U70" s="62"/>
    </row>
    <row r="71" spans="1:21" hidden="1" x14ac:dyDescent="0.2">
      <c r="A71" s="79"/>
      <c r="B71" s="322" t="s">
        <v>174</v>
      </c>
      <c r="C71" s="283" t="s">
        <v>184</v>
      </c>
      <c r="D71" s="283" t="s">
        <v>183</v>
      </c>
      <c r="E71" s="79"/>
      <c r="F71" s="62"/>
      <c r="G71" s="62"/>
      <c r="H71" s="62"/>
      <c r="I71" s="79"/>
      <c r="J71" s="79"/>
      <c r="K71" s="62"/>
      <c r="L71" s="79"/>
      <c r="M71" s="62"/>
      <c r="N71" s="79"/>
      <c r="O71" s="299"/>
      <c r="P71" s="62"/>
      <c r="Q71" s="62"/>
      <c r="R71" s="62"/>
      <c r="S71" s="62"/>
      <c r="T71" s="62"/>
      <c r="U71" s="62"/>
    </row>
    <row r="72" spans="1:21" hidden="1" x14ac:dyDescent="0.2">
      <c r="A72" s="79"/>
      <c r="B72" s="322" t="s">
        <v>177</v>
      </c>
      <c r="C72" s="283" t="s">
        <v>175</v>
      </c>
      <c r="D72" s="283" t="s">
        <v>176</v>
      </c>
      <c r="E72" s="79"/>
      <c r="F72" s="62"/>
      <c r="G72" s="62"/>
      <c r="H72" s="79"/>
      <c r="I72" s="79"/>
      <c r="J72" s="79"/>
      <c r="K72" s="62"/>
      <c r="L72" s="79"/>
      <c r="M72" s="62"/>
      <c r="N72" s="79"/>
      <c r="O72" s="299"/>
      <c r="P72" s="62"/>
      <c r="Q72" s="62"/>
      <c r="R72" s="62"/>
      <c r="S72" s="62"/>
      <c r="T72" s="62"/>
      <c r="U72" s="62"/>
    </row>
    <row r="73" spans="1:21" hidden="1" x14ac:dyDescent="0.2">
      <c r="A73" s="79"/>
      <c r="B73" s="322" t="s">
        <v>180</v>
      </c>
      <c r="C73" s="446" t="s">
        <v>191</v>
      </c>
      <c r="D73" s="283" t="s">
        <v>181</v>
      </c>
      <c r="E73" s="79"/>
      <c r="F73" s="62"/>
      <c r="G73" s="62"/>
      <c r="H73" s="79"/>
      <c r="I73" s="79"/>
      <c r="J73" s="79"/>
      <c r="K73" s="62"/>
      <c r="L73" s="79"/>
      <c r="M73" s="62"/>
      <c r="N73" s="79"/>
      <c r="O73" s="299"/>
      <c r="P73" s="62"/>
      <c r="Q73" s="62"/>
      <c r="R73" s="62"/>
      <c r="S73" s="62"/>
      <c r="T73" s="62"/>
      <c r="U73" s="62"/>
    </row>
    <row r="74" spans="1:21" hidden="1" x14ac:dyDescent="0.2">
      <c r="A74" s="79"/>
      <c r="B74" s="322" t="s">
        <v>182</v>
      </c>
      <c r="C74" s="283" t="s">
        <v>178</v>
      </c>
      <c r="D74" s="283" t="s">
        <v>179</v>
      </c>
      <c r="E74" s="79"/>
      <c r="F74" s="62"/>
      <c r="G74" s="62"/>
      <c r="H74" s="79"/>
      <c r="I74" s="79"/>
      <c r="J74" s="79"/>
      <c r="K74" s="62"/>
      <c r="L74" s="79"/>
      <c r="M74" s="62"/>
      <c r="N74" s="79"/>
      <c r="O74" s="299"/>
      <c r="P74" s="62"/>
      <c r="Q74" s="62"/>
      <c r="R74" s="62"/>
      <c r="S74" s="62"/>
      <c r="T74" s="62"/>
      <c r="U74" s="62"/>
    </row>
    <row r="75" spans="1:21" hidden="1" x14ac:dyDescent="0.2"/>
    <row r="76" spans="1:21" hidden="1" x14ac:dyDescent="0.2"/>
    <row r="77" spans="1:21" hidden="1" x14ac:dyDescent="0.2"/>
    <row r="78" spans="1:21" hidden="1" x14ac:dyDescent="0.2"/>
    <row r="79" spans="1:21" hidden="1" x14ac:dyDescent="0.2"/>
    <row r="80" spans="1:21"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spans="1:9" hidden="1" x14ac:dyDescent="0.2"/>
    <row r="98" spans="1:9" hidden="1" x14ac:dyDescent="0.2"/>
    <row r="100" spans="1:9" x14ac:dyDescent="0.2">
      <c r="A100" s="286" t="s">
        <v>192</v>
      </c>
      <c r="B100" s="287"/>
      <c r="C100" s="288"/>
      <c r="D100" s="288"/>
      <c r="E100" s="288"/>
      <c r="F100" s="285"/>
      <c r="G100" s="283"/>
      <c r="H100" s="269"/>
      <c r="I100" s="151"/>
    </row>
    <row r="101" spans="1:9" x14ac:dyDescent="0.2">
      <c r="A101" s="269"/>
      <c r="B101" s="269"/>
      <c r="C101" s="269"/>
      <c r="D101" s="269"/>
      <c r="E101" s="269"/>
      <c r="F101" s="269"/>
      <c r="G101" s="269"/>
      <c r="H101" s="269"/>
      <c r="I101" s="151"/>
    </row>
    <row r="102" spans="1:9" x14ac:dyDescent="0.2">
      <c r="A102" s="300" t="s">
        <v>193</v>
      </c>
      <c r="B102" s="289" t="str">
        <f>IFERROR(INDEX(B$1:B$100,MATCH(A102,I$1:I$100,0)),"")</f>
        <v>Jaan Sepp, Oskar Sepp</v>
      </c>
      <c r="C102" s="301">
        <v>13</v>
      </c>
      <c r="D102" s="269"/>
      <c r="E102" s="269"/>
      <c r="F102" s="269"/>
      <c r="G102" s="269"/>
      <c r="H102" s="269"/>
      <c r="I102" s="151"/>
    </row>
    <row r="103" spans="1:9" x14ac:dyDescent="0.2">
      <c r="A103" s="302"/>
      <c r="B103" s="449"/>
      <c r="C103" s="303" t="str">
        <f>IF(COUNT(C102,C104)=2,IF(C102&gt;C104,B102,B104),"")</f>
        <v>Jaan Sepp, Oskar Sepp</v>
      </c>
      <c r="D103" s="269"/>
      <c r="E103" s="301">
        <v>13</v>
      </c>
      <c r="F103" s="269"/>
      <c r="G103" s="269"/>
      <c r="H103" s="269"/>
      <c r="I103" s="269"/>
    </row>
    <row r="104" spans="1:9" x14ac:dyDescent="0.2">
      <c r="A104" s="302" t="s">
        <v>194</v>
      </c>
      <c r="B104" s="450" t="str">
        <f>IFERROR(INDEX(B$1:B$100,MATCH(A104,I$1:I$100,0)),"")</f>
        <v>Janek Tarto, Matti Vinni</v>
      </c>
      <c r="C104" s="304">
        <v>11</v>
      </c>
      <c r="D104" s="336"/>
      <c r="E104" s="269"/>
      <c r="F104" s="269"/>
      <c r="G104" s="269"/>
      <c r="H104" s="269"/>
      <c r="I104" s="269"/>
    </row>
    <row r="105" spans="1:9" x14ac:dyDescent="0.2">
      <c r="A105" s="302"/>
      <c r="B105" s="292"/>
      <c r="C105" s="269"/>
      <c r="D105" s="305"/>
      <c r="E105" s="303" t="str">
        <f>IF(COUNT(E103,E107)=2,IF(E103&gt;E107,C103,C107),"")</f>
        <v>Jaan Sepp, Oskar Sepp</v>
      </c>
      <c r="F105" s="269"/>
      <c r="G105" s="301">
        <v>5</v>
      </c>
      <c r="H105" s="269"/>
      <c r="I105" s="269"/>
    </row>
    <row r="106" spans="1:9" x14ac:dyDescent="0.2">
      <c r="A106" s="302" t="s">
        <v>195</v>
      </c>
      <c r="B106" s="289" t="str">
        <f>IFERROR(INDEX(B$1:B$100,MATCH(A106,I$1:I$100,0)),"")</f>
        <v>Kaspar Mänd, Kenneth Muusikus, Kevin Muusikus</v>
      </c>
      <c r="C106" s="301">
        <v>7</v>
      </c>
      <c r="D106" s="305"/>
      <c r="E106" s="306"/>
      <c r="F106" s="336"/>
      <c r="G106" s="269"/>
      <c r="H106" s="269"/>
      <c r="I106" s="269"/>
    </row>
    <row r="107" spans="1:9" x14ac:dyDescent="0.2">
      <c r="A107" s="302"/>
      <c r="B107" s="449"/>
      <c r="C107" s="303" t="str">
        <f>IF(COUNT(C106,C108)=2,IF(C106&gt;C108,B106,B108),"")</f>
        <v>Tõnu Piik, Ülo Piik</v>
      </c>
      <c r="D107" s="451"/>
      <c r="E107" s="304">
        <v>4</v>
      </c>
      <c r="F107" s="305"/>
      <c r="G107" s="269"/>
      <c r="H107" s="269"/>
      <c r="I107" s="269"/>
    </row>
    <row r="108" spans="1:9" x14ac:dyDescent="0.2">
      <c r="A108" s="302" t="s">
        <v>196</v>
      </c>
      <c r="B108" s="450" t="str">
        <f>IFERROR(INDEX(B$1:B$100,MATCH(A108,I$1:I$100,0)),"")</f>
        <v>Tõnu Piik, Ülo Piik</v>
      </c>
      <c r="C108" s="304">
        <v>13</v>
      </c>
      <c r="D108" s="269"/>
      <c r="E108" s="287"/>
      <c r="F108" s="305"/>
      <c r="G108" s="269"/>
      <c r="H108" s="269"/>
      <c r="I108" s="269"/>
    </row>
    <row r="109" spans="1:9" ht="13.5" thickBot="1" x14ac:dyDescent="0.25">
      <c r="A109" s="268"/>
      <c r="B109" s="292"/>
      <c r="C109" s="269"/>
      <c r="D109" s="269"/>
      <c r="E109" s="287"/>
      <c r="F109" s="305"/>
      <c r="G109" s="269"/>
      <c r="H109" s="452" t="str">
        <f>IF(COUNT(G105,G113)=2,IF(G105&gt;G113,E105,E113),"")</f>
        <v>Ivar Viljaste, Sirje Viljaste</v>
      </c>
      <c r="I109" s="269"/>
    </row>
    <row r="110" spans="1:9" x14ac:dyDescent="0.2">
      <c r="A110" s="300" t="s">
        <v>197</v>
      </c>
      <c r="B110" s="289" t="str">
        <f>IFERROR(INDEX(B$1:B$100,MATCH(A110,I$1:I$100,0)),"")</f>
        <v>Ivar Viljaste, Sirje Viljaste</v>
      </c>
      <c r="C110" s="301">
        <v>13</v>
      </c>
      <c r="D110" s="269"/>
      <c r="E110" s="269"/>
      <c r="F110" s="305"/>
      <c r="G110" s="307"/>
      <c r="H110" s="290" t="s">
        <v>185</v>
      </c>
      <c r="I110" s="453"/>
    </row>
    <row r="111" spans="1:9" x14ac:dyDescent="0.2">
      <c r="A111" s="302"/>
      <c r="B111" s="449"/>
      <c r="C111" s="303" t="str">
        <f>IF(COUNT(C110,C112)=2,IF(C110&gt;C112,B110,B112),"")</f>
        <v>Ivar Viljaste, Sirje Viljaste</v>
      </c>
      <c r="D111" s="269"/>
      <c r="E111" s="301">
        <v>13</v>
      </c>
      <c r="F111" s="305"/>
      <c r="G111" s="287"/>
      <c r="H111" s="269"/>
      <c r="I111" s="269"/>
    </row>
    <row r="112" spans="1:9" x14ac:dyDescent="0.2">
      <c r="A112" s="302" t="s">
        <v>198</v>
      </c>
      <c r="B112" s="450" t="str">
        <f>IFERROR(INDEX(B$1:B$100,MATCH(A112,I$1:I$100,0)),"")</f>
        <v>Tõnu Kapper, Vladimir Ogneštšikov</v>
      </c>
      <c r="C112" s="304">
        <v>5</v>
      </c>
      <c r="D112" s="336"/>
      <c r="E112" s="269"/>
      <c r="F112" s="305"/>
      <c r="G112" s="287"/>
      <c r="H112" s="269"/>
      <c r="I112" s="269"/>
    </row>
    <row r="113" spans="1:9" x14ac:dyDescent="0.2">
      <c r="A113" s="302"/>
      <c r="B113" s="292"/>
      <c r="C113" s="269"/>
      <c r="D113" s="305"/>
      <c r="E113" s="303" t="str">
        <f>IF(COUNT(E111,E115)=2,IF(E111&gt;E115,C111,C115),"")</f>
        <v>Ivar Viljaste, Sirje Viljaste</v>
      </c>
      <c r="F113" s="451"/>
      <c r="G113" s="304">
        <v>13</v>
      </c>
      <c r="H113" s="269"/>
      <c r="I113" s="269"/>
    </row>
    <row r="114" spans="1:9" ht="13.5" thickBot="1" x14ac:dyDescent="0.25">
      <c r="A114" s="302" t="s">
        <v>200</v>
      </c>
      <c r="B114" s="289" t="str">
        <f>IFERROR(INDEX(B$1:B$100,MATCH(A114,I$1:I$100,0)),"")</f>
        <v>Olav Türk, Urmas Jõeäär</v>
      </c>
      <c r="C114" s="301">
        <v>13</v>
      </c>
      <c r="D114" s="305"/>
      <c r="E114" s="306"/>
      <c r="F114" s="287"/>
      <c r="G114" s="287"/>
      <c r="H114" s="452" t="str">
        <f>IF(COUNT(G105,G113)=2,IF(G105&lt;G113,E105,E113),"")</f>
        <v>Jaan Sepp, Oskar Sepp</v>
      </c>
      <c r="I114" s="454"/>
    </row>
    <row r="115" spans="1:9" x14ac:dyDescent="0.2">
      <c r="A115" s="302"/>
      <c r="B115" s="449"/>
      <c r="C115" s="303" t="str">
        <f>IF(COUNT(C114,C116)=2,IF(C114&gt;C116,B114,B116),"")</f>
        <v>Olav Türk, Urmas Jõeäär</v>
      </c>
      <c r="D115" s="451"/>
      <c r="E115" s="304">
        <v>6</v>
      </c>
      <c r="F115" s="269"/>
      <c r="G115" s="287"/>
      <c r="H115" s="290" t="s">
        <v>186</v>
      </c>
      <c r="I115" s="287"/>
    </row>
    <row r="116" spans="1:9" x14ac:dyDescent="0.2">
      <c r="A116" s="302" t="s">
        <v>199</v>
      </c>
      <c r="B116" s="450" t="str">
        <f>IFERROR(INDEX(B$1:B$100,MATCH(A116,I$1:I$100,0)),"")</f>
        <v>Ljudmila Varendi, Viktor Švarõgin</v>
      </c>
      <c r="C116" s="304">
        <v>8</v>
      </c>
      <c r="D116" s="269"/>
      <c r="E116" s="287"/>
      <c r="F116" s="287"/>
      <c r="G116" s="287"/>
      <c r="H116" s="269"/>
      <c r="I116" s="269"/>
    </row>
    <row r="117" spans="1:9" x14ac:dyDescent="0.2">
      <c r="A117" s="268"/>
      <c r="B117" s="292"/>
      <c r="C117" s="269"/>
      <c r="D117" s="269"/>
      <c r="E117" s="284" t="str">
        <f>IF(COUNT(E103,E107)=2,IF(E103&lt;E107,C103,C107),"")</f>
        <v>Tõnu Piik, Ülo Piik</v>
      </c>
      <c r="F117" s="269"/>
      <c r="G117" s="301">
        <v>7</v>
      </c>
      <c r="H117" s="269"/>
      <c r="I117" s="269"/>
    </row>
    <row r="118" spans="1:9" ht="13.5" thickBot="1" x14ac:dyDescent="0.25">
      <c r="A118" s="269"/>
      <c r="B118" s="269"/>
      <c r="C118" s="269"/>
      <c r="D118" s="269"/>
      <c r="E118" s="455"/>
      <c r="F118" s="336"/>
      <c r="G118" s="454"/>
      <c r="H118" s="452" t="str">
        <f>IF(COUNT(G117,G119)=2,IF(G117&gt;G119,E117,E119),"")</f>
        <v>Olav Türk, Urmas Jõeäär</v>
      </c>
      <c r="I118" s="454"/>
    </row>
    <row r="119" spans="1:9" x14ac:dyDescent="0.2">
      <c r="A119" s="269"/>
      <c r="B119" s="269"/>
      <c r="C119" s="269"/>
      <c r="D119" s="269"/>
      <c r="E119" s="456" t="str">
        <f>IF(COUNT(E111,E115)=2,IF(E111&lt;E115,C111,C115),"")</f>
        <v>Olav Türk, Urmas Jõeäär</v>
      </c>
      <c r="F119" s="451"/>
      <c r="G119" s="304">
        <v>13</v>
      </c>
      <c r="H119" s="296" t="s">
        <v>187</v>
      </c>
      <c r="I119" s="287"/>
    </row>
    <row r="120" spans="1:9" x14ac:dyDescent="0.2">
      <c r="A120" s="269"/>
      <c r="B120" s="269"/>
      <c r="C120" s="269"/>
      <c r="D120" s="269"/>
      <c r="E120" s="269"/>
      <c r="F120" s="269"/>
      <c r="G120" s="269"/>
      <c r="H120" s="287"/>
      <c r="I120" s="287"/>
    </row>
    <row r="121" spans="1:9" ht="13.5" thickBot="1" x14ac:dyDescent="0.25">
      <c r="A121" s="269"/>
      <c r="B121" s="269"/>
      <c r="C121" s="269"/>
      <c r="D121" s="269"/>
      <c r="E121" s="287"/>
      <c r="F121" s="287"/>
      <c r="G121" s="269"/>
      <c r="H121" s="452" t="str">
        <f>IF(COUNT(G117,G119)=2,IF(G117&lt;G119,E117,E119),"")</f>
        <v>Tõnu Piik, Ülo Piik</v>
      </c>
      <c r="I121" s="454"/>
    </row>
    <row r="122" spans="1:9" x14ac:dyDescent="0.2">
      <c r="A122" s="269"/>
      <c r="B122" s="269"/>
      <c r="C122" s="269"/>
      <c r="D122" s="269"/>
      <c r="E122" s="269"/>
      <c r="F122" s="269"/>
      <c r="G122" s="269"/>
      <c r="H122" s="268" t="s">
        <v>188</v>
      </c>
      <c r="I122" s="269"/>
    </row>
    <row r="123" spans="1:9" x14ac:dyDescent="0.2">
      <c r="A123" s="269"/>
      <c r="B123" s="269"/>
      <c r="C123" s="456" t="str">
        <f>IF(COUNT(C102,C104)=2,IF(C102&lt;C104,B102,B104),"")</f>
        <v>Janek Tarto, Matti Vinni</v>
      </c>
      <c r="D123" s="269"/>
      <c r="E123" s="301">
        <v>13</v>
      </c>
      <c r="F123" s="301"/>
      <c r="G123" s="301"/>
      <c r="H123" s="269"/>
      <c r="I123" s="269"/>
    </row>
    <row r="124" spans="1:9" x14ac:dyDescent="0.2">
      <c r="A124" s="269"/>
      <c r="B124" s="269"/>
      <c r="C124" s="457"/>
      <c r="D124" s="337"/>
      <c r="E124" s="303" t="str">
        <f>IF(COUNT(E123,E125)=2,IF(E123&gt;E125,C123,C125),"")</f>
        <v>Janek Tarto, Matti Vinni</v>
      </c>
      <c r="F124" s="269"/>
      <c r="G124" s="301">
        <v>13</v>
      </c>
      <c r="H124" s="269"/>
      <c r="I124" s="269"/>
    </row>
    <row r="125" spans="1:9" x14ac:dyDescent="0.2">
      <c r="A125" s="269"/>
      <c r="B125" s="269"/>
      <c r="C125" s="456" t="str">
        <f>IF(COUNT(C106,C108)=2,IF(C106&lt;C108,B106,B108),"")</f>
        <v>Kaspar Mänd, Kenneth Muusikus, Kevin Muusikus</v>
      </c>
      <c r="D125" s="458"/>
      <c r="E125" s="528">
        <v>1</v>
      </c>
      <c r="F125" s="337"/>
      <c r="G125" s="301"/>
      <c r="H125" s="269"/>
      <c r="I125" s="269"/>
    </row>
    <row r="126" spans="1:9" ht="13.5" thickBot="1" x14ac:dyDescent="0.25">
      <c r="A126" s="269"/>
      <c r="B126" s="269"/>
      <c r="C126" s="301"/>
      <c r="D126" s="301"/>
      <c r="E126" s="269"/>
      <c r="F126" s="309"/>
      <c r="G126" s="301"/>
      <c r="H126" s="452" t="str">
        <f>IF(COUNT(G124,G128)=2,IF(G124&gt;G128,E124,E128),"")</f>
        <v>Janek Tarto, Matti Vinni</v>
      </c>
      <c r="I126" s="269"/>
    </row>
    <row r="127" spans="1:9" x14ac:dyDescent="0.2">
      <c r="A127" s="269"/>
      <c r="B127" s="269"/>
      <c r="C127" s="456" t="str">
        <f>IF(COUNT(C110,C112)=2,IF(C110&lt;C112,B110,B112),"")</f>
        <v>Tõnu Kapper, Vladimir Ogneštšikov</v>
      </c>
      <c r="D127" s="301"/>
      <c r="E127" s="301">
        <v>4</v>
      </c>
      <c r="F127" s="309"/>
      <c r="G127" s="310"/>
      <c r="H127" s="290" t="s">
        <v>189</v>
      </c>
      <c r="I127" s="453"/>
    </row>
    <row r="128" spans="1:9" x14ac:dyDescent="0.2">
      <c r="A128" s="269"/>
      <c r="B128" s="269"/>
      <c r="C128" s="457"/>
      <c r="D128" s="337"/>
      <c r="E128" s="303" t="str">
        <f>IF(COUNT(E127,E129)=2,IF(E127&gt;E129,C127,C129),"")</f>
        <v>Ljudmila Varendi, Viktor Švarõgin</v>
      </c>
      <c r="F128" s="451"/>
      <c r="G128" s="304">
        <v>8</v>
      </c>
      <c r="H128" s="269"/>
      <c r="I128" s="269"/>
    </row>
    <row r="129" spans="1:14" ht="13.5" thickBot="1" x14ac:dyDescent="0.25">
      <c r="A129" s="269"/>
      <c r="B129" s="269"/>
      <c r="C129" s="456" t="str">
        <f>IF(COUNT(C114,C116)=2,IF(C114&lt;C116,B114,B116),"")</f>
        <v>Ljudmila Varendi, Viktor Švarõgin</v>
      </c>
      <c r="D129" s="458"/>
      <c r="E129" s="304">
        <v>13</v>
      </c>
      <c r="F129" s="301"/>
      <c r="G129" s="308"/>
      <c r="H129" s="452" t="str">
        <f>IF(COUNT(G124,G128)=2,IF(G124&lt;G128,E124,E128),"")</f>
        <v>Ljudmila Varendi, Viktor Švarõgin</v>
      </c>
      <c r="I129" s="454"/>
    </row>
    <row r="130" spans="1:14" x14ac:dyDescent="0.2">
      <c r="A130" s="269"/>
      <c r="B130" s="269"/>
      <c r="C130" s="301"/>
      <c r="D130" s="301"/>
      <c r="E130" s="301"/>
      <c r="F130" s="301"/>
      <c r="G130" s="308"/>
      <c r="H130" s="290" t="s">
        <v>190</v>
      </c>
      <c r="I130" s="287"/>
    </row>
    <row r="131" spans="1:14" x14ac:dyDescent="0.2">
      <c r="A131" s="269"/>
      <c r="B131" s="269"/>
      <c r="C131" s="301"/>
      <c r="D131" s="308"/>
      <c r="E131" s="284" t="str">
        <f>IF(COUNT(E123,E125)=2,IF(E123&lt;E125,C123,C125),"")</f>
        <v>Kaspar Mänd, Kenneth Muusikus, Kevin Muusikus</v>
      </c>
      <c r="F131" s="269"/>
      <c r="G131" s="301">
        <v>13</v>
      </c>
      <c r="H131" s="287"/>
      <c r="I131" s="287"/>
    </row>
    <row r="132" spans="1:14" ht="13.5" thickBot="1" x14ac:dyDescent="0.25">
      <c r="A132" s="269"/>
      <c r="B132" s="269"/>
      <c r="C132" s="301"/>
      <c r="D132" s="308"/>
      <c r="E132" s="455"/>
      <c r="F132" s="336"/>
      <c r="G132" s="454"/>
      <c r="H132" s="452" t="str">
        <f>IF(COUNT(G131,G133)=2,IF(G131&gt;G133,E131,E133),"")</f>
        <v>Kaspar Mänd, Kenneth Muusikus, Kevin Muusikus</v>
      </c>
      <c r="I132" s="454"/>
    </row>
    <row r="133" spans="1:14" x14ac:dyDescent="0.2">
      <c r="A133" s="269"/>
      <c r="B133" s="269"/>
      <c r="C133" s="301"/>
      <c r="D133" s="308"/>
      <c r="E133" s="456" t="str">
        <f>IF(COUNT(E127,E129)=2,IF(E127&lt;E129,C127,C129),"")</f>
        <v>Tõnu Kapper, Vladimir Ogneštšikov</v>
      </c>
      <c r="F133" s="451"/>
      <c r="G133" s="304">
        <v>12</v>
      </c>
      <c r="H133" s="290" t="s">
        <v>201</v>
      </c>
      <c r="I133" s="287"/>
    </row>
    <row r="134" spans="1:14" x14ac:dyDescent="0.2">
      <c r="A134" s="269"/>
      <c r="B134" s="269"/>
      <c r="C134" s="269"/>
      <c r="D134" s="287"/>
      <c r="E134" s="269"/>
      <c r="F134" s="269"/>
      <c r="G134" s="269"/>
      <c r="H134" s="287"/>
      <c r="I134" s="287"/>
    </row>
    <row r="135" spans="1:14" ht="13.5" thickBot="1" x14ac:dyDescent="0.25">
      <c r="A135" s="269"/>
      <c r="B135" s="269"/>
      <c r="C135" s="269"/>
      <c r="D135" s="269"/>
      <c r="E135" s="287"/>
      <c r="F135" s="287"/>
      <c r="G135" s="269"/>
      <c r="H135" s="454" t="str">
        <f>IF(COUNT(G131,G133)=2,IF(G131&lt;G133,E131,E133),"")</f>
        <v>Tõnu Kapper, Vladimir Ogneštšikov</v>
      </c>
      <c r="I135" s="454"/>
    </row>
    <row r="136" spans="1:14" x14ac:dyDescent="0.2">
      <c r="A136" s="80"/>
      <c r="B136" s="140"/>
      <c r="C136" s="285"/>
      <c r="D136" s="285"/>
      <c r="E136" s="285"/>
      <c r="F136" s="285"/>
      <c r="G136" s="323"/>
      <c r="H136" s="290" t="s">
        <v>202</v>
      </c>
      <c r="I136" s="79"/>
    </row>
    <row r="138" spans="1:14" x14ac:dyDescent="0.2">
      <c r="A138" s="286" t="s">
        <v>379</v>
      </c>
      <c r="B138" s="287"/>
      <c r="C138" s="288"/>
      <c r="D138" s="288"/>
      <c r="E138" s="288"/>
      <c r="F138" s="285"/>
      <c r="G138" s="283"/>
      <c r="H138" s="269"/>
      <c r="I138" s="151"/>
    </row>
    <row r="139" spans="1:14" x14ac:dyDescent="0.2">
      <c r="A139" s="269"/>
      <c r="B139" s="269"/>
      <c r="C139" s="269"/>
      <c r="D139" s="269"/>
      <c r="E139" s="269"/>
      <c r="F139" s="269"/>
      <c r="G139" s="269"/>
      <c r="H139" s="269"/>
      <c r="I139" s="151"/>
    </row>
    <row r="140" spans="1:14" x14ac:dyDescent="0.2">
      <c r="A140" s="300" t="s">
        <v>203</v>
      </c>
      <c r="B140" s="289" t="str">
        <f>IFERROR(INDEX(B$1:B$100,MATCH(A140,I$1:I$100,0)),"")</f>
        <v>Enn Tokman, Jaan Saar</v>
      </c>
      <c r="C140" s="651">
        <v>2</v>
      </c>
      <c r="D140" s="269"/>
      <c r="E140" s="269"/>
      <c r="F140" s="269"/>
      <c r="G140" s="269"/>
      <c r="H140" s="269"/>
      <c r="I140" s="151"/>
      <c r="N140" s="52"/>
    </row>
    <row r="141" spans="1:14" x14ac:dyDescent="0.2">
      <c r="A141" s="302"/>
      <c r="B141" s="449"/>
      <c r="C141" s="656" t="str">
        <f>IF(COUNT(C140,C142)=2,IF(C140&gt;C142,B140,B142),"")</f>
        <v>Liidia Põllu, Veronika Pirk</v>
      </c>
      <c r="D141" s="269"/>
      <c r="E141" s="301">
        <v>2</v>
      </c>
      <c r="F141" s="269"/>
      <c r="G141" s="269"/>
      <c r="H141" s="269"/>
      <c r="I141" s="269"/>
    </row>
    <row r="142" spans="1:14" x14ac:dyDescent="0.2">
      <c r="A142" s="302" t="s">
        <v>266</v>
      </c>
      <c r="B142" s="450" t="str">
        <f>IFERROR(INDEX(B$1:B$100,MATCH(A142,I$1:I$100,0)),"")</f>
        <v>Liidia Põllu, Veronika Pirk</v>
      </c>
      <c r="C142" s="652">
        <v>13</v>
      </c>
      <c r="D142" s="336"/>
      <c r="E142" s="269"/>
      <c r="F142" s="269"/>
      <c r="G142" s="269"/>
      <c r="H142" s="269"/>
      <c r="I142" s="269"/>
    </row>
    <row r="143" spans="1:14" x14ac:dyDescent="0.2">
      <c r="A143" s="302"/>
      <c r="B143" s="292"/>
      <c r="C143" s="269"/>
      <c r="D143" s="305"/>
      <c r="E143" s="303" t="str">
        <f>IF(COUNT(E141,E145)=2,IF(E141&gt;E145,C141,C145),"")</f>
        <v>Andres Veski, Svetlana Veski</v>
      </c>
      <c r="F143" s="269"/>
      <c r="G143" s="301">
        <v>13</v>
      </c>
      <c r="H143" s="269"/>
      <c r="I143" s="269"/>
    </row>
    <row r="144" spans="1:14" x14ac:dyDescent="0.2">
      <c r="A144" s="302" t="s">
        <v>204</v>
      </c>
      <c r="B144" s="289" t="str">
        <f>IFERROR(INDEX(B$1:B$100,MATCH(A144,I$1:I$100,0)),"")</f>
        <v>Andres Veski, Svetlana Veski</v>
      </c>
      <c r="C144" s="301">
        <v>13</v>
      </c>
      <c r="D144" s="305"/>
      <c r="E144" s="306"/>
      <c r="F144" s="336"/>
      <c r="G144" s="269"/>
      <c r="H144" s="269"/>
      <c r="I144" s="269"/>
    </row>
    <row r="145" spans="1:9" x14ac:dyDescent="0.2">
      <c r="A145" s="302"/>
      <c r="B145" s="449"/>
      <c r="C145" s="303" t="str">
        <f>IF(COUNT(C144,C146)=2,IF(C144&gt;C146,B144,B146),"")</f>
        <v>Andres Veski, Svetlana Veski</v>
      </c>
      <c r="D145" s="451"/>
      <c r="E145" s="304">
        <v>10</v>
      </c>
      <c r="F145" s="305"/>
      <c r="G145" s="269"/>
      <c r="H145" s="269"/>
      <c r="I145" s="269"/>
    </row>
    <row r="146" spans="1:9" x14ac:dyDescent="0.2">
      <c r="A146" s="302" t="s">
        <v>267</v>
      </c>
      <c r="B146" s="450" t="str">
        <f>IFERROR(INDEX(B$1:B$100,MATCH(A146,I$1:I$100,0)),"")</f>
        <v>Aigi Orro, Kalle Orro</v>
      </c>
      <c r="C146" s="304">
        <v>1</v>
      </c>
      <c r="D146" s="269"/>
      <c r="E146" s="287"/>
      <c r="F146" s="305"/>
      <c r="G146" s="269"/>
      <c r="H146" s="269"/>
      <c r="I146" s="269"/>
    </row>
    <row r="147" spans="1:9" ht="13.5" thickBot="1" x14ac:dyDescent="0.25">
      <c r="A147" s="268"/>
      <c r="B147" s="292"/>
      <c r="C147" s="269"/>
      <c r="D147" s="269"/>
      <c r="E147" s="287"/>
      <c r="F147" s="305"/>
      <c r="G147" s="269"/>
      <c r="H147" s="452" t="str">
        <f>IF(COUNT(G143,G151)=2,IF(G143&gt;G151,E143,E151),"")</f>
        <v>Andres Veski, Svetlana Veski</v>
      </c>
      <c r="I147" s="269"/>
    </row>
    <row r="148" spans="1:9" x14ac:dyDescent="0.2">
      <c r="A148" s="300" t="s">
        <v>206</v>
      </c>
      <c r="B148" s="289" t="str">
        <f>IFERROR(INDEX(B$1:B$100,MATCH(A148,I$1:I$100,0)),"")</f>
        <v>Oksana Rõndenkova, Oleg Rõndenkov</v>
      </c>
      <c r="C148" s="651">
        <v>13</v>
      </c>
      <c r="D148" s="641"/>
      <c r="E148" s="269"/>
      <c r="F148" s="305"/>
      <c r="G148" s="307"/>
      <c r="H148" s="290" t="s">
        <v>207</v>
      </c>
      <c r="I148" s="453"/>
    </row>
    <row r="149" spans="1:9" x14ac:dyDescent="0.2">
      <c r="A149" s="302"/>
      <c r="B149" s="449"/>
      <c r="C149" s="303" t="str">
        <f>IF(COUNT(C148,C150)=2,IF(C148&gt;C150,B148,B150),"")</f>
        <v>Oksana Rõndenkova, Oleg Rõndenkov</v>
      </c>
      <c r="D149" s="269"/>
      <c r="E149" s="301">
        <v>6</v>
      </c>
      <c r="F149" s="305"/>
      <c r="G149" s="287"/>
      <c r="H149" s="269"/>
      <c r="I149" s="269"/>
    </row>
    <row r="150" spans="1:9" x14ac:dyDescent="0.2">
      <c r="A150" s="302" t="s">
        <v>268</v>
      </c>
      <c r="B150" s="450" t="str">
        <f>IFERROR(INDEX(B$1:B$100,MATCH(A150,I$1:I$100,0)),"")</f>
        <v>Aleksandr Tipakov, Anton Tipakov</v>
      </c>
      <c r="C150" s="304">
        <v>7</v>
      </c>
      <c r="D150" s="336"/>
      <c r="E150" s="269"/>
      <c r="F150" s="305"/>
      <c r="G150" s="287"/>
      <c r="H150" s="269"/>
      <c r="I150" s="269"/>
    </row>
    <row r="151" spans="1:9" x14ac:dyDescent="0.2">
      <c r="A151" s="302"/>
      <c r="B151" s="292"/>
      <c r="C151" s="269"/>
      <c r="D151" s="305"/>
      <c r="E151" s="303" t="str">
        <f>IF(COUNT(E149,E153)=2,IF(E149&gt;E153,C149,C153),"")</f>
        <v>Karla Purgats, Lemmit Toomra</v>
      </c>
      <c r="F151" s="451"/>
      <c r="G151" s="304">
        <v>9</v>
      </c>
      <c r="H151" s="269"/>
      <c r="I151" s="269"/>
    </row>
    <row r="152" spans="1:9" ht="13.5" thickBot="1" x14ac:dyDescent="0.25">
      <c r="A152" s="302" t="s">
        <v>208</v>
      </c>
      <c r="B152" s="289" t="str">
        <f>IFERROR(INDEX(B$1:B$100,MATCH(A152,I$1:I$100,0)),"")</f>
        <v>Karla Purgats, Lemmit Toomra</v>
      </c>
      <c r="C152" s="301">
        <f>IF(B152="-",0,IF(B154="-",13,""))</f>
        <v>13</v>
      </c>
      <c r="D152" s="305"/>
      <c r="E152" s="306"/>
      <c r="F152" s="287"/>
      <c r="G152" s="287"/>
      <c r="H152" s="452" t="str">
        <f>IF(COUNT(G143,G151)=2,IF(G143&lt;G151,E143,E151),"")</f>
        <v>Karla Purgats, Lemmit Toomra</v>
      </c>
      <c r="I152" s="454"/>
    </row>
    <row r="153" spans="1:9" x14ac:dyDescent="0.2">
      <c r="A153" s="302"/>
      <c r="B153" s="449"/>
      <c r="C153" s="303" t="str">
        <f>IF(COUNT(C152,C154)=2,IF(C152&gt;C154,B152,B154),"")</f>
        <v>Karla Purgats, Lemmit Toomra</v>
      </c>
      <c r="D153" s="451"/>
      <c r="E153" s="304">
        <v>13</v>
      </c>
      <c r="F153" s="269"/>
      <c r="G153" s="287"/>
      <c r="H153" s="290" t="s">
        <v>209</v>
      </c>
      <c r="I153" s="287"/>
    </row>
    <row r="154" spans="1:9" x14ac:dyDescent="0.2">
      <c r="A154" s="302" t="s">
        <v>269</v>
      </c>
      <c r="B154" s="450" t="s">
        <v>205</v>
      </c>
      <c r="C154" s="304">
        <f>IF(B154="-",0,IF(B152="-",13,""))</f>
        <v>0</v>
      </c>
      <c r="D154" s="269"/>
      <c r="E154" s="287"/>
      <c r="F154" s="287"/>
      <c r="G154" s="287"/>
      <c r="H154" s="269"/>
      <c r="I154" s="269"/>
    </row>
    <row r="155" spans="1:9" x14ac:dyDescent="0.2">
      <c r="A155" s="268"/>
      <c r="B155" s="292"/>
      <c r="C155" s="269"/>
      <c r="D155" s="269"/>
      <c r="E155" s="284" t="str">
        <f>IF(COUNT(E141,E145)=2,IF(E141&lt;E145,C141,C145),"")</f>
        <v>Liidia Põllu, Veronika Pirk</v>
      </c>
      <c r="F155" s="269"/>
      <c r="G155" s="301">
        <v>2</v>
      </c>
      <c r="H155" s="269"/>
      <c r="I155" s="269"/>
    </row>
    <row r="156" spans="1:9" ht="13.5" thickBot="1" x14ac:dyDescent="0.25">
      <c r="A156" s="269"/>
      <c r="B156" s="269"/>
      <c r="C156" s="269"/>
      <c r="D156" s="269"/>
      <c r="E156" s="455"/>
      <c r="F156" s="336"/>
      <c r="G156" s="454"/>
      <c r="H156" s="452" t="str">
        <f>IF(COUNT(G155,G157)=2,IF(G155&gt;G157,E155,E157),"")</f>
        <v>Oksana Rõndenkova, Oleg Rõndenkov</v>
      </c>
      <c r="I156" s="454"/>
    </row>
    <row r="157" spans="1:9" x14ac:dyDescent="0.2">
      <c r="A157" s="269"/>
      <c r="B157" s="269"/>
      <c r="C157" s="269"/>
      <c r="D157" s="269"/>
      <c r="E157" s="456" t="str">
        <f>IF(COUNT(E149,E153)=2,IF(E149&lt;E153,C149,C153),"")</f>
        <v>Oksana Rõndenkova, Oleg Rõndenkov</v>
      </c>
      <c r="F157" s="451"/>
      <c r="G157" s="304">
        <v>13</v>
      </c>
      <c r="H157" s="296" t="s">
        <v>210</v>
      </c>
      <c r="I157" s="287"/>
    </row>
    <row r="158" spans="1:9" x14ac:dyDescent="0.2">
      <c r="A158" s="269"/>
      <c r="B158" s="269"/>
      <c r="C158" s="269"/>
      <c r="D158" s="269"/>
      <c r="E158" s="269"/>
      <c r="F158" s="269"/>
      <c r="G158" s="269"/>
      <c r="H158" s="287"/>
      <c r="I158" s="287"/>
    </row>
    <row r="159" spans="1:9" ht="13.5" thickBot="1" x14ac:dyDescent="0.25">
      <c r="A159" s="269"/>
      <c r="B159" s="269"/>
      <c r="C159" s="269"/>
      <c r="D159" s="269"/>
      <c r="E159" s="287"/>
      <c r="F159" s="287"/>
      <c r="G159" s="269"/>
      <c r="H159" s="452" t="str">
        <f>IF(COUNT(G155,G157)=2,IF(G155&lt;G157,E155,E157),"")</f>
        <v>Liidia Põllu, Veronika Pirk</v>
      </c>
      <c r="I159" s="454"/>
    </row>
    <row r="160" spans="1:9" x14ac:dyDescent="0.2">
      <c r="A160" s="269"/>
      <c r="B160" s="269"/>
      <c r="C160" s="269"/>
      <c r="D160" s="269"/>
      <c r="E160" s="269"/>
      <c r="F160" s="269"/>
      <c r="G160" s="269"/>
      <c r="H160" s="268" t="s">
        <v>211</v>
      </c>
      <c r="I160" s="269"/>
    </row>
    <row r="161" spans="1:9" x14ac:dyDescent="0.2">
      <c r="A161" s="269"/>
      <c r="B161" s="269"/>
      <c r="C161" s="456" t="str">
        <f>IF(COUNT(C140,C142)=2,IF(C140&lt;C142,B140,B142),"")</f>
        <v>Enn Tokman, Jaan Saar</v>
      </c>
      <c r="D161" s="269"/>
      <c r="E161" s="301">
        <v>13</v>
      </c>
      <c r="F161" s="301"/>
      <c r="G161" s="301"/>
      <c r="H161" s="269"/>
      <c r="I161" s="269"/>
    </row>
    <row r="162" spans="1:9" x14ac:dyDescent="0.2">
      <c r="A162" s="269"/>
      <c r="B162" s="269"/>
      <c r="C162" s="457"/>
      <c r="D162" s="337"/>
      <c r="E162" s="303" t="str">
        <f>IF(COUNT(E161,E163)=2,IF(E161&gt;E163,C161,C163),"")</f>
        <v>Enn Tokman, Jaan Saar</v>
      </c>
      <c r="F162" s="269"/>
      <c r="G162" s="301">
        <v>7</v>
      </c>
      <c r="H162" s="269"/>
      <c r="I162" s="269"/>
    </row>
    <row r="163" spans="1:9" x14ac:dyDescent="0.2">
      <c r="A163" s="269"/>
      <c r="B163" s="269"/>
      <c r="C163" s="456" t="str">
        <f>IF(COUNT(C144,C146)=2,IF(C144&lt;C146,B144,B146),"")</f>
        <v>Aigi Orro, Kalle Orro</v>
      </c>
      <c r="D163" s="458"/>
      <c r="E163" s="304">
        <v>5</v>
      </c>
      <c r="F163" s="337"/>
      <c r="G163" s="301"/>
      <c r="H163" s="269"/>
      <c r="I163" s="269"/>
    </row>
    <row r="164" spans="1:9" ht="13.5" thickBot="1" x14ac:dyDescent="0.25">
      <c r="A164" s="269"/>
      <c r="B164" s="269"/>
      <c r="C164" s="301"/>
      <c r="D164" s="301"/>
      <c r="E164" s="269"/>
      <c r="F164" s="309"/>
      <c r="G164" s="301"/>
      <c r="H164" s="452" t="str">
        <f>IF(COUNT(G162,G166)=2,IF(G162&gt;G166,E162,E166),"")</f>
        <v>Aleksandr Tipakov, Anton Tipakov</v>
      </c>
      <c r="I164" s="269"/>
    </row>
    <row r="165" spans="1:9" x14ac:dyDescent="0.2">
      <c r="A165" s="269"/>
      <c r="B165" s="269"/>
      <c r="C165" s="456" t="str">
        <f>IF(COUNT(C148,C150)=2,IF(C148&lt;C150,B148,B150),"")</f>
        <v>Aleksandr Tipakov, Anton Tipakov</v>
      </c>
      <c r="D165" s="301"/>
      <c r="E165" s="301">
        <f>IF(C165="-",0,IF(C167="-",13,""))</f>
        <v>13</v>
      </c>
      <c r="F165" s="642"/>
      <c r="G165" s="310"/>
      <c r="H165" s="290" t="s">
        <v>212</v>
      </c>
      <c r="I165" s="453"/>
    </row>
    <row r="166" spans="1:9" x14ac:dyDescent="0.2">
      <c r="A166" s="269"/>
      <c r="B166" s="269"/>
      <c r="C166" s="457"/>
      <c r="D166" s="337"/>
      <c r="E166" s="303" t="str">
        <f>IF(COUNT(E165,E167)=2,IF(E165&gt;E167,C165,C167),"")</f>
        <v>Aleksandr Tipakov, Anton Tipakov</v>
      </c>
      <c r="F166" s="451"/>
      <c r="G166" s="304">
        <v>13</v>
      </c>
      <c r="H166" s="269"/>
      <c r="I166" s="269"/>
    </row>
    <row r="167" spans="1:9" ht="13.5" thickBot="1" x14ac:dyDescent="0.25">
      <c r="A167" s="269"/>
      <c r="B167" s="269"/>
      <c r="C167" s="456" t="str">
        <f>IF(COUNT(C152,C154)=2,IF(C152&lt;C154,B152,B154),"")</f>
        <v>-</v>
      </c>
      <c r="D167" s="458"/>
      <c r="E167" s="304">
        <f>IF(C167="-",0,IF(C165="-",13,""))</f>
        <v>0</v>
      </c>
      <c r="F167" s="301"/>
      <c r="G167" s="308"/>
      <c r="H167" s="452" t="str">
        <f>IF(COUNT(G162,G166)=2,IF(G162&lt;G166,E162,E166),"")</f>
        <v>Enn Tokman, Jaan Saar</v>
      </c>
      <c r="I167" s="454"/>
    </row>
    <row r="168" spans="1:9" x14ac:dyDescent="0.2">
      <c r="A168" s="269"/>
      <c r="B168" s="269"/>
      <c r="C168" s="301"/>
      <c r="D168" s="301"/>
      <c r="E168" s="301"/>
      <c r="F168" s="301"/>
      <c r="G168" s="308"/>
      <c r="H168" s="290" t="s">
        <v>213</v>
      </c>
      <c r="I168" s="287"/>
    </row>
    <row r="169" spans="1:9" x14ac:dyDescent="0.2">
      <c r="A169" s="269"/>
      <c r="B169" s="269"/>
      <c r="C169" s="301"/>
      <c r="D169" s="308"/>
      <c r="E169" s="284" t="str">
        <f>IF(COUNT(E161,E163)=2,IF(E161&lt;E163,C161,C163),"")</f>
        <v>Aigi Orro, Kalle Orro</v>
      </c>
      <c r="F169" s="269"/>
      <c r="G169" s="301">
        <f>IF(E169="-",0,IF(E171="-",13,""))</f>
        <v>13</v>
      </c>
      <c r="H169" s="287"/>
      <c r="I169" s="287"/>
    </row>
    <row r="170" spans="1:9" ht="13.5" thickBot="1" x14ac:dyDescent="0.25">
      <c r="A170" s="269"/>
      <c r="B170" s="269"/>
      <c r="C170" s="301"/>
      <c r="D170" s="308"/>
      <c r="E170" s="455"/>
      <c r="F170" s="336"/>
      <c r="G170" s="454"/>
      <c r="H170" s="452" t="str">
        <f>IF(COUNT(G169,G171)=2,IF(G169&gt;G171,E169,E171),"")</f>
        <v>Aigi Orro, Kalle Orro</v>
      </c>
      <c r="I170" s="454"/>
    </row>
    <row r="171" spans="1:9" x14ac:dyDescent="0.2">
      <c r="A171" s="269"/>
      <c r="B171" s="269"/>
      <c r="C171" s="301"/>
      <c r="D171" s="308"/>
      <c r="E171" s="456" t="str">
        <f>IF(COUNT(E165,E167)=2,IF(E165&lt;E167,C165,C167),"")</f>
        <v>-</v>
      </c>
      <c r="F171" s="451"/>
      <c r="G171" s="304">
        <f>IF(E171="-",0,IF(E169="-",13,""))</f>
        <v>0</v>
      </c>
      <c r="H171" s="290" t="s">
        <v>216</v>
      </c>
      <c r="I171" s="287"/>
    </row>
    <row r="172" spans="1:9" x14ac:dyDescent="0.2">
      <c r="A172" s="269"/>
      <c r="B172" s="269"/>
      <c r="C172" s="269"/>
      <c r="D172" s="287"/>
      <c r="E172" s="269"/>
      <c r="F172" s="269"/>
      <c r="G172" s="269"/>
      <c r="H172" s="287"/>
      <c r="I172" s="287"/>
    </row>
    <row r="173" spans="1:9" ht="13.5" thickBot="1" x14ac:dyDescent="0.25">
      <c r="A173" s="269"/>
      <c r="B173" s="269"/>
      <c r="C173" s="269"/>
      <c r="D173" s="269"/>
      <c r="E173" s="287"/>
      <c r="F173" s="287"/>
      <c r="G173" s="269"/>
      <c r="H173" s="454" t="str">
        <f>IF(COUNT(G169,G171)=2,IF(G169&lt;G171,E169,E171),"")</f>
        <v>-</v>
      </c>
      <c r="I173" s="454"/>
    </row>
    <row r="174" spans="1:9" x14ac:dyDescent="0.2">
      <c r="A174" s="80"/>
      <c r="B174" s="140"/>
      <c r="C174" s="285"/>
      <c r="D174" s="285"/>
      <c r="E174" s="285"/>
      <c r="F174" s="285"/>
      <c r="G174" s="323"/>
      <c r="H174" s="290"/>
      <c r="I174" s="79"/>
    </row>
    <row r="175" spans="1:9" hidden="1" x14ac:dyDescent="0.2">
      <c r="A175" s="151"/>
    </row>
    <row r="176" spans="1:9" hidden="1" x14ac:dyDescent="0.2">
      <c r="A176" s="52"/>
    </row>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3" hidden="1" x14ac:dyDescent="0.2"/>
    <row r="290" spans="1:3" hidden="1" x14ac:dyDescent="0.2"/>
    <row r="291" spans="1:3" hidden="1" x14ac:dyDescent="0.2"/>
    <row r="292" spans="1:3" hidden="1" x14ac:dyDescent="0.2"/>
    <row r="293" spans="1:3" hidden="1" x14ac:dyDescent="0.2"/>
    <row r="294" spans="1:3" hidden="1" x14ac:dyDescent="0.2"/>
    <row r="295" spans="1:3" hidden="1" x14ac:dyDescent="0.2"/>
    <row r="296" spans="1:3" hidden="1" x14ac:dyDescent="0.2"/>
    <row r="297" spans="1:3" hidden="1" x14ac:dyDescent="0.2"/>
    <row r="298" spans="1:3" hidden="1" x14ac:dyDescent="0.2"/>
    <row r="299" spans="1:3" x14ac:dyDescent="0.2">
      <c r="A299" s="271"/>
      <c r="B299" s="271"/>
      <c r="C299" s="401"/>
    </row>
    <row r="300" spans="1:3" x14ac:dyDescent="0.2">
      <c r="A300" s="530">
        <v>1</v>
      </c>
      <c r="B300" s="529" t="str">
        <f t="shared" ref="B300:B314" si="9">IFERROR(INDEX(H$100:H$300,MATCH(A300&amp;". koht",H$101:H$301,0)),"")</f>
        <v>Ivar Viljaste, Sirje Viljaste</v>
      </c>
      <c r="C300" s="499"/>
    </row>
    <row r="301" spans="1:3" x14ac:dyDescent="0.2">
      <c r="A301" s="530">
        <v>2</v>
      </c>
      <c r="B301" s="529" t="str">
        <f t="shared" si="9"/>
        <v>Jaan Sepp, Oskar Sepp</v>
      </c>
      <c r="C301" s="499"/>
    </row>
    <row r="302" spans="1:3" x14ac:dyDescent="0.2">
      <c r="A302" s="530">
        <v>3</v>
      </c>
      <c r="B302" s="529" t="str">
        <f t="shared" si="9"/>
        <v>Olav Türk, Urmas Jõeäär</v>
      </c>
      <c r="C302" s="499"/>
    </row>
    <row r="303" spans="1:3" x14ac:dyDescent="0.2">
      <c r="A303" s="530">
        <v>4</v>
      </c>
      <c r="B303" s="529" t="str">
        <f t="shared" si="9"/>
        <v>Tõnu Piik, Ülo Piik</v>
      </c>
      <c r="C303" s="499"/>
    </row>
    <row r="304" spans="1:3" x14ac:dyDescent="0.2">
      <c r="A304" s="530">
        <v>5</v>
      </c>
      <c r="B304" s="529" t="str">
        <f t="shared" si="9"/>
        <v>Janek Tarto, Matti Vinni</v>
      </c>
      <c r="C304" s="499"/>
    </row>
    <row r="305" spans="1:3" x14ac:dyDescent="0.2">
      <c r="A305" s="530">
        <v>6</v>
      </c>
      <c r="B305" s="529" t="str">
        <f t="shared" si="9"/>
        <v>Ljudmila Varendi, Viktor Švarõgin</v>
      </c>
      <c r="C305" s="499"/>
    </row>
    <row r="306" spans="1:3" x14ac:dyDescent="0.2">
      <c r="A306" s="530">
        <v>7</v>
      </c>
      <c r="B306" s="529" t="str">
        <f t="shared" si="9"/>
        <v>Kaspar Mänd, Kenneth Muusikus, Kevin Muusikus</v>
      </c>
      <c r="C306" s="499"/>
    </row>
    <row r="307" spans="1:3" x14ac:dyDescent="0.2">
      <c r="A307" s="530">
        <v>8</v>
      </c>
      <c r="B307" s="529" t="str">
        <f t="shared" si="9"/>
        <v>Tõnu Kapper, Vladimir Ogneštšikov</v>
      </c>
      <c r="C307" s="499"/>
    </row>
    <row r="308" spans="1:3" x14ac:dyDescent="0.2">
      <c r="A308" s="530">
        <v>9</v>
      </c>
      <c r="B308" s="529" t="str">
        <f t="shared" si="9"/>
        <v>Andres Veski, Svetlana Veski</v>
      </c>
      <c r="C308" s="499"/>
    </row>
    <row r="309" spans="1:3" x14ac:dyDescent="0.2">
      <c r="A309" s="530">
        <v>10</v>
      </c>
      <c r="B309" s="529" t="str">
        <f t="shared" si="9"/>
        <v>Karla Purgats, Lemmit Toomra</v>
      </c>
      <c r="C309" s="499"/>
    </row>
    <row r="310" spans="1:3" x14ac:dyDescent="0.2">
      <c r="A310" s="530">
        <v>11</v>
      </c>
      <c r="B310" s="529" t="str">
        <f t="shared" si="9"/>
        <v>Oksana Rõndenkova, Oleg Rõndenkov</v>
      </c>
      <c r="C310" s="499"/>
    </row>
    <row r="311" spans="1:3" x14ac:dyDescent="0.2">
      <c r="A311" s="530">
        <v>12</v>
      </c>
      <c r="B311" s="529" t="str">
        <f t="shared" si="9"/>
        <v>Liidia Põllu, Veronika Pirk</v>
      </c>
      <c r="C311" s="499"/>
    </row>
    <row r="312" spans="1:3" x14ac:dyDescent="0.2">
      <c r="A312" s="530">
        <v>13</v>
      </c>
      <c r="B312" s="529" t="str">
        <f t="shared" si="9"/>
        <v>Aleksandr Tipakov, Anton Tipakov</v>
      </c>
      <c r="C312" s="499"/>
    </row>
    <row r="313" spans="1:3" x14ac:dyDescent="0.2">
      <c r="A313" s="530">
        <v>14</v>
      </c>
      <c r="B313" s="529" t="str">
        <f t="shared" si="9"/>
        <v>Enn Tokman, Jaan Saar</v>
      </c>
      <c r="C313" s="499"/>
    </row>
    <row r="314" spans="1:3" x14ac:dyDescent="0.2">
      <c r="A314" s="530">
        <v>15</v>
      </c>
      <c r="B314" s="529" t="str">
        <f t="shared" si="9"/>
        <v>Aigi Orro, Kalle Orro</v>
      </c>
      <c r="C314" s="499"/>
    </row>
  </sheetData>
  <conditionalFormatting sqref="D7 C8">
    <cfRule type="aboveAverage" dxfId="3280" priority="434"/>
  </conditionalFormatting>
  <conditionalFormatting sqref="E7 C9">
    <cfRule type="aboveAverage" dxfId="3279" priority="433"/>
  </conditionalFormatting>
  <conditionalFormatting sqref="F7 C10">
    <cfRule type="aboveAverage" dxfId="3278" priority="432"/>
  </conditionalFormatting>
  <conditionalFormatting sqref="E8 D9">
    <cfRule type="aboveAverage" dxfId="3277" priority="431"/>
  </conditionalFormatting>
  <conditionalFormatting sqref="G7 C11">
    <cfRule type="aboveAverage" dxfId="3276" priority="430"/>
  </conditionalFormatting>
  <conditionalFormatting sqref="F8 D10">
    <cfRule type="aboveAverage" dxfId="3275" priority="429"/>
  </conditionalFormatting>
  <conditionalFormatting sqref="G8 D11">
    <cfRule type="aboveAverage" dxfId="3274" priority="428"/>
  </conditionalFormatting>
  <conditionalFormatting sqref="F9 E10">
    <cfRule type="aboveAverage" dxfId="3273" priority="427"/>
  </conditionalFormatting>
  <conditionalFormatting sqref="G9 E11">
    <cfRule type="aboveAverage" dxfId="3272" priority="426"/>
  </conditionalFormatting>
  <conditionalFormatting sqref="F11 G10">
    <cfRule type="aboveAverage" dxfId="3271" priority="425"/>
  </conditionalFormatting>
  <conditionalFormatting sqref="D14 C15">
    <cfRule type="aboveAverage" dxfId="3270" priority="424"/>
  </conditionalFormatting>
  <conditionalFormatting sqref="E14 C16">
    <cfRule type="aboveAverage" dxfId="3269" priority="423"/>
  </conditionalFormatting>
  <conditionalFormatting sqref="F14 C17">
    <cfRule type="aboveAverage" dxfId="3268" priority="422"/>
  </conditionalFormatting>
  <conditionalFormatting sqref="E15 D16">
    <cfRule type="aboveAverage" dxfId="3267" priority="421"/>
  </conditionalFormatting>
  <conditionalFormatting sqref="G14 C18">
    <cfRule type="aboveAverage" dxfId="3266" priority="420"/>
  </conditionalFormatting>
  <conditionalFormatting sqref="F15 D17">
    <cfRule type="aboveAverage" dxfId="3265" priority="419"/>
  </conditionalFormatting>
  <conditionalFormatting sqref="G15 D18">
    <cfRule type="aboveAverage" dxfId="3264" priority="418"/>
  </conditionalFormatting>
  <conditionalFormatting sqref="F16 E17">
    <cfRule type="aboveAverage" dxfId="3263" priority="417"/>
  </conditionalFormatting>
  <conditionalFormatting sqref="G16 E18">
    <cfRule type="aboveAverage" dxfId="3262" priority="416"/>
  </conditionalFormatting>
  <conditionalFormatting sqref="F18 G17">
    <cfRule type="aboveAverage" dxfId="3261" priority="415"/>
  </conditionalFormatting>
  <conditionalFormatting sqref="D21 C22">
    <cfRule type="aboveAverage" dxfId="3260" priority="414"/>
  </conditionalFormatting>
  <conditionalFormatting sqref="E21 C23">
    <cfRule type="aboveAverage" dxfId="3259" priority="413"/>
  </conditionalFormatting>
  <conditionalFormatting sqref="F21 C24">
    <cfRule type="aboveAverage" dxfId="3258" priority="412"/>
  </conditionalFormatting>
  <conditionalFormatting sqref="E22 D23">
    <cfRule type="aboveAverage" dxfId="3257" priority="411"/>
  </conditionalFormatting>
  <conditionalFormatting sqref="G21 C25">
    <cfRule type="aboveAverage" dxfId="3256" priority="410"/>
  </conditionalFormatting>
  <conditionalFormatting sqref="F22 D24">
    <cfRule type="aboveAverage" dxfId="3255" priority="409"/>
  </conditionalFormatting>
  <conditionalFormatting sqref="G22 D25">
    <cfRule type="aboveAverage" dxfId="3254" priority="408"/>
  </conditionalFormatting>
  <conditionalFormatting sqref="F23 E24">
    <cfRule type="aboveAverage" dxfId="3253" priority="407"/>
  </conditionalFormatting>
  <conditionalFormatting sqref="G23 E25">
    <cfRule type="aboveAverage" dxfId="3252" priority="406"/>
  </conditionalFormatting>
  <conditionalFormatting sqref="F25 G24">
    <cfRule type="aboveAverage" dxfId="3251" priority="405"/>
  </conditionalFormatting>
  <conditionalFormatting sqref="D28 C29">
    <cfRule type="aboveAverage" dxfId="3250" priority="404"/>
  </conditionalFormatting>
  <conditionalFormatting sqref="E28 C30">
    <cfRule type="aboveAverage" dxfId="3249" priority="403"/>
  </conditionalFormatting>
  <conditionalFormatting sqref="F28 C31">
    <cfRule type="aboveAverage" dxfId="3248" priority="402"/>
  </conditionalFormatting>
  <conditionalFormatting sqref="E29 D30">
    <cfRule type="aboveAverage" dxfId="3247" priority="401"/>
  </conditionalFormatting>
  <conditionalFormatting sqref="G28 C32">
    <cfRule type="aboveAverage" dxfId="3246" priority="400"/>
  </conditionalFormatting>
  <conditionalFormatting sqref="F29 D31">
    <cfRule type="aboveAverage" dxfId="3245" priority="399"/>
  </conditionalFormatting>
  <conditionalFormatting sqref="G29 D32">
    <cfRule type="aboveAverage" dxfId="3244" priority="398"/>
  </conditionalFormatting>
  <conditionalFormatting sqref="F30 E31">
    <cfRule type="aboveAverage" dxfId="3243" priority="397"/>
  </conditionalFormatting>
  <conditionalFormatting sqref="G30 E32">
    <cfRule type="aboveAverage" dxfId="3242" priority="396"/>
  </conditionalFormatting>
  <conditionalFormatting sqref="F32 G31">
    <cfRule type="aboveAverage" dxfId="3241" priority="395"/>
  </conditionalFormatting>
  <conditionalFormatting sqref="H14:H18">
    <cfRule type="expression" dxfId="3240" priority="285">
      <formula>AND(Q14=4,IF(COUNTIF(Q$14:Q$18,"=4")&gt;=2,TRUE))</formula>
    </cfRule>
    <cfRule type="expression" dxfId="3239" priority="435">
      <formula>AND(Q14=3,IF(COUNTIF(Q$14:Q$18,"=3")&gt;=2,TRUE))</formula>
    </cfRule>
    <cfRule type="expression" dxfId="3238" priority="436">
      <formula>AND(Q14=2,IF(COUNTIF(Q$14:Q$18,"=2")&gt;=2,TRUE))</formula>
    </cfRule>
    <cfRule type="expression" dxfId="3237" priority="437">
      <formula>AND(Q14=1,IF(COUNTIF(Q$14:Q$18,"=1")&gt;=2,TRUE))</formula>
    </cfRule>
  </conditionalFormatting>
  <conditionalFormatting sqref="B7:B33">
    <cfRule type="duplicateValues" dxfId="3236" priority="340"/>
  </conditionalFormatting>
  <conditionalFormatting sqref="L7:L11">
    <cfRule type="expression" dxfId="3235" priority="323">
      <formula>K7=0</formula>
    </cfRule>
    <cfRule type="expression" dxfId="3234" priority="332">
      <formula>IF(COUNTIF(J$7:J$11,"=2")=2,TRUE)</formula>
    </cfRule>
    <cfRule type="expression" dxfId="3233" priority="333">
      <formula>IF(COUNTIF(J$7:J$11,"=1")=2,TRUE)</formula>
    </cfRule>
    <cfRule type="expression" dxfId="3232" priority="334">
      <formula>AND(IF(COUNTIF(Q$7:Q$11,"=1")=2,TRUE),IF(COUNTIF(Q$7:Q$11,"=2")=2,TRUE))</formula>
    </cfRule>
    <cfRule type="expression" dxfId="3231" priority="335">
      <formula>AND(Q7=4,IF(COUNTIF(Q$7:Q$11,"=4")=1,TRUE))</formula>
    </cfRule>
    <cfRule type="expression" dxfId="3230" priority="336">
      <formula>AND(Q7=3,IF(COUNTIF(Q$7:Q$11,"=3")=1,TRUE))</formula>
    </cfRule>
    <cfRule type="expression" dxfId="3229" priority="337">
      <formula>AND(Q7=2,IF(COUNTIF(Q$7:Q$11,"=2")=1,TRUE))</formula>
    </cfRule>
    <cfRule type="expression" dxfId="3228" priority="338">
      <formula>AND(Q7=1,IF(COUNTIF(Q$7:Q$11,"=1")=1,TRUE))</formula>
    </cfRule>
    <cfRule type="expression" dxfId="3227" priority="339">
      <formula>OR(Q7=0,Q7=5)</formula>
    </cfRule>
  </conditionalFormatting>
  <conditionalFormatting sqref="O7:O11">
    <cfRule type="expression" dxfId="3226" priority="331">
      <formula>OR(AND(J7=1,K7=1,L7=0,M7=1),AND(J7=2,K7=2,L7=0,M7=2))</formula>
    </cfRule>
  </conditionalFormatting>
  <conditionalFormatting sqref="M7:M11">
    <cfRule type="expression" dxfId="3225" priority="324">
      <formula>AND(L7&gt;0,IF(COUNTIF(L$7:L$11,L7)&gt;1,TRUE,FALSE))</formula>
    </cfRule>
    <cfRule type="expression" dxfId="3224" priority="325">
      <formula>AND(IF(COUNTIF(R$7:R$11,"=1")=2,TRUE),IF(COUNTIF(R$7:R$11,"=2")=2,TRUE))</formula>
    </cfRule>
    <cfRule type="expression" dxfId="3223" priority="326">
      <formula>AND(R7=4,IF(COUNTIF(R$7:R$11,"=4")=1,TRUE))</formula>
    </cfRule>
    <cfRule type="expression" dxfId="3222" priority="327">
      <formula>AND(R7=3,IF(COUNTIF(R$7:R$11,"=3")=1,TRUE))</formula>
    </cfRule>
    <cfRule type="expression" dxfId="3221" priority="328">
      <formula>AND(R7=2,IF(COUNTIF(R$7:R$11,"=2")=1,TRUE))</formula>
    </cfRule>
    <cfRule type="expression" dxfId="3220" priority="329">
      <formula>AND(R7=1,IF(COUNTIF(R$7:R$11,"=1")=1,TRUE))</formula>
    </cfRule>
    <cfRule type="expression" dxfId="3219" priority="330">
      <formula>OR(R7=0,R7=5)</formula>
    </cfRule>
  </conditionalFormatting>
  <conditionalFormatting sqref="J7:J11">
    <cfRule type="expression" dxfId="3218" priority="319">
      <formula>AND(Q7=4,IF(COUNTIF(Q$7:Q$11,"=4")&gt;=2,TRUE))</formula>
    </cfRule>
    <cfRule type="expression" dxfId="3217" priority="320">
      <formula>AND(Q7=3,IF(COUNTIF(Q$7:Q$11,"=3")&gt;=2,TRUE))</formula>
    </cfRule>
    <cfRule type="expression" dxfId="3216" priority="321">
      <formula>AND(Q7=2,IF(COUNTIF(Q$7:Q$11,"=2")&gt;=2,TRUE))</formula>
    </cfRule>
    <cfRule type="expression" dxfId="3215" priority="322">
      <formula>AND(Q7=1,IF(COUNTIF(Q$7:Q$11,"=1")&gt;=2,TRUE))</formula>
    </cfRule>
  </conditionalFormatting>
  <conditionalFormatting sqref="H7:H11">
    <cfRule type="expression" dxfId="3214" priority="286">
      <formula>AND(Q7=4,IF(COUNTIF(Q$7:Q$11,"=4")&gt;=2,TRUE))</formula>
    </cfRule>
    <cfRule type="expression" dxfId="3213" priority="438">
      <formula>AND(Q7=3,IF(COUNTIF(Q$7:Q$11,"=3")&gt;=2,TRUE))</formula>
    </cfRule>
    <cfRule type="expression" dxfId="3212" priority="439">
      <formula>AND(Q7=2,IF(COUNTIF(Q$7:Q$11,"=2")&gt;=2,TRUE))</formula>
    </cfRule>
    <cfRule type="expression" dxfId="3211" priority="440">
      <formula>AND(Q7=1,IF(COUNTIF(Q$7:Q$11,"=1")&gt;=2,TRUE))</formula>
    </cfRule>
  </conditionalFormatting>
  <conditionalFormatting sqref="K7:K11">
    <cfRule type="expression" dxfId="3210" priority="441">
      <formula>AND(J7&gt;0,IF(COUNTIF(J$7:J$11,"=1")=2,TRUE),IF(COUNTIF(J$7:J$11,"=2")=2,TRUE))</formula>
    </cfRule>
    <cfRule type="expression" dxfId="3209" priority="442">
      <formula>IF(COUNTIF(L$7:L$11,"=2")=2,TRUE)</formula>
    </cfRule>
    <cfRule type="expression" dxfId="3208" priority="443">
      <formula>IF(COUNTIF(L$7:L$11,"=1")=2,TRUE)</formula>
    </cfRule>
    <cfRule type="expression" dxfId="3207" priority="444">
      <formula>AND(IF(COUNTIF(R$7:R$11,"=1")=2,TRUE),IF(COUNTIF(S$7:S$11,"=2")=2,TRUE))</formula>
    </cfRule>
    <cfRule type="expression" dxfId="3206" priority="445">
      <formula>AND(R7=4,IF(COUNTIF(R$7:R$11,"=4")=1,TRUE))</formula>
    </cfRule>
    <cfRule type="expression" dxfId="3205" priority="446">
      <formula>AND(R7=3,IF(COUNTIF(R$7:R$11,"=3")=1,TRUE))</formula>
    </cfRule>
    <cfRule type="expression" dxfId="3204" priority="447">
      <formula>AND(R7=2,IF(COUNTIF(R$7:R$11,"=2")=1,TRUE))</formula>
    </cfRule>
    <cfRule type="expression" dxfId="3203" priority="448">
      <formula>AND(R7=1,IF(COUNTIF(R$7:R$11,"=1")=1,TRUE))</formula>
    </cfRule>
    <cfRule type="expression" dxfId="3202" priority="449">
      <formula>OR(R7=0,R7=5)</formula>
    </cfRule>
  </conditionalFormatting>
  <conditionalFormatting sqref="L14:L18">
    <cfRule type="expression" dxfId="3201" priority="291">
      <formula>K14=0</formula>
    </cfRule>
    <cfRule type="expression" dxfId="3200" priority="300">
      <formula>IF(COUNTIF(J$14:J$18,"=2")=2,TRUE)</formula>
    </cfRule>
    <cfRule type="expression" dxfId="3199" priority="301">
      <formula>IF(COUNTIF(J$14:J$18,"=1")=2,TRUE)</formula>
    </cfRule>
    <cfRule type="expression" dxfId="3198" priority="302">
      <formula>AND(IF(COUNTIF(Q$14:Q$18,"=1")=2,TRUE),IF(COUNTIF(Q$14:Q$18,"=2")=2,TRUE))</formula>
    </cfRule>
    <cfRule type="expression" dxfId="3197" priority="303">
      <formula>AND(Q14=4,IF(COUNTIF(Q$14:Q$18,"=4")=1,TRUE))</formula>
    </cfRule>
    <cfRule type="expression" dxfId="3196" priority="304">
      <formula>AND(Q14=3,IF(COUNTIF(Q$14:Q$18,"=3")=1,TRUE))</formula>
    </cfRule>
    <cfRule type="expression" dxfId="3195" priority="305">
      <formula>AND(Q14=2,IF(COUNTIF(Q$14:Q$18,"=2")=1,TRUE))</formula>
    </cfRule>
    <cfRule type="expression" dxfId="3194" priority="306">
      <formula>AND(Q14=1,IF(COUNTIF(Q$14:Q$18,"=1")=1,TRUE))</formula>
    </cfRule>
    <cfRule type="expression" dxfId="3193" priority="307">
      <formula>OR(Q14=0,Q14=5)</formula>
    </cfRule>
  </conditionalFormatting>
  <conditionalFormatting sqref="O14:O18">
    <cfRule type="expression" dxfId="3192" priority="299">
      <formula>OR(AND(J14=1,K14=1,L14=0,M14=1),AND(J14=2,K14=2,L14=0,M14=2))</formula>
    </cfRule>
  </conditionalFormatting>
  <conditionalFormatting sqref="M14:M18">
    <cfRule type="expression" dxfId="3191" priority="292">
      <formula>AND(L14&gt;0,IF(COUNTIF(L$14:L$18,L14)&gt;1,TRUE,FALSE))</formula>
    </cfRule>
    <cfRule type="expression" dxfId="3190" priority="293">
      <formula>AND(IF(COUNTIF(R$14:R$18,"=1")=2,TRUE),IF(COUNTIF(R$14:R$18,"=2")=2,TRUE))</formula>
    </cfRule>
    <cfRule type="expression" dxfId="3189" priority="294">
      <formula>AND(R14=4,IF(COUNTIF(R$14:R$18,"=4")=1,TRUE))</formula>
    </cfRule>
    <cfRule type="expression" dxfId="3188" priority="295">
      <formula>AND(R14=3,IF(COUNTIF(R$14:R$18,"=3")=1,TRUE))</formula>
    </cfRule>
    <cfRule type="expression" dxfId="3187" priority="296">
      <formula>AND(R14=2,IF(COUNTIF(R$14:R$18,"=2")=1,TRUE))</formula>
    </cfRule>
    <cfRule type="expression" dxfId="3186" priority="297">
      <formula>AND(R14=1,IF(COUNTIF(R$14:R$18,"=1")=1,TRUE))</formula>
    </cfRule>
    <cfRule type="expression" dxfId="3185" priority="298">
      <formula>OR(R14=0,R14=5)</formula>
    </cfRule>
  </conditionalFormatting>
  <conditionalFormatting sqref="J14:J18">
    <cfRule type="expression" dxfId="3184" priority="287">
      <formula>AND(Q14=4,IF(COUNTIF(Q$14:Q$18,"=4")&gt;=2,TRUE))</formula>
    </cfRule>
    <cfRule type="expression" dxfId="3183" priority="288">
      <formula>AND(Q14=3,IF(COUNTIF(Q$14:Q$18,"=3")&gt;=2,TRUE))</formula>
    </cfRule>
    <cfRule type="expression" dxfId="3182" priority="289">
      <formula>AND(Q14=2,IF(COUNTIF(Q$14:Q$18,"=2")&gt;=2,TRUE))</formula>
    </cfRule>
    <cfRule type="expression" dxfId="3181" priority="290">
      <formula>AND(Q14=1,IF(COUNTIF(Q$14:Q$18,"=1")&gt;=2,TRUE))</formula>
    </cfRule>
  </conditionalFormatting>
  <conditionalFormatting sqref="K14:K18">
    <cfRule type="expression" dxfId="3180" priority="310">
      <formula>AND(J14&gt;0,IF(COUNTIF(J$14:J$18,"=1")=2,TRUE),IF(COUNTIF(J$14:J$18,"=2")=2,TRUE))</formula>
    </cfRule>
    <cfRule type="expression" dxfId="3179" priority="311">
      <formula>IF(COUNTIF(L$14:L$18,"=2")=2,TRUE)</formula>
    </cfRule>
    <cfRule type="expression" dxfId="3178" priority="312">
      <formula>IF(COUNTIF(L$14:L$18,"=1")=2,TRUE)</formula>
    </cfRule>
    <cfRule type="expression" dxfId="3177" priority="313">
      <formula>AND(IF(COUNTIF(R$14:R$18,"=1")=2,TRUE),IF(COUNTIF(S$14:S$18,"=2")=2,TRUE))</formula>
    </cfRule>
    <cfRule type="expression" dxfId="3176" priority="314">
      <formula>AND(R14=4,IF(COUNTIF(R$14:R$18,"=4")=1,TRUE))</formula>
    </cfRule>
    <cfRule type="expression" dxfId="3175" priority="315">
      <formula>AND(R14=3,IF(COUNTIF(R$14:R$18,"=3")=1,TRUE))</formula>
    </cfRule>
    <cfRule type="expression" dxfId="3174" priority="316">
      <formula>AND(R14=2,IF(COUNTIF(R$14:R$18,"=2")=1,TRUE))</formula>
    </cfRule>
    <cfRule type="expression" dxfId="3173" priority="317">
      <formula>AND(R14=1,IF(COUNTIF(R$14:R$18,"=1")=1,TRUE))</formula>
    </cfRule>
    <cfRule type="expression" dxfId="3172" priority="318">
      <formula>OR(R14=0,R14=5)</formula>
    </cfRule>
  </conditionalFormatting>
  <conditionalFormatting sqref="L21:L25">
    <cfRule type="expression" dxfId="3171" priority="259">
      <formula>K21=0</formula>
    </cfRule>
    <cfRule type="expression" dxfId="3170" priority="268">
      <formula>IF(COUNTIF(J$21:J$25,"=2")=2,TRUE)</formula>
    </cfRule>
    <cfRule type="expression" dxfId="3169" priority="269">
      <formula>IF(COUNTIF(J$21:J$25,"=1")=2,TRUE)</formula>
    </cfRule>
    <cfRule type="expression" dxfId="3168" priority="270">
      <formula>AND(IF(COUNTIF(Q$21:Q$25,"=1")=2,TRUE),IF(COUNTIF(Q$21:Q$25,"=2")=2,TRUE))</formula>
    </cfRule>
    <cfRule type="expression" dxfId="3167" priority="271">
      <formula>AND(Q21=4,IF(COUNTIF(Q$21:Q$25,"=4")=1,TRUE))</formula>
    </cfRule>
    <cfRule type="expression" dxfId="3166" priority="272">
      <formula>AND(Q21=3,IF(COUNTIF(Q$21:Q$25,"=3")=1,TRUE))</formula>
    </cfRule>
    <cfRule type="expression" dxfId="3165" priority="273">
      <formula>AND(Q21=2,IF(COUNTIF(Q$21:Q$25,"=2")=1,TRUE))</formula>
    </cfRule>
    <cfRule type="expression" dxfId="3164" priority="274">
      <formula>AND(Q21=1,IF(COUNTIF(Q$21:Q$25,"=1")=1,TRUE))</formula>
    </cfRule>
    <cfRule type="expression" dxfId="3163" priority="275">
      <formula>OR(Q21=0,Q21=5)</formula>
    </cfRule>
  </conditionalFormatting>
  <conditionalFormatting sqref="O21:O25">
    <cfRule type="expression" dxfId="3162" priority="267">
      <formula>OR(AND(J21=1,K21=1,L21=0,M21=1),AND(J21=2,K21=2,L21=0,M21=2))</formula>
    </cfRule>
  </conditionalFormatting>
  <conditionalFormatting sqref="M21:M25">
    <cfRule type="expression" dxfId="3161" priority="260">
      <formula>AND(L21&gt;0,IF(COUNTIF(L$21:L$25,L21)&gt;1,TRUE,FALSE))</formula>
    </cfRule>
    <cfRule type="expression" dxfId="3160" priority="261">
      <formula>AND(IF(COUNTIF(R$21:R$25,"=1")=2,TRUE),IF(COUNTIF(R$21:R$25,"=2")=2,TRUE))</formula>
    </cfRule>
    <cfRule type="expression" dxfId="3159" priority="262">
      <formula>AND(R21=4,IF(COUNTIF(R$21:R$25,"=4")=1,TRUE))</formula>
    </cfRule>
    <cfRule type="expression" dxfId="3158" priority="263">
      <formula>AND(R21=3,IF(COUNTIF(R$21:R$25,"=3")=1,TRUE))</formula>
    </cfRule>
    <cfRule type="expression" dxfId="3157" priority="264">
      <formula>AND(R21=2,IF(COUNTIF(R$21:R$25,"=2")=1,TRUE))</formula>
    </cfRule>
    <cfRule type="expression" dxfId="3156" priority="265">
      <formula>AND(R21=1,IF(COUNTIF(R$21:R$25,"=1")=1,TRUE))</formula>
    </cfRule>
    <cfRule type="expression" dxfId="3155" priority="266">
      <formula>OR(R21=0,R21=5)</formula>
    </cfRule>
  </conditionalFormatting>
  <conditionalFormatting sqref="J21:J25">
    <cfRule type="expression" dxfId="3154" priority="255">
      <formula>AND(Q21=4,IF(COUNTIF(Q$21:Q$25,"=4")&gt;=2,TRUE))</formula>
    </cfRule>
    <cfRule type="expression" dxfId="3153" priority="256">
      <formula>AND(Q21=3,IF(COUNTIF(Q$21:Q$25,"=3")&gt;=2,TRUE))</formula>
    </cfRule>
    <cfRule type="expression" dxfId="3152" priority="257">
      <formula>AND(Q21=2,IF(COUNTIF(Q$21:Q$25,"=2")&gt;=2,TRUE))</formula>
    </cfRule>
    <cfRule type="expression" dxfId="3151" priority="258">
      <formula>AND(Q21=1,IF(COUNTIF(Q$21:Q$25,"=1")&gt;=2,TRUE))</formula>
    </cfRule>
  </conditionalFormatting>
  <conditionalFormatting sqref="K21:K25">
    <cfRule type="expression" dxfId="3150" priority="276">
      <formula>AND(J21&gt;0,IF(COUNTIF(J$21:J$25,"=1")=2,TRUE),IF(COUNTIF(J$21:J$25,"=2")=2,TRUE))</formula>
    </cfRule>
    <cfRule type="expression" dxfId="3149" priority="277">
      <formula>IF(COUNTIF(L$21:L$25,"=2")=2,TRUE)</formula>
    </cfRule>
    <cfRule type="expression" dxfId="3148" priority="278">
      <formula>IF(COUNTIF(L$21:L$25,"=1")=2,TRUE)</formula>
    </cfRule>
    <cfRule type="expression" dxfId="3147" priority="279">
      <formula>AND(IF(COUNTIF(R$21:R$25,"=1")=2,TRUE),IF(COUNTIF(S$21:S$25,"=2")=2,TRUE))</formula>
    </cfRule>
    <cfRule type="expression" dxfId="3146" priority="280">
      <formula>AND(R21=4,IF(COUNTIF(R$21:R$25,"=4")=1,TRUE))</formula>
    </cfRule>
    <cfRule type="expression" dxfId="3145" priority="281">
      <formula>AND(R21=3,IF(COUNTIF(R$21:R$25,"=3")=1,TRUE))</formula>
    </cfRule>
    <cfRule type="expression" dxfId="3144" priority="282">
      <formula>AND(R21=2,IF(COUNTIF(R$21:R$25,"=2")=1,TRUE))</formula>
    </cfRule>
    <cfRule type="expression" dxfId="3143" priority="283">
      <formula>AND(R21=1,IF(COUNTIF(R$21:R$25,"=1")=1,TRUE))</formula>
    </cfRule>
    <cfRule type="expression" dxfId="3142" priority="284">
      <formula>OR(R21=0,R21=5)</formula>
    </cfRule>
  </conditionalFormatting>
  <conditionalFormatting sqref="H21:H25">
    <cfRule type="expression" dxfId="3141" priority="251">
      <formula>AND(Q21=4,IF(COUNTIF(Q$21:Q$25,"=4")&gt;=2,TRUE))</formula>
    </cfRule>
    <cfRule type="expression" dxfId="3140" priority="252">
      <formula>AND(Q21=3,IF(COUNTIF(Q$21:Q$25,"=3")&gt;=2,TRUE))</formula>
    </cfRule>
    <cfRule type="expression" dxfId="3139" priority="253">
      <formula>AND(Q21=2,IF(COUNTIF(Q$21:Q$25,"=2")&gt;=2,TRUE))</formula>
    </cfRule>
    <cfRule type="expression" dxfId="3138" priority="254">
      <formula>AND(Q21=1,IF(COUNTIF(Q$21:Q$25,"=1")&gt;=2,TRUE))</formula>
    </cfRule>
  </conditionalFormatting>
  <conditionalFormatting sqref="L28:L32">
    <cfRule type="expression" dxfId="3137" priority="225">
      <formula>K28=0</formula>
    </cfRule>
    <cfRule type="expression" dxfId="3136" priority="234">
      <formula>IF(COUNTIF(J$28:J$32,"=2")=2,TRUE)</formula>
    </cfRule>
    <cfRule type="expression" dxfId="3135" priority="235">
      <formula>IF(COUNTIF(J$28:J$32,"=1")=2,TRUE)</formula>
    </cfRule>
    <cfRule type="expression" dxfId="3134" priority="236">
      <formula>AND(IF(COUNTIF(Q$28:Q$32,"=1")=2,TRUE),IF(COUNTIF(Q$28:Q$32,"=2")=2,TRUE))</formula>
    </cfRule>
    <cfRule type="expression" dxfId="3133" priority="237">
      <formula>AND(Q28=4,IF(COUNTIF(Q$28:Q$32,"=4")=1,TRUE))</formula>
    </cfRule>
    <cfRule type="expression" dxfId="3132" priority="238">
      <formula>AND(Q28=3,IF(COUNTIF(Q$28:Q$32,"=3")=1,TRUE))</formula>
    </cfRule>
    <cfRule type="expression" dxfId="3131" priority="239">
      <formula>AND(Q28=2,IF(COUNTIF(Q$28:Q$32,"=2")=1,TRUE))</formula>
    </cfRule>
    <cfRule type="expression" dxfId="3130" priority="240">
      <formula>AND(Q28=1,IF(COUNTIF(Q$28:Q$32,"=1")=1,TRUE))</formula>
    </cfRule>
    <cfRule type="expression" dxfId="3129" priority="241">
      <formula>OR(Q28=0,Q28=5)</formula>
    </cfRule>
  </conditionalFormatting>
  <conditionalFormatting sqref="O28:O32">
    <cfRule type="expression" dxfId="3128" priority="233">
      <formula>OR(AND(J28=1,K28=1,L28=0,M28=1),AND(J28=2,K28=2,L28=0,M28=2))</formula>
    </cfRule>
  </conditionalFormatting>
  <conditionalFormatting sqref="M28:M32">
    <cfRule type="expression" dxfId="3127" priority="226">
      <formula>AND(L28&gt;0,IF(COUNTIF(L$28:L$32,L28)&gt;1,TRUE,FALSE))</formula>
    </cfRule>
    <cfRule type="expression" dxfId="3126" priority="227">
      <formula>AND(IF(COUNTIF(R$28:R$32,"=1")=2,TRUE),IF(COUNTIF(R$28:R$32,"=2")=2,TRUE))</formula>
    </cfRule>
    <cfRule type="expression" dxfId="3125" priority="228">
      <formula>AND(R28=4,IF(COUNTIF(R$28:R$32,"=4")=1,TRUE))</formula>
    </cfRule>
    <cfRule type="expression" dxfId="3124" priority="229">
      <formula>AND(R28=3,IF(COUNTIF(R$28:R$32,"=3")=1,TRUE))</formula>
    </cfRule>
    <cfRule type="expression" dxfId="3123" priority="230">
      <formula>AND(R28=2,IF(COUNTIF(R$28:R$32,"=2")=1,TRUE))</formula>
    </cfRule>
    <cfRule type="expression" dxfId="3122" priority="231">
      <formula>AND(R28=1,IF(COUNTIF(R$28:R$32,"=1")=1,TRUE))</formula>
    </cfRule>
    <cfRule type="expression" dxfId="3121" priority="232">
      <formula>OR(R28=0,R28=5)</formula>
    </cfRule>
  </conditionalFormatting>
  <conditionalFormatting sqref="J28:J32">
    <cfRule type="expression" dxfId="3120" priority="221">
      <formula>AND(Q28=4,IF(COUNTIF(Q$28:Q$32,"=4")&gt;=2,TRUE))</formula>
    </cfRule>
    <cfRule type="expression" dxfId="3119" priority="222">
      <formula>AND(Q28=3,IF(COUNTIF(Q$28:Q$32,"=3")&gt;=2,TRUE))</formula>
    </cfRule>
    <cfRule type="expression" dxfId="3118" priority="223">
      <formula>AND(Q28=2,IF(COUNTIF(Q$28:Q$32,"=2")&gt;=2,TRUE))</formula>
    </cfRule>
    <cfRule type="expression" dxfId="3117" priority="224">
      <formula>AND(Q28=1,IF(COUNTIF(Q$28:Q$32,"=1")&gt;=2,TRUE))</formula>
    </cfRule>
  </conditionalFormatting>
  <conditionalFormatting sqref="K28:K32">
    <cfRule type="expression" dxfId="3116" priority="242">
      <formula>AND(J28&gt;0,IF(COUNTIF(J$28:J$32,"=1")=2,TRUE),IF(COUNTIF(J$28:J$32,"=2")=2,TRUE))</formula>
    </cfRule>
    <cfRule type="expression" dxfId="3115" priority="243">
      <formula>IF(COUNTIF(L$28:L$32,"=2")=2,TRUE)</formula>
    </cfRule>
    <cfRule type="expression" dxfId="3114" priority="244">
      <formula>IF(COUNTIF(L$28:L$32,"=1")=2,TRUE)</formula>
    </cfRule>
    <cfRule type="expression" dxfId="3113" priority="245">
      <formula>AND(IF(COUNTIF(R$28:R$32,"=1")=2,TRUE),IF(COUNTIF(S$28:S$32,"=2")=2,TRUE))</formula>
    </cfRule>
    <cfRule type="expression" dxfId="3112" priority="246">
      <formula>AND(R28=4,IF(COUNTIF(R$28:R$32,"=4")=1,TRUE))</formula>
    </cfRule>
    <cfRule type="expression" dxfId="3111" priority="247">
      <formula>AND(R28=3,IF(COUNTIF(R$28:R$32,"=3")=1,TRUE))</formula>
    </cfRule>
    <cfRule type="expression" dxfId="3110" priority="248">
      <formula>AND(R28=2,IF(COUNTIF(R$28:R$32,"=2")=1,TRUE))</formula>
    </cfRule>
    <cfRule type="expression" dxfId="3109" priority="249">
      <formula>AND(R28=1,IF(COUNTIF(R$28:R$32,"=1")=1,TRUE))</formula>
    </cfRule>
    <cfRule type="expression" dxfId="3108" priority="250">
      <formula>OR(R28=0,R28=5)</formula>
    </cfRule>
  </conditionalFormatting>
  <conditionalFormatting sqref="H28:H32">
    <cfRule type="expression" dxfId="3107" priority="217">
      <formula>AND(Q28=4,IF(COUNTIF(Q$28:Q$32,"=4")&gt;=2,TRUE))</formula>
    </cfRule>
    <cfRule type="expression" dxfId="3106" priority="218">
      <formula>AND(Q28=3,IF(COUNTIF(Q$28:Q$32,"=3")&gt;=2,TRUE))</formula>
    </cfRule>
    <cfRule type="expression" dxfId="3105" priority="219">
      <formula>AND(Q28=2,IF(COUNTIF(Q$28:Q$32,"=2")&gt;=2,TRUE))</formula>
    </cfRule>
    <cfRule type="expression" dxfId="3104" priority="220">
      <formula>AND(Q28=1,IF(COUNTIF(Q$28:Q$32,"=1")&gt;=2,TRUE))</formula>
    </cfRule>
  </conditionalFormatting>
  <conditionalFormatting sqref="A102:A116">
    <cfRule type="cellIs" dxfId="3103" priority="79" operator="equal">
      <formula>"-"</formula>
    </cfRule>
    <cfRule type="duplicateValues" dxfId="3102" priority="80"/>
  </conditionalFormatting>
  <conditionalFormatting sqref="A140:A154">
    <cfRule type="cellIs" dxfId="3101" priority="77" operator="equal">
      <formula>"-"</formula>
    </cfRule>
    <cfRule type="duplicateValues" dxfId="3100" priority="78"/>
  </conditionalFormatting>
  <conditionalFormatting sqref="G124 G128 G131 G133">
    <cfRule type="containsBlanks" dxfId="3099" priority="74">
      <formula>LEN(TRIM(G124))=0</formula>
    </cfRule>
  </conditionalFormatting>
  <conditionalFormatting sqref="E123 E125">
    <cfRule type="containsBlanks" dxfId="3098" priority="72">
      <formula>LEN(TRIM(E123))=0</formula>
    </cfRule>
  </conditionalFormatting>
  <conditionalFormatting sqref="E127 E129">
    <cfRule type="containsBlanks" dxfId="3097" priority="70">
      <formula>LEN(TRIM(E127))=0</formula>
    </cfRule>
  </conditionalFormatting>
  <conditionalFormatting sqref="G124 G128">
    <cfRule type="aboveAverage" dxfId="3096" priority="76"/>
  </conditionalFormatting>
  <conditionalFormatting sqref="G131 G133">
    <cfRule type="aboveAverage" dxfId="3095" priority="75"/>
  </conditionalFormatting>
  <conditionalFormatting sqref="E123 E125">
    <cfRule type="aboveAverage" dxfId="3094" priority="73"/>
  </conditionalFormatting>
  <conditionalFormatting sqref="E127 E129">
    <cfRule type="aboveAverage" dxfId="3093" priority="71"/>
  </conditionalFormatting>
  <conditionalFormatting sqref="G117 G119">
    <cfRule type="aboveAverage" dxfId="3092" priority="69"/>
  </conditionalFormatting>
  <conditionalFormatting sqref="G117 G119">
    <cfRule type="containsBlanks" dxfId="3091" priority="68">
      <formula>LEN(TRIM(G117))=0</formula>
    </cfRule>
  </conditionalFormatting>
  <conditionalFormatting sqref="E103 E107">
    <cfRule type="containsBlanks" dxfId="3090" priority="66">
      <formula>LEN(TRIM(E103))=0</formula>
    </cfRule>
    <cfRule type="aboveAverage" dxfId="3089" priority="67"/>
  </conditionalFormatting>
  <conditionalFormatting sqref="C106 C108">
    <cfRule type="aboveAverage" dxfId="3088" priority="65"/>
  </conditionalFormatting>
  <conditionalFormatting sqref="C110 C112">
    <cfRule type="aboveAverage" dxfId="3087" priority="64"/>
  </conditionalFormatting>
  <conditionalFormatting sqref="C114 C116">
    <cfRule type="aboveAverage" dxfId="3086" priority="63"/>
  </conditionalFormatting>
  <conditionalFormatting sqref="C106 C108 C110 C112 C114 C116">
    <cfRule type="containsBlanks" dxfId="3085" priority="62">
      <formula>LEN(TRIM(C106))=0</formula>
    </cfRule>
  </conditionalFormatting>
  <conditionalFormatting sqref="C102 C104">
    <cfRule type="aboveAverage" dxfId="3084" priority="61"/>
  </conditionalFormatting>
  <conditionalFormatting sqref="C102 C104">
    <cfRule type="containsBlanks" dxfId="3083" priority="60">
      <formula>LEN(TRIM(C102))=0</formula>
    </cfRule>
  </conditionalFormatting>
  <conditionalFormatting sqref="E111 E115">
    <cfRule type="containsBlanks" dxfId="3082" priority="58">
      <formula>LEN(TRIM(E111))=0</formula>
    </cfRule>
    <cfRule type="aboveAverage" dxfId="3081" priority="59"/>
  </conditionalFormatting>
  <conditionalFormatting sqref="G105 G113">
    <cfRule type="containsBlanks" dxfId="3080" priority="56">
      <formula>LEN(TRIM(G105))=0</formula>
    </cfRule>
    <cfRule type="aboveAverage" dxfId="3079" priority="57"/>
  </conditionalFormatting>
  <conditionalFormatting sqref="G162 G166">
    <cfRule type="containsBlanks" dxfId="3078" priority="53">
      <formula>LEN(TRIM(G162))=0</formula>
    </cfRule>
  </conditionalFormatting>
  <conditionalFormatting sqref="E161 E163">
    <cfRule type="containsBlanks" dxfId="3077" priority="51">
      <formula>LEN(TRIM(E161))=0</formula>
    </cfRule>
  </conditionalFormatting>
  <conditionalFormatting sqref="G162 G166">
    <cfRule type="aboveAverage" dxfId="3076" priority="55"/>
  </conditionalFormatting>
  <conditionalFormatting sqref="E161 E163">
    <cfRule type="aboveAverage" dxfId="3075" priority="52"/>
  </conditionalFormatting>
  <conditionalFormatting sqref="G155 G157">
    <cfRule type="aboveAverage" dxfId="3074" priority="48"/>
  </conditionalFormatting>
  <conditionalFormatting sqref="G155 G157">
    <cfRule type="containsBlanks" dxfId="3073" priority="47">
      <formula>LEN(TRIM(G155))=0</formula>
    </cfRule>
  </conditionalFormatting>
  <conditionalFormatting sqref="E141 E145">
    <cfRule type="containsBlanks" dxfId="3072" priority="45">
      <formula>LEN(TRIM(E141))=0</formula>
    </cfRule>
    <cfRule type="aboveAverage" dxfId="3071" priority="46"/>
  </conditionalFormatting>
  <conditionalFormatting sqref="C144 C146">
    <cfRule type="aboveAverage" dxfId="3070" priority="44"/>
  </conditionalFormatting>
  <conditionalFormatting sqref="C148 C150">
    <cfRule type="aboveAverage" dxfId="3069" priority="43"/>
  </conditionalFormatting>
  <conditionalFormatting sqref="C144 C146 C148 C150">
    <cfRule type="containsBlanks" dxfId="3068" priority="41">
      <formula>LEN(TRIM(C144))=0</formula>
    </cfRule>
  </conditionalFormatting>
  <conditionalFormatting sqref="C140 C142">
    <cfRule type="aboveAverage" dxfId="3067" priority="40"/>
  </conditionalFormatting>
  <conditionalFormatting sqref="C140 C142">
    <cfRule type="containsBlanks" dxfId="3066" priority="39">
      <formula>LEN(TRIM(C140))=0</formula>
    </cfRule>
  </conditionalFormatting>
  <conditionalFormatting sqref="E149 E153">
    <cfRule type="containsBlanks" dxfId="3065" priority="37">
      <formula>LEN(TRIM(E149))=0</formula>
    </cfRule>
    <cfRule type="aboveAverage" dxfId="3064" priority="38"/>
  </conditionalFormatting>
  <conditionalFormatting sqref="G143 G151">
    <cfRule type="containsBlanks" dxfId="3063" priority="35">
      <formula>LEN(TRIM(G143))=0</formula>
    </cfRule>
    <cfRule type="aboveAverage" dxfId="3062" priority="36"/>
  </conditionalFormatting>
  <conditionalFormatting sqref="E165 E167">
    <cfRule type="containsBlanks" dxfId="3061" priority="27">
      <formula>LEN(TRIM(E165))=0</formula>
    </cfRule>
  </conditionalFormatting>
  <conditionalFormatting sqref="C152 C154">
    <cfRule type="aboveAverage" dxfId="3060" priority="30"/>
  </conditionalFormatting>
  <conditionalFormatting sqref="C152 C154">
    <cfRule type="containsBlanks" dxfId="3059" priority="29">
      <formula>LEN(TRIM(C152))=0</formula>
    </cfRule>
  </conditionalFormatting>
  <conditionalFormatting sqref="E165 E167">
    <cfRule type="aboveAverage" dxfId="3058" priority="28"/>
  </conditionalFormatting>
  <conditionalFormatting sqref="G169 G171">
    <cfRule type="containsBlanks" dxfId="3057" priority="25">
      <formula>LEN(TRIM(G169))=0</formula>
    </cfRule>
  </conditionalFormatting>
  <conditionalFormatting sqref="G169 G171">
    <cfRule type="aboveAverage" dxfId="3056" priority="26"/>
  </conditionalFormatting>
  <conditionalFormatting sqref="B300:B314">
    <cfRule type="expression" dxfId="3055" priority="20">
      <formula>A300=3</formula>
    </cfRule>
    <cfRule type="expression" dxfId="3054" priority="21">
      <formula>A300=2</formula>
    </cfRule>
    <cfRule type="expression" dxfId="3053" priority="22">
      <formula>A300=1</formula>
    </cfRule>
    <cfRule type="containsBlanks" dxfId="3052" priority="23">
      <formula>LEN(TRIM(B300))=0</formula>
    </cfRule>
    <cfRule type="duplicateValues" dxfId="3051" priority="24"/>
  </conditionalFormatting>
  <conditionalFormatting sqref="AJ7:AJ31">
    <cfRule type="expression" dxfId="3050" priority="13">
      <formula>AND(AI7="",FIND(",",AJ7))</formula>
    </cfRule>
    <cfRule type="expression" dxfId="3049" priority="15">
      <formula>AND(AI7="",COUNTIF(AJ7,"*,*")=0)</formula>
    </cfRule>
  </conditionalFormatting>
  <conditionalFormatting sqref="AH7:AH31">
    <cfRule type="expression" dxfId="3048" priority="16">
      <formula>AND(AG7="",FIND(",",AH7))</formula>
    </cfRule>
    <cfRule type="expression" dxfId="3047" priority="17">
      <formula>AND(AG7="",COUNTIF(AH7,"*,*")=0)</formula>
    </cfRule>
  </conditionalFormatting>
  <conditionalFormatting sqref="AL7:AL31">
    <cfRule type="expression" dxfId="3046" priority="18">
      <formula>AND(AK7="",FIND(",",AL7))</formula>
    </cfRule>
    <cfRule type="expression" dxfId="3045" priority="19">
      <formula>AND(AK7="",COUNTIF(AL7,"*,*")=0)</formula>
    </cfRule>
  </conditionalFormatting>
  <conditionalFormatting sqref="AF7:AF31">
    <cfRule type="expression" dxfId="3044" priority="14">
      <formula>AND(AE7="",COUNTIF(AF7,"*,*")=0)</formula>
    </cfRule>
  </conditionalFormatting>
  <conditionalFormatting sqref="AN7:AN31">
    <cfRule type="expression" dxfId="3043" priority="10">
      <formula>AND(AM7="",COUNTIF(AN7,"*,*")=0)</formula>
    </cfRule>
    <cfRule type="expression" dxfId="3042" priority="12">
      <formula>AND(AM7="",FIND(",",AN7))</formula>
    </cfRule>
  </conditionalFormatting>
  <conditionalFormatting sqref="AP7:AP31">
    <cfRule type="expression" dxfId="3041" priority="9">
      <formula>AND(AO7="",COUNTIF(AP7,"*,*")=0)</formula>
    </cfRule>
    <cfRule type="expression" dxfId="3040" priority="11">
      <formula>AND(AO7="",FIND(",",AP7))</formula>
    </cfRule>
  </conditionalFormatting>
  <conditionalFormatting sqref="I28:I32">
    <cfRule type="expression" dxfId="3039" priority="3">
      <formula>FIND(2,I28,1)</formula>
    </cfRule>
    <cfRule type="expression" dxfId="3038" priority="4">
      <formula>FIND(1,I28,1)</formula>
    </cfRule>
  </conditionalFormatting>
  <conditionalFormatting sqref="I21:I25">
    <cfRule type="expression" dxfId="3037" priority="5">
      <formula>FIND(2,I21,1)</formula>
    </cfRule>
    <cfRule type="expression" dxfId="3036" priority="6">
      <formula>FIND(1,I21,1)</formula>
    </cfRule>
  </conditionalFormatting>
  <conditionalFormatting sqref="I7:I11">
    <cfRule type="expression" dxfId="3035" priority="7">
      <formula>FIND(2,I7,1)</formula>
    </cfRule>
    <cfRule type="expression" dxfId="3034" priority="8">
      <formula>FIND(1,I7,1)</formula>
    </cfRule>
  </conditionalFormatting>
  <conditionalFormatting sqref="I14:I18">
    <cfRule type="expression" dxfId="3033" priority="1">
      <formula>FIND(2,I14,1)</formula>
    </cfRule>
    <cfRule type="expression" dxfId="3032" priority="2">
      <formula>FIND(1,I14,1)</formula>
    </cfRule>
  </conditionalFormatting>
  <pageMargins left="0.78740157480314965" right="0.39370078740157483" top="0.78740157480314965" bottom="0.39370078740157483" header="0.78740157480314965" footer="0"/>
  <pageSetup paperSize="9" fitToHeight="0" orientation="landscape" verticalDpi="1200" r:id="rId1"/>
  <headerFooter>
    <oddHeader>&amp;R&amp;P. leht &amp;N&amp; -st</oddHeader>
  </headerFooter>
  <rowBreaks count="3" manualBreakCount="3">
    <brk id="98" max="16383" man="1"/>
    <brk id="136" max="16383" man="1"/>
    <brk id="297" max="16383"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AP312"/>
  <sheetViews>
    <sheetView showGridLines="0" showRowColHeaders="0" workbookViewId="0">
      <pane ySplit="1" topLeftCell="A2" activePane="bottomLeft" state="frozen"/>
      <selection pane="bottomLeft" activeCell="A5" sqref="A5"/>
    </sheetView>
  </sheetViews>
  <sheetFormatPr defaultRowHeight="12.75" x14ac:dyDescent="0.2"/>
  <cols>
    <col min="1" max="1" width="3.28515625" style="1" customWidth="1"/>
    <col min="2" max="2" width="30.85546875" style="1" bestFit="1" customWidth="1"/>
    <col min="3" max="3" width="4.7109375" style="1" customWidth="1"/>
    <col min="4" max="4" width="1.140625" style="1" customWidth="1"/>
    <col min="5" max="5" width="2.7109375" style="1" customWidth="1"/>
    <col min="6" max="6" width="9.140625" style="1"/>
    <col min="7" max="7" width="2.7109375" style="1" customWidth="1"/>
    <col min="8" max="8" width="1.140625" style="1" customWidth="1"/>
    <col min="9" max="9" width="2.7109375" style="1" customWidth="1"/>
    <col min="10" max="10" width="9.140625" style="1"/>
    <col min="11" max="11" width="2.7109375" style="1" customWidth="1"/>
    <col min="12" max="12" width="1.140625" style="1" customWidth="1"/>
    <col min="13" max="13" width="2.7109375" style="1" customWidth="1"/>
    <col min="14" max="14" width="9.140625" style="1"/>
    <col min="15" max="15" width="2.7109375" style="1" customWidth="1"/>
    <col min="16" max="16" width="1.140625" style="1" customWidth="1"/>
    <col min="17" max="17" width="2.7109375" style="1" customWidth="1"/>
    <col min="18" max="18" width="9.140625" style="1"/>
    <col min="19" max="19" width="2.7109375" style="1" customWidth="1"/>
    <col min="20" max="20" width="1.140625" style="1" customWidth="1"/>
    <col min="21" max="21" width="2.7109375" style="1" customWidth="1"/>
    <col min="22" max="22" width="9.140625" style="1"/>
    <col min="23" max="23" width="5.7109375" style="1" bestFit="1" customWidth="1"/>
    <col min="24" max="24" width="5.5703125" style="1" hidden="1" customWidth="1"/>
    <col min="25" max="25" width="2.7109375" style="1" customWidth="1"/>
    <col min="26" max="26" width="1.140625" style="1" customWidth="1"/>
    <col min="27" max="27" width="2.7109375" style="1" customWidth="1"/>
    <col min="28" max="28" width="4.7109375" style="1" customWidth="1"/>
    <col min="29" max="29" width="9.140625" style="1"/>
    <col min="30" max="31" width="9.140625" style="1" hidden="1" customWidth="1"/>
    <col min="32" max="32" width="16.5703125" style="1" hidden="1" customWidth="1"/>
    <col min="33" max="33" width="9.140625" style="1" hidden="1" customWidth="1"/>
    <col min="34" max="34" width="21" style="1" hidden="1" customWidth="1"/>
    <col min="35" max="35" width="9.140625" style="1" hidden="1" customWidth="1"/>
    <col min="36" max="36" width="17.28515625" style="1" hidden="1" customWidth="1"/>
    <col min="37" max="37" width="9.140625" style="1" hidden="1" customWidth="1"/>
    <col min="38" max="38" width="13.85546875" style="1" hidden="1" customWidth="1"/>
    <col min="39" max="39" width="9.140625" style="1" hidden="1" customWidth="1"/>
    <col min="40" max="40" width="17.28515625" style="1" hidden="1" customWidth="1"/>
    <col min="41" max="41" width="9.140625" style="1" hidden="1" customWidth="1"/>
    <col min="42" max="42" width="13.85546875" style="1" hidden="1" customWidth="1"/>
    <col min="43" max="16384" width="9.140625" style="1"/>
  </cols>
  <sheetData>
    <row r="1" spans="1:42" x14ac:dyDescent="0.2">
      <c r="A1" s="400" t="str">
        <f>UPPER((Kalend!E18)&amp;" - "&amp;(Kalend!C18))&amp;" - "&amp;LOWER(Kalend!D18)&amp;" - "&amp;(Kalend!A18)&amp;" kell "&amp;(Kalend!B18)&amp;" - "&amp;(Kalend!F18)</f>
        <v>V7 - VOKA III SISE-KV 7. ETAPP - duo - P, 05.01.2020 kell 11:00 - Voka petangihall</v>
      </c>
      <c r="O1" s="271"/>
      <c r="P1" s="271"/>
      <c r="Q1" s="312"/>
      <c r="R1" s="312"/>
      <c r="S1" s="312"/>
      <c r="T1" s="70"/>
      <c r="U1" s="70"/>
      <c r="V1" s="70"/>
      <c r="W1" s="271"/>
      <c r="X1" s="402"/>
      <c r="Y1" s="271"/>
      <c r="Z1" s="271"/>
      <c r="AD1" s="152" t="s">
        <v>94</v>
      </c>
      <c r="AE1" s="402"/>
      <c r="AF1" s="402"/>
      <c r="AG1" s="402"/>
      <c r="AH1" s="402"/>
      <c r="AI1" s="402"/>
      <c r="AJ1" s="402"/>
      <c r="AK1" s="402"/>
      <c r="AL1" s="402"/>
      <c r="AM1" s="402"/>
      <c r="AN1" s="402"/>
      <c r="AO1" s="532"/>
      <c r="AP1" s="532"/>
    </row>
    <row r="2" spans="1:42" hidden="1" x14ac:dyDescent="0.2">
      <c r="A2" s="151"/>
      <c r="B2" s="151"/>
      <c r="C2" s="151"/>
      <c r="D2" s="151"/>
      <c r="E2" s="151"/>
      <c r="F2" s="271"/>
      <c r="G2" s="151"/>
      <c r="H2" s="151"/>
      <c r="I2" s="151"/>
      <c r="J2" s="151"/>
      <c r="K2" s="151"/>
      <c r="L2" s="409"/>
      <c r="M2" s="409"/>
      <c r="N2" s="409"/>
      <c r="O2" s="271"/>
      <c r="P2" s="271"/>
      <c r="Q2" s="271"/>
      <c r="R2" s="271"/>
      <c r="S2" s="151"/>
      <c r="T2" s="151"/>
      <c r="U2" s="151"/>
      <c r="V2" s="410" t="s">
        <v>253</v>
      </c>
      <c r="W2" s="411">
        <v>1</v>
      </c>
      <c r="X2" s="151"/>
      <c r="Y2" s="271" t="s">
        <v>254</v>
      </c>
      <c r="Z2" s="151"/>
      <c r="AA2" s="151"/>
      <c r="AB2" s="151"/>
      <c r="AD2" s="271"/>
      <c r="AE2" s="271"/>
      <c r="AF2" s="271"/>
      <c r="AG2" s="271"/>
      <c r="AH2" s="271"/>
      <c r="AI2" s="271"/>
      <c r="AJ2" s="412"/>
      <c r="AK2" s="271"/>
      <c r="AL2" s="271"/>
      <c r="AM2" s="271"/>
      <c r="AN2" s="271"/>
    </row>
    <row r="3" spans="1:42" hidden="1" x14ac:dyDescent="0.2">
      <c r="A3" s="151"/>
      <c r="B3" s="151"/>
      <c r="C3" s="151"/>
      <c r="D3" s="151"/>
      <c r="E3" s="151"/>
      <c r="F3" s="271"/>
      <c r="G3" s="151"/>
      <c r="H3" s="151"/>
      <c r="I3" s="151"/>
      <c r="J3" s="151"/>
      <c r="K3" s="151"/>
      <c r="L3" s="409"/>
      <c r="M3" s="409"/>
      <c r="N3" s="409"/>
      <c r="O3" s="271"/>
      <c r="P3" s="271"/>
      <c r="Q3" s="271"/>
      <c r="R3" s="271"/>
      <c r="S3" s="151"/>
      <c r="T3" s="151"/>
      <c r="U3" s="151"/>
      <c r="V3" s="413" t="s">
        <v>255</v>
      </c>
      <c r="W3" s="411">
        <v>0.5</v>
      </c>
      <c r="X3" s="151"/>
      <c r="Y3" s="271" t="s">
        <v>254</v>
      </c>
      <c r="Z3" s="151"/>
      <c r="AA3" s="151"/>
      <c r="AB3" s="151"/>
      <c r="AE3" s="271"/>
      <c r="AG3" s="271"/>
      <c r="AH3" s="271"/>
      <c r="AI3" s="271"/>
      <c r="AJ3" s="271"/>
      <c r="AK3" s="271"/>
      <c r="AL3" s="271"/>
      <c r="AM3" s="271"/>
      <c r="AN3" s="271"/>
    </row>
    <row r="4" spans="1:42" hidden="1" x14ac:dyDescent="0.2">
      <c r="A4" s="151"/>
      <c r="B4" s="151"/>
      <c r="C4" s="151"/>
      <c r="D4" s="151"/>
      <c r="E4" s="151"/>
      <c r="F4" s="271"/>
      <c r="G4" s="151"/>
      <c r="H4" s="151"/>
      <c r="I4" s="151"/>
      <c r="J4" s="151"/>
      <c r="K4" s="151"/>
      <c r="L4" s="271"/>
      <c r="M4" s="271"/>
      <c r="N4" s="271"/>
      <c r="O4" s="271"/>
      <c r="P4" s="271"/>
      <c r="Q4" s="271"/>
      <c r="R4" s="271"/>
      <c r="S4" s="151"/>
      <c r="T4" s="151"/>
      <c r="U4" s="151"/>
      <c r="V4" s="414" t="s">
        <v>256</v>
      </c>
      <c r="W4" s="411">
        <v>0</v>
      </c>
      <c r="X4" s="151"/>
      <c r="Y4" s="271" t="s">
        <v>254</v>
      </c>
      <c r="Z4" s="151"/>
      <c r="AA4" s="271"/>
      <c r="AB4" s="151"/>
      <c r="AE4" s="409"/>
      <c r="AF4" s="409"/>
      <c r="AG4" s="409"/>
      <c r="AH4" s="376"/>
      <c r="AI4" s="409"/>
      <c r="AJ4" s="409"/>
      <c r="AK4" s="409"/>
      <c r="AL4" s="409"/>
      <c r="AM4" s="409"/>
      <c r="AN4" s="409"/>
      <c r="AO4" s="409"/>
      <c r="AP4" s="409"/>
    </row>
    <row r="5" spans="1:42" x14ac:dyDescent="0.2">
      <c r="A5" s="151"/>
      <c r="B5" s="151"/>
      <c r="C5" s="151"/>
      <c r="D5" s="151"/>
      <c r="E5" s="151"/>
      <c r="F5" s="271"/>
      <c r="G5" s="151"/>
      <c r="H5" s="151"/>
      <c r="I5" s="151"/>
      <c r="J5" s="151"/>
      <c r="K5" s="151"/>
      <c r="L5" s="271"/>
      <c r="M5" s="271"/>
      <c r="N5" s="271"/>
      <c r="O5" s="271"/>
      <c r="P5" s="271"/>
      <c r="Q5" s="271"/>
      <c r="R5" s="271"/>
      <c r="S5" s="271"/>
      <c r="T5" s="271"/>
      <c r="U5" s="271"/>
      <c r="V5" s="271"/>
      <c r="W5" s="271"/>
      <c r="X5" s="271"/>
      <c r="Y5" s="271"/>
      <c r="Z5" s="271"/>
      <c r="AA5" s="967" t="s">
        <v>476</v>
      </c>
      <c r="AB5" s="151"/>
      <c r="AC5" s="271"/>
      <c r="AD5" s="964" t="s">
        <v>214</v>
      </c>
    </row>
    <row r="6" spans="1:42" x14ac:dyDescent="0.2">
      <c r="A6" s="607" t="s">
        <v>10</v>
      </c>
      <c r="B6" s="607" t="s">
        <v>79</v>
      </c>
      <c r="C6" s="608" t="s">
        <v>171</v>
      </c>
      <c r="D6" s="609"/>
      <c r="E6" s="609"/>
      <c r="F6" s="610"/>
      <c r="G6" s="608" t="s">
        <v>174</v>
      </c>
      <c r="H6" s="609"/>
      <c r="I6" s="609"/>
      <c r="J6" s="610"/>
      <c r="K6" s="608" t="s">
        <v>177</v>
      </c>
      <c r="L6" s="609"/>
      <c r="M6" s="609"/>
      <c r="N6" s="610"/>
      <c r="O6" s="608" t="s">
        <v>180</v>
      </c>
      <c r="P6" s="609"/>
      <c r="Q6" s="609"/>
      <c r="R6" s="610"/>
      <c r="S6" s="608" t="s">
        <v>182</v>
      </c>
      <c r="T6" s="609"/>
      <c r="U6" s="609"/>
      <c r="V6" s="610"/>
      <c r="W6" s="607" t="s">
        <v>102</v>
      </c>
      <c r="X6" s="611" t="s">
        <v>361</v>
      </c>
      <c r="Y6" s="611"/>
      <c r="Z6" s="612" t="s">
        <v>362</v>
      </c>
      <c r="AA6" s="613"/>
      <c r="AB6" s="271"/>
      <c r="AC6" s="271"/>
      <c r="AD6" s="272" t="s">
        <v>370</v>
      </c>
      <c r="AE6" s="273"/>
      <c r="AF6" s="273" t="s">
        <v>249</v>
      </c>
      <c r="AG6" s="273"/>
      <c r="AH6" s="403" t="s">
        <v>250</v>
      </c>
      <c r="AI6" s="273"/>
      <c r="AJ6" s="273" t="s">
        <v>251</v>
      </c>
      <c r="AK6" s="274"/>
      <c r="AL6" s="273" t="s">
        <v>252</v>
      </c>
      <c r="AM6" s="274"/>
      <c r="AN6" s="274" t="s">
        <v>472</v>
      </c>
      <c r="AO6" s="945"/>
      <c r="AP6" s="274" t="s">
        <v>473</v>
      </c>
    </row>
    <row r="7" spans="1:42" x14ac:dyDescent="0.2">
      <c r="A7" s="614">
        <v>1</v>
      </c>
      <c r="B7" s="542" t="s">
        <v>283</v>
      </c>
      <c r="C7" s="615">
        <v>13</v>
      </c>
      <c r="D7" s="616" t="s">
        <v>363</v>
      </c>
      <c r="E7" s="617">
        <v>7</v>
      </c>
      <c r="F7" s="618" t="str">
        <f>B12</f>
        <v>Andrei Grintšak, Boriss Klubov</v>
      </c>
      <c r="G7" s="615">
        <v>5</v>
      </c>
      <c r="H7" s="616" t="s">
        <v>363</v>
      </c>
      <c r="I7" s="617">
        <v>13</v>
      </c>
      <c r="J7" s="618" t="str">
        <f>B13</f>
        <v>Jaan Sepp, Oskar Sepp</v>
      </c>
      <c r="K7" s="615">
        <v>13</v>
      </c>
      <c r="L7" s="616" t="s">
        <v>363</v>
      </c>
      <c r="M7" s="617">
        <v>1</v>
      </c>
      <c r="N7" s="618" t="str">
        <f>B17</f>
        <v>Jaan Saar, Klavdia Piik, Liidia Põllu</v>
      </c>
      <c r="O7" s="615">
        <v>13</v>
      </c>
      <c r="P7" s="616" t="s">
        <v>363</v>
      </c>
      <c r="Q7" s="617">
        <v>9</v>
      </c>
      <c r="R7" s="618" t="str">
        <f>B15</f>
        <v>Kaspar Mänd, Urmas Randlaine</v>
      </c>
      <c r="S7" s="615">
        <v>13</v>
      </c>
      <c r="T7" s="616" t="s">
        <v>363</v>
      </c>
      <c r="U7" s="617">
        <v>2</v>
      </c>
      <c r="V7" s="618" t="str">
        <f>B8</f>
        <v>Ivar Viljaste, Sirje Viljaste</v>
      </c>
      <c r="W7" s="619">
        <f t="shared" ref="W7:W19" si="0">IF(C7&gt;E7,W$2,IF(C7&lt;E7,W$4,IF(ISNUMBER(C7),W$3,0)))+IF(G7&gt;I7,W$2,IF(G7&lt;I7,W$4,IF(ISNUMBER(G7),W$3,0)))+IF(K7&gt;M7,W$2,IF(K7&lt;M7,W$4,IF(ISNUMBER(K7),W$3,0)))+IF(O7&gt;Q7,W$2,IF(O7&lt;Q7,W$4,IF(ISNUMBER(O7),W$3,0)))+IF(S7&gt;U7,W$2,IF(S7&lt;U7,W$4,IF(ISNUMBER(S7),W$3,0)))</f>
        <v>4</v>
      </c>
      <c r="X7" s="620"/>
      <c r="Y7" s="615">
        <f>C7+G7+K7+O7+S7</f>
        <v>57</v>
      </c>
      <c r="Z7" s="616" t="s">
        <v>363</v>
      </c>
      <c r="AA7" s="621">
        <f>E7+I7+M7+Q7+U7</f>
        <v>32</v>
      </c>
      <c r="AB7" s="622">
        <f>Y7-AA7</f>
        <v>25</v>
      </c>
      <c r="AD7" s="405">
        <f>SUM(AE7:AP7)</f>
        <v>171</v>
      </c>
      <c r="AE7" s="406">
        <f>IFERROR(INDEX(V!$R:$R,MATCH(AF7,V!$L:$L,0)),"")</f>
        <v>104</v>
      </c>
      <c r="AF7" s="407" t="str">
        <f>IFERROR(LEFT($B7,(FIND(",",$B7,1)-1)),"")</f>
        <v>Andres Veski</v>
      </c>
      <c r="AG7" s="406">
        <f>IFERROR(INDEX(V!$R:$R,MATCH(AH7,V!$L:$L,0)),"")</f>
        <v>67</v>
      </c>
      <c r="AH7" s="407" t="str">
        <f>IFERROR(MID($B7,FIND(", ",$B7)+2,256),"")</f>
        <v>Svetlana Veski</v>
      </c>
      <c r="AI7" s="406" t="str">
        <f>IFERROR(INDEX(V!$R:$R,MATCH(AJ7,V!$L:$L,0)),"")</f>
        <v/>
      </c>
      <c r="AJ7" s="407" t="str">
        <f>IFERROR(MID($B7,FIND("^",SUBSTITUTE($B7,", ","^",1))+2,FIND("^",SUBSTITUTE($B7,", ","^",2))-FIND("^",SUBSTITUTE($B7,", ","^",1))-2),"")</f>
        <v/>
      </c>
      <c r="AK7" s="406" t="str">
        <f>IFERROR(INDEX(V!$R:$R,MATCH(AL7,V!$L:$L,0)),"")</f>
        <v/>
      </c>
      <c r="AL7" s="407" t="str">
        <f>IFERROR(MID($B7,FIND(", ",$B7,FIND(", ",$B7,FIND(", ",$B7))+1)+2,30000),"")</f>
        <v/>
      </c>
      <c r="AM7" s="406" t="str">
        <f>IFERROR(INDEX(V!$R:$R,MATCH(AN7,V!$L:$L,0)),"")</f>
        <v/>
      </c>
      <c r="AN7" s="407" t="str">
        <f>IFERROR(MID($B7,FIND(", ",$B7,FIND(", ",$B7)+1)+2,FIND(", ",$B7,FIND(", ",$B7,FIND(", ",$B7)+1)+1)-FIND(", ",$B7,FIND(", ",$B7)+1)-2),"")</f>
        <v/>
      </c>
      <c r="AO7" s="406" t="str">
        <f>IFERROR(INDEX(V!$R:$R,MATCH(AP7,V!$L:$L,0)),"")</f>
        <v/>
      </c>
      <c r="AP7" s="407" t="str">
        <f>IFERROR(MID($B7,FIND(", ",$B7,FIND(", ",$B7,FIND(", ",$B7)+1)+1)+2,30000),"")</f>
        <v/>
      </c>
    </row>
    <row r="8" spans="1:42" x14ac:dyDescent="0.2">
      <c r="A8" s="614">
        <v>2</v>
      </c>
      <c r="B8" s="542" t="s">
        <v>382</v>
      </c>
      <c r="C8" s="615">
        <v>13</v>
      </c>
      <c r="D8" s="616" t="s">
        <v>363</v>
      </c>
      <c r="E8" s="617">
        <v>7</v>
      </c>
      <c r="F8" s="618" t="str">
        <f>B9</f>
        <v>Kenneth Muusikus, Mait Metsla</v>
      </c>
      <c r="G8" s="615">
        <v>13</v>
      </c>
      <c r="H8" s="616" t="s">
        <v>363</v>
      </c>
      <c r="I8" s="617">
        <v>5</v>
      </c>
      <c r="J8" s="618" t="str">
        <f>B11</f>
        <v>Karla Purgats, Lemmit Toomra</v>
      </c>
      <c r="K8" s="615">
        <v>13</v>
      </c>
      <c r="L8" s="616" t="s">
        <v>363</v>
      </c>
      <c r="M8" s="617">
        <v>5</v>
      </c>
      <c r="N8" s="618" t="str">
        <f>B16</f>
        <v>Ljudmila Varendi, Viktor Švarõgin</v>
      </c>
      <c r="O8" s="615">
        <v>13</v>
      </c>
      <c r="P8" s="616" t="s">
        <v>363</v>
      </c>
      <c r="Q8" s="617">
        <v>4</v>
      </c>
      <c r="R8" s="618" t="str">
        <f>B10</f>
        <v>Tõnu Piik, Ülo Piik</v>
      </c>
      <c r="S8" s="615">
        <v>2</v>
      </c>
      <c r="T8" s="616" t="s">
        <v>363</v>
      </c>
      <c r="U8" s="617">
        <v>13</v>
      </c>
      <c r="V8" s="618" t="str">
        <f>B7</f>
        <v>Andres Veski, Svetlana Veski</v>
      </c>
      <c r="W8" s="619">
        <f t="shared" si="0"/>
        <v>4</v>
      </c>
      <c r="X8" s="620"/>
      <c r="Y8" s="615">
        <f t="shared" ref="Y8:Y19" si="1">C8+G8+K8+O8+S8</f>
        <v>54</v>
      </c>
      <c r="Z8" s="616" t="s">
        <v>363</v>
      </c>
      <c r="AA8" s="621">
        <f t="shared" ref="AA8:AA19" si="2">E8+I8+M8+Q8+U8</f>
        <v>34</v>
      </c>
      <c r="AB8" s="622">
        <f t="shared" ref="AB8:AB19" si="3">Y8-AA8</f>
        <v>20</v>
      </c>
      <c r="AD8" s="405">
        <f t="shared" ref="AD8:AD19" si="4">SUM(AE8:AP8)</f>
        <v>92</v>
      </c>
      <c r="AE8" s="406">
        <f>IFERROR(INDEX(V!$R:$R,MATCH(AF8,V!$L:$L,0)),"")</f>
        <v>56</v>
      </c>
      <c r="AF8" s="407" t="str">
        <f t="shared" ref="AF8:AF19" si="5">IFERROR(LEFT($B8,(FIND(",",$B8,1)-1)),"")</f>
        <v>Ivar Viljaste</v>
      </c>
      <c r="AG8" s="406">
        <f>IFERROR(INDEX(V!$R:$R,MATCH(AH8,V!$L:$L,0)),"")</f>
        <v>36</v>
      </c>
      <c r="AH8" s="407" t="str">
        <f t="shared" ref="AH8:AH19" si="6">IFERROR(MID($B8,FIND(", ",$B8)+2,256),"")</f>
        <v>Sirje Viljaste</v>
      </c>
      <c r="AI8" s="406" t="str">
        <f>IFERROR(INDEX(V!$R:$R,MATCH(AJ8,V!$L:$L,0)),"")</f>
        <v/>
      </c>
      <c r="AJ8" s="407" t="str">
        <f t="shared" ref="AJ8:AJ19" si="7">IFERROR(MID($B8,FIND("^",SUBSTITUTE($B8,", ","^",1))+2,FIND("^",SUBSTITUTE($B8,", ","^",2))-FIND("^",SUBSTITUTE($B8,", ","^",1))-2),"")</f>
        <v/>
      </c>
      <c r="AK8" s="406" t="str">
        <f>IFERROR(INDEX(V!$R:$R,MATCH(AL8,V!$L:$L,0)),"")</f>
        <v/>
      </c>
      <c r="AL8" s="407" t="str">
        <f t="shared" ref="AL8:AL19" si="8">IFERROR(MID($B8,FIND(", ",$B8,FIND(", ",$B8,FIND(", ",$B8))+1)+2,30000),"")</f>
        <v/>
      </c>
      <c r="AM8" s="406" t="str">
        <f>IFERROR(INDEX(V!$R:$R,MATCH(AN8,V!$L:$L,0)),"")</f>
        <v/>
      </c>
      <c r="AN8" s="407" t="str">
        <f t="shared" ref="AN8:AN19" si="9">IFERROR(MID($B8,FIND(", ",$B8,FIND(", ",$B8)+1)+2,FIND(", ",$B8,FIND(", ",$B8,FIND(", ",$B8)+1)+1)-FIND(", ",$B8,FIND(", ",$B8)+1)-2),"")</f>
        <v/>
      </c>
      <c r="AO8" s="406" t="str">
        <f>IFERROR(INDEX(V!$R:$R,MATCH(AP8,V!$L:$L,0)),"")</f>
        <v/>
      </c>
      <c r="AP8" s="407" t="str">
        <f t="shared" ref="AP8:AP19" si="10">IFERROR(MID($B8,FIND(", ",$B8,FIND(", ",$B8,FIND(", ",$B8)+1)+1)+2,30000),"")</f>
        <v/>
      </c>
    </row>
    <row r="9" spans="1:42" x14ac:dyDescent="0.2">
      <c r="A9" s="614">
        <v>3</v>
      </c>
      <c r="B9" s="479" t="s">
        <v>278</v>
      </c>
      <c r="C9" s="615">
        <v>7</v>
      </c>
      <c r="D9" s="616" t="s">
        <v>363</v>
      </c>
      <c r="E9" s="617">
        <v>13</v>
      </c>
      <c r="F9" s="618" t="str">
        <f>B8</f>
        <v>Ivar Viljaste, Sirje Viljaste</v>
      </c>
      <c r="G9" s="615">
        <v>13</v>
      </c>
      <c r="H9" s="616" t="s">
        <v>363</v>
      </c>
      <c r="I9" s="617">
        <v>6</v>
      </c>
      <c r="J9" s="618" t="str">
        <f>B14</f>
        <v>Matti Vinni, Vladimir Ogneštšikov</v>
      </c>
      <c r="K9" s="615">
        <v>13</v>
      </c>
      <c r="L9" s="616" t="s">
        <v>363</v>
      </c>
      <c r="M9" s="617">
        <v>11</v>
      </c>
      <c r="N9" s="618" t="str">
        <f>B11</f>
        <v>Karla Purgats, Lemmit Toomra</v>
      </c>
      <c r="O9" s="615">
        <v>13</v>
      </c>
      <c r="P9" s="616" t="s">
        <v>363</v>
      </c>
      <c r="Q9" s="617">
        <v>6</v>
      </c>
      <c r="R9" s="618" t="str">
        <f>B13</f>
        <v>Jaan Sepp, Oskar Sepp</v>
      </c>
      <c r="S9" s="615">
        <v>13</v>
      </c>
      <c r="T9" s="616" t="s">
        <v>363</v>
      </c>
      <c r="U9" s="617">
        <v>6</v>
      </c>
      <c r="V9" s="618" t="str">
        <f>B10</f>
        <v>Tõnu Piik, Ülo Piik</v>
      </c>
      <c r="W9" s="619">
        <f t="shared" si="0"/>
        <v>4</v>
      </c>
      <c r="X9" s="620"/>
      <c r="Y9" s="615">
        <f t="shared" si="1"/>
        <v>59</v>
      </c>
      <c r="Z9" s="616" t="s">
        <v>363</v>
      </c>
      <c r="AA9" s="621">
        <f t="shared" si="2"/>
        <v>42</v>
      </c>
      <c r="AB9" s="622">
        <f t="shared" si="3"/>
        <v>17</v>
      </c>
      <c r="AD9" s="405">
        <f t="shared" si="4"/>
        <v>365</v>
      </c>
      <c r="AE9" s="406">
        <f>IFERROR(INDEX(V!$R:$R,MATCH(AF9,V!$L:$L,0)),"")</f>
        <v>187</v>
      </c>
      <c r="AF9" s="407" t="str">
        <f t="shared" si="5"/>
        <v>Kenneth Muusikus</v>
      </c>
      <c r="AG9" s="406">
        <f>IFERROR(INDEX(V!$R:$R,MATCH(AH9,V!$L:$L,0)),"")</f>
        <v>178</v>
      </c>
      <c r="AH9" s="407" t="str">
        <f t="shared" si="6"/>
        <v>Mait Metsla</v>
      </c>
      <c r="AI9" s="406" t="str">
        <f>IFERROR(INDEX(V!$R:$R,MATCH(AJ9,V!$L:$L,0)),"")</f>
        <v/>
      </c>
      <c r="AJ9" s="407" t="str">
        <f t="shared" si="7"/>
        <v/>
      </c>
      <c r="AK9" s="406" t="str">
        <f>IFERROR(INDEX(V!$R:$R,MATCH(AL9,V!$L:$L,0)),"")</f>
        <v/>
      </c>
      <c r="AL9" s="407" t="str">
        <f t="shared" si="8"/>
        <v/>
      </c>
      <c r="AM9" s="406" t="str">
        <f>IFERROR(INDEX(V!$R:$R,MATCH(AN9,V!$L:$L,0)),"")</f>
        <v/>
      </c>
      <c r="AN9" s="407" t="str">
        <f t="shared" si="9"/>
        <v/>
      </c>
      <c r="AO9" s="406" t="str">
        <f>IFERROR(INDEX(V!$R:$R,MATCH(AP9,V!$L:$L,0)),"")</f>
        <v/>
      </c>
      <c r="AP9" s="407" t="str">
        <f t="shared" si="10"/>
        <v/>
      </c>
    </row>
    <row r="10" spans="1:42" x14ac:dyDescent="0.2">
      <c r="A10" s="614">
        <v>4</v>
      </c>
      <c r="B10" s="479" t="s">
        <v>431</v>
      </c>
      <c r="C10" s="615">
        <v>13</v>
      </c>
      <c r="D10" s="616" t="s">
        <v>363</v>
      </c>
      <c r="E10" s="617">
        <v>4</v>
      </c>
      <c r="F10" s="618" t="str">
        <f>B19</f>
        <v>Enn Tokman, Tarmo Bombe</v>
      </c>
      <c r="G10" s="615">
        <v>13</v>
      </c>
      <c r="H10" s="616" t="s">
        <v>363</v>
      </c>
      <c r="I10" s="617">
        <v>7</v>
      </c>
      <c r="J10" s="618" t="str">
        <f>B15</f>
        <v>Kaspar Mänd, Urmas Randlaine</v>
      </c>
      <c r="K10" s="615">
        <v>13</v>
      </c>
      <c r="L10" s="616" t="s">
        <v>363</v>
      </c>
      <c r="M10" s="617">
        <v>8</v>
      </c>
      <c r="N10" s="618" t="str">
        <f>B13</f>
        <v>Jaan Sepp, Oskar Sepp</v>
      </c>
      <c r="O10" s="615">
        <v>4</v>
      </c>
      <c r="P10" s="616" t="s">
        <v>363</v>
      </c>
      <c r="Q10" s="617">
        <v>13</v>
      </c>
      <c r="R10" s="618" t="str">
        <f>B8</f>
        <v>Ivar Viljaste, Sirje Viljaste</v>
      </c>
      <c r="S10" s="615">
        <v>6</v>
      </c>
      <c r="T10" s="616" t="s">
        <v>363</v>
      </c>
      <c r="U10" s="617">
        <v>13</v>
      </c>
      <c r="V10" s="618" t="str">
        <f>B9</f>
        <v>Kenneth Muusikus, Mait Metsla</v>
      </c>
      <c r="W10" s="1116">
        <f t="shared" si="0"/>
        <v>3</v>
      </c>
      <c r="X10" s="620"/>
      <c r="Y10" s="615">
        <f t="shared" si="1"/>
        <v>49</v>
      </c>
      <c r="Z10" s="616" t="s">
        <v>363</v>
      </c>
      <c r="AA10" s="621">
        <f t="shared" si="2"/>
        <v>45</v>
      </c>
      <c r="AB10" s="622">
        <f t="shared" si="3"/>
        <v>4</v>
      </c>
      <c r="AD10" s="405">
        <f t="shared" si="4"/>
        <v>245</v>
      </c>
      <c r="AE10" s="406">
        <f>IFERROR(INDEX(V!$R:$R,MATCH(AF10,V!$L:$L,0)),"")</f>
        <v>133.5</v>
      </c>
      <c r="AF10" s="407" t="str">
        <f t="shared" si="5"/>
        <v>Tõnu Piik</v>
      </c>
      <c r="AG10" s="406">
        <f>IFERROR(INDEX(V!$R:$R,MATCH(AH10,V!$L:$L,0)),"")</f>
        <v>111.5</v>
      </c>
      <c r="AH10" s="407" t="str">
        <f t="shared" si="6"/>
        <v>Ülo Piik</v>
      </c>
      <c r="AI10" s="406" t="str">
        <f>IFERROR(INDEX(V!$R:$R,MATCH(AJ10,V!$L:$L,0)),"")</f>
        <v/>
      </c>
      <c r="AJ10" s="407" t="str">
        <f t="shared" si="7"/>
        <v/>
      </c>
      <c r="AK10" s="406" t="str">
        <f>IFERROR(INDEX(V!$R:$R,MATCH(AL10,V!$L:$L,0)),"")</f>
        <v/>
      </c>
      <c r="AL10" s="407" t="str">
        <f t="shared" si="8"/>
        <v/>
      </c>
      <c r="AM10" s="406" t="str">
        <f>IFERROR(INDEX(V!$R:$R,MATCH(AN10,V!$L:$L,0)),"")</f>
        <v/>
      </c>
      <c r="AN10" s="407" t="str">
        <f t="shared" si="9"/>
        <v/>
      </c>
      <c r="AO10" s="406" t="str">
        <f>IFERROR(INDEX(V!$R:$R,MATCH(AP10,V!$L:$L,0)),"")</f>
        <v/>
      </c>
      <c r="AP10" s="407" t="str">
        <f t="shared" si="10"/>
        <v/>
      </c>
    </row>
    <row r="11" spans="1:42" x14ac:dyDescent="0.2">
      <c r="A11" s="614">
        <v>5</v>
      </c>
      <c r="B11" s="542" t="s">
        <v>274</v>
      </c>
      <c r="C11" s="615">
        <v>13</v>
      </c>
      <c r="D11" s="616" t="s">
        <v>363</v>
      </c>
      <c r="E11" s="617">
        <v>7</v>
      </c>
      <c r="F11" s="618" t="s">
        <v>372</v>
      </c>
      <c r="G11" s="615">
        <v>5</v>
      </c>
      <c r="H11" s="616" t="s">
        <v>363</v>
      </c>
      <c r="I11" s="617">
        <v>13</v>
      </c>
      <c r="J11" s="618" t="str">
        <f>B8</f>
        <v>Ivar Viljaste, Sirje Viljaste</v>
      </c>
      <c r="K11" s="615">
        <v>11</v>
      </c>
      <c r="L11" s="616" t="s">
        <v>363</v>
      </c>
      <c r="M11" s="617">
        <v>13</v>
      </c>
      <c r="N11" s="618" t="str">
        <f>B9</f>
        <v>Kenneth Muusikus, Mait Metsla</v>
      </c>
      <c r="O11" s="615">
        <v>13</v>
      </c>
      <c r="P11" s="616" t="s">
        <v>363</v>
      </c>
      <c r="Q11" s="617">
        <v>6</v>
      </c>
      <c r="R11" s="618" t="str">
        <f>B16</f>
        <v>Ljudmila Varendi, Viktor Švarõgin</v>
      </c>
      <c r="S11" s="615">
        <v>13</v>
      </c>
      <c r="T11" s="616" t="s">
        <v>363</v>
      </c>
      <c r="U11" s="617">
        <v>12</v>
      </c>
      <c r="V11" s="618" t="str">
        <f>B14</f>
        <v>Matti Vinni, Vladimir Ogneštšikov</v>
      </c>
      <c r="W11" s="1116">
        <f t="shared" si="0"/>
        <v>3</v>
      </c>
      <c r="X11" s="620"/>
      <c r="Y11" s="615">
        <f t="shared" si="1"/>
        <v>55</v>
      </c>
      <c r="Z11" s="616" t="s">
        <v>363</v>
      </c>
      <c r="AA11" s="683">
        <f t="shared" si="2"/>
        <v>51</v>
      </c>
      <c r="AB11" s="622">
        <f t="shared" si="3"/>
        <v>4</v>
      </c>
      <c r="AD11" s="405">
        <f t="shared" si="4"/>
        <v>276</v>
      </c>
      <c r="AE11" s="406">
        <f>IFERROR(INDEX(V!$R:$R,MATCH(AF11,V!$L:$L,0)),"")</f>
        <v>150.5</v>
      </c>
      <c r="AF11" s="407" t="str">
        <f t="shared" si="5"/>
        <v>Karla Purgats</v>
      </c>
      <c r="AG11" s="406">
        <f>IFERROR(INDEX(V!$R:$R,MATCH(AH11,V!$L:$L,0)),"")</f>
        <v>125.5</v>
      </c>
      <c r="AH11" s="407" t="str">
        <f t="shared" si="6"/>
        <v>Lemmit Toomra</v>
      </c>
      <c r="AI11" s="406" t="str">
        <f>IFERROR(INDEX(V!$R:$R,MATCH(AJ11,V!$L:$L,0)),"")</f>
        <v/>
      </c>
      <c r="AJ11" s="407" t="str">
        <f t="shared" si="7"/>
        <v/>
      </c>
      <c r="AK11" s="406" t="str">
        <f>IFERROR(INDEX(V!$R:$R,MATCH(AL11,V!$L:$L,0)),"")</f>
        <v/>
      </c>
      <c r="AL11" s="407" t="str">
        <f t="shared" si="8"/>
        <v/>
      </c>
      <c r="AM11" s="406" t="str">
        <f>IFERROR(INDEX(V!$R:$R,MATCH(AN11,V!$L:$L,0)),"")</f>
        <v/>
      </c>
      <c r="AN11" s="407" t="str">
        <f t="shared" si="9"/>
        <v/>
      </c>
      <c r="AO11" s="406" t="str">
        <f>IFERROR(INDEX(V!$R:$R,MATCH(AP11,V!$L:$L,0)),"")</f>
        <v/>
      </c>
      <c r="AP11" s="407" t="str">
        <f t="shared" si="10"/>
        <v/>
      </c>
    </row>
    <row r="12" spans="1:42" x14ac:dyDescent="0.2">
      <c r="A12" s="614">
        <v>6</v>
      </c>
      <c r="B12" s="479" t="s">
        <v>272</v>
      </c>
      <c r="C12" s="615">
        <v>7</v>
      </c>
      <c r="D12" s="616" t="s">
        <v>363</v>
      </c>
      <c r="E12" s="617">
        <v>13</v>
      </c>
      <c r="F12" s="618" t="str">
        <f>B7</f>
        <v>Andres Veski, Svetlana Veski</v>
      </c>
      <c r="G12" s="615">
        <v>4</v>
      </c>
      <c r="H12" s="616" t="s">
        <v>363</v>
      </c>
      <c r="I12" s="617">
        <v>13</v>
      </c>
      <c r="J12" s="618" t="str">
        <f>B18</f>
        <v>Sander Rose, Tõnu Kapper</v>
      </c>
      <c r="K12" s="615">
        <v>13</v>
      </c>
      <c r="L12" s="616" t="s">
        <v>363</v>
      </c>
      <c r="M12" s="617">
        <v>7</v>
      </c>
      <c r="N12" s="618" t="s">
        <v>372</v>
      </c>
      <c r="O12" s="615">
        <v>13</v>
      </c>
      <c r="P12" s="616" t="s">
        <v>363</v>
      </c>
      <c r="Q12" s="617">
        <v>5</v>
      </c>
      <c r="R12" s="618" t="str">
        <f>B17</f>
        <v>Jaan Saar, Klavdia Piik, Liidia Põllu</v>
      </c>
      <c r="S12" s="615">
        <v>13</v>
      </c>
      <c r="T12" s="616" t="s">
        <v>363</v>
      </c>
      <c r="U12" s="617">
        <v>9</v>
      </c>
      <c r="V12" s="618" t="str">
        <f>B19</f>
        <v>Enn Tokman, Tarmo Bombe</v>
      </c>
      <c r="W12" s="1116">
        <f t="shared" si="0"/>
        <v>3</v>
      </c>
      <c r="X12" s="620"/>
      <c r="Y12" s="615">
        <f t="shared" si="1"/>
        <v>50</v>
      </c>
      <c r="Z12" s="616" t="s">
        <v>363</v>
      </c>
      <c r="AA12" s="621">
        <f t="shared" si="2"/>
        <v>47</v>
      </c>
      <c r="AB12" s="622">
        <f t="shared" si="3"/>
        <v>3</v>
      </c>
      <c r="AD12" s="405">
        <f t="shared" si="4"/>
        <v>272</v>
      </c>
      <c r="AE12" s="406">
        <f>IFERROR(INDEX(V!$R:$R,MATCH(AF12,V!$L:$L,0)),"")</f>
        <v>148</v>
      </c>
      <c r="AF12" s="407" t="str">
        <f t="shared" si="5"/>
        <v>Andrei Grintšak</v>
      </c>
      <c r="AG12" s="406">
        <f>IFERROR(INDEX(V!$R:$R,MATCH(AH12,V!$L:$L,0)),"")</f>
        <v>124</v>
      </c>
      <c r="AH12" s="407" t="str">
        <f t="shared" si="6"/>
        <v>Boriss Klubov</v>
      </c>
      <c r="AI12" s="406" t="str">
        <f>IFERROR(INDEX(V!$R:$R,MATCH(AJ12,V!$L:$L,0)),"")</f>
        <v/>
      </c>
      <c r="AJ12" s="407" t="str">
        <f t="shared" si="7"/>
        <v/>
      </c>
      <c r="AK12" s="406" t="str">
        <f>IFERROR(INDEX(V!$R:$R,MATCH(AL12,V!$L:$L,0)),"")</f>
        <v/>
      </c>
      <c r="AL12" s="407" t="str">
        <f t="shared" si="8"/>
        <v/>
      </c>
      <c r="AM12" s="406" t="str">
        <f>IFERROR(INDEX(V!$R:$R,MATCH(AN12,V!$L:$L,0)),"")</f>
        <v/>
      </c>
      <c r="AN12" s="407" t="str">
        <f t="shared" si="9"/>
        <v/>
      </c>
      <c r="AO12" s="406" t="str">
        <f>IFERROR(INDEX(V!$R:$R,MATCH(AP12,V!$L:$L,0)),"")</f>
        <v/>
      </c>
      <c r="AP12" s="407" t="str">
        <f t="shared" si="10"/>
        <v/>
      </c>
    </row>
    <row r="13" spans="1:42" x14ac:dyDescent="0.2">
      <c r="A13" s="614">
        <v>7</v>
      </c>
      <c r="B13" s="623" t="s">
        <v>276</v>
      </c>
      <c r="C13" s="615">
        <v>13</v>
      </c>
      <c r="D13" s="616" t="s">
        <v>363</v>
      </c>
      <c r="E13" s="617">
        <v>7</v>
      </c>
      <c r="F13" s="618" t="str">
        <f>B18</f>
        <v>Sander Rose, Tõnu Kapper</v>
      </c>
      <c r="G13" s="615">
        <v>13</v>
      </c>
      <c r="H13" s="616" t="s">
        <v>363</v>
      </c>
      <c r="I13" s="617">
        <v>5</v>
      </c>
      <c r="J13" s="618" t="str">
        <f>B7</f>
        <v>Andres Veski, Svetlana Veski</v>
      </c>
      <c r="K13" s="615">
        <v>8</v>
      </c>
      <c r="L13" s="616" t="s">
        <v>363</v>
      </c>
      <c r="M13" s="617">
        <v>13</v>
      </c>
      <c r="N13" s="618" t="str">
        <f>B10</f>
        <v>Tõnu Piik, Ülo Piik</v>
      </c>
      <c r="O13" s="615">
        <v>6</v>
      </c>
      <c r="P13" s="616" t="s">
        <v>363</v>
      </c>
      <c r="Q13" s="617">
        <v>13</v>
      </c>
      <c r="R13" s="618" t="str">
        <f>B9</f>
        <v>Kenneth Muusikus, Mait Metsla</v>
      </c>
      <c r="S13" s="615">
        <v>13</v>
      </c>
      <c r="T13" s="616" t="s">
        <v>363</v>
      </c>
      <c r="U13" s="617">
        <v>10</v>
      </c>
      <c r="V13" s="618" t="str">
        <f>B15</f>
        <v>Kaspar Mänd, Urmas Randlaine</v>
      </c>
      <c r="W13" s="1116">
        <f t="shared" si="0"/>
        <v>3</v>
      </c>
      <c r="X13" s="620"/>
      <c r="Y13" s="615">
        <f t="shared" si="1"/>
        <v>53</v>
      </c>
      <c r="Z13" s="616" t="s">
        <v>363</v>
      </c>
      <c r="AA13" s="621">
        <f t="shared" si="2"/>
        <v>48</v>
      </c>
      <c r="AB13" s="622">
        <f t="shared" si="3"/>
        <v>5</v>
      </c>
      <c r="AD13" s="405">
        <f t="shared" si="4"/>
        <v>356</v>
      </c>
      <c r="AE13" s="406">
        <f>IFERROR(INDEX(V!$R:$R,MATCH(AF13,V!$L:$L,0)),"")</f>
        <v>178</v>
      </c>
      <c r="AF13" s="407" t="str">
        <f t="shared" si="5"/>
        <v>Jaan Sepp</v>
      </c>
      <c r="AG13" s="406">
        <f>IFERROR(INDEX(V!$R:$R,MATCH(AH13,V!$L:$L,0)),"")</f>
        <v>178</v>
      </c>
      <c r="AH13" s="407" t="str">
        <f t="shared" si="6"/>
        <v>Oskar Sepp</v>
      </c>
      <c r="AI13" s="406" t="str">
        <f>IFERROR(INDEX(V!$R:$R,MATCH(AJ13,V!$L:$L,0)),"")</f>
        <v/>
      </c>
      <c r="AJ13" s="407" t="str">
        <f t="shared" si="7"/>
        <v/>
      </c>
      <c r="AK13" s="406" t="str">
        <f>IFERROR(INDEX(V!$R:$R,MATCH(AL13,V!$L:$L,0)),"")</f>
        <v/>
      </c>
      <c r="AL13" s="407" t="str">
        <f t="shared" si="8"/>
        <v/>
      </c>
      <c r="AM13" s="406" t="str">
        <f>IFERROR(INDEX(V!$R:$R,MATCH(AN13,V!$L:$L,0)),"")</f>
        <v/>
      </c>
      <c r="AN13" s="407" t="str">
        <f t="shared" si="9"/>
        <v/>
      </c>
      <c r="AO13" s="406" t="str">
        <f>IFERROR(INDEX(V!$R:$R,MATCH(AP13,V!$L:$L,0)),"")</f>
        <v/>
      </c>
      <c r="AP13" s="407" t="str">
        <f t="shared" si="10"/>
        <v/>
      </c>
    </row>
    <row r="14" spans="1:42" x14ac:dyDescent="0.2">
      <c r="A14" s="614">
        <v>8</v>
      </c>
      <c r="B14" s="623" t="s">
        <v>282</v>
      </c>
      <c r="C14" s="615">
        <v>13</v>
      </c>
      <c r="D14" s="616" t="s">
        <v>363</v>
      </c>
      <c r="E14" s="617">
        <v>11</v>
      </c>
      <c r="F14" s="618" t="str">
        <f>B16</f>
        <v>Ljudmila Varendi, Viktor Švarõgin</v>
      </c>
      <c r="G14" s="615">
        <v>6</v>
      </c>
      <c r="H14" s="616" t="s">
        <v>363</v>
      </c>
      <c r="I14" s="617">
        <v>13</v>
      </c>
      <c r="J14" s="618" t="str">
        <f>B9</f>
        <v>Kenneth Muusikus, Mait Metsla</v>
      </c>
      <c r="K14" s="615">
        <v>13</v>
      </c>
      <c r="L14" s="616" t="s">
        <v>363</v>
      </c>
      <c r="M14" s="617">
        <v>5</v>
      </c>
      <c r="N14" s="618" t="str">
        <f>B19</f>
        <v>Enn Tokman, Tarmo Bombe</v>
      </c>
      <c r="O14" s="615">
        <v>13</v>
      </c>
      <c r="P14" s="616" t="s">
        <v>363</v>
      </c>
      <c r="Q14" s="617">
        <v>12</v>
      </c>
      <c r="R14" s="618" t="str">
        <f>B18</f>
        <v>Sander Rose, Tõnu Kapper</v>
      </c>
      <c r="S14" s="615">
        <v>12</v>
      </c>
      <c r="T14" s="616" t="s">
        <v>363</v>
      </c>
      <c r="U14" s="617">
        <v>13</v>
      </c>
      <c r="V14" s="618" t="str">
        <f>B11</f>
        <v>Karla Purgats, Lemmit Toomra</v>
      </c>
      <c r="W14" s="1116">
        <f t="shared" si="0"/>
        <v>3</v>
      </c>
      <c r="X14" s="620"/>
      <c r="Y14" s="615">
        <f t="shared" si="1"/>
        <v>57</v>
      </c>
      <c r="Z14" s="616" t="s">
        <v>363</v>
      </c>
      <c r="AA14" s="621">
        <f t="shared" si="2"/>
        <v>54</v>
      </c>
      <c r="AB14" s="622">
        <f t="shared" si="3"/>
        <v>3</v>
      </c>
      <c r="AD14" s="405">
        <f t="shared" si="4"/>
        <v>320</v>
      </c>
      <c r="AE14" s="406">
        <f>IFERROR(INDEX(V!$R:$R,MATCH(AF14,V!$L:$L,0)),"")</f>
        <v>168</v>
      </c>
      <c r="AF14" s="407" t="str">
        <f t="shared" si="5"/>
        <v>Matti Vinni</v>
      </c>
      <c r="AG14" s="406">
        <f>IFERROR(INDEX(V!$R:$R,MATCH(AH14,V!$L:$L,0)),"")</f>
        <v>152</v>
      </c>
      <c r="AH14" s="407" t="str">
        <f t="shared" si="6"/>
        <v>Vladimir Ogneštšikov</v>
      </c>
      <c r="AI14" s="406" t="str">
        <f>IFERROR(INDEX(V!$R:$R,MATCH(AJ14,V!$L:$L,0)),"")</f>
        <v/>
      </c>
      <c r="AJ14" s="407" t="str">
        <f t="shared" si="7"/>
        <v/>
      </c>
      <c r="AK14" s="406" t="str">
        <f>IFERROR(INDEX(V!$R:$R,MATCH(AL14,V!$L:$L,0)),"")</f>
        <v/>
      </c>
      <c r="AL14" s="407" t="str">
        <f t="shared" si="8"/>
        <v/>
      </c>
      <c r="AM14" s="406" t="str">
        <f>IFERROR(INDEX(V!$R:$R,MATCH(AN14,V!$L:$L,0)),"")</f>
        <v/>
      </c>
      <c r="AN14" s="407" t="str">
        <f t="shared" si="9"/>
        <v/>
      </c>
      <c r="AO14" s="406" t="str">
        <f>IFERROR(INDEX(V!$R:$R,MATCH(AP14,V!$L:$L,0)),"")</f>
        <v/>
      </c>
      <c r="AP14" s="407" t="str">
        <f t="shared" si="10"/>
        <v/>
      </c>
    </row>
    <row r="15" spans="1:42" x14ac:dyDescent="0.2">
      <c r="A15" s="614">
        <v>9</v>
      </c>
      <c r="B15" s="479" t="s">
        <v>270</v>
      </c>
      <c r="C15" s="615">
        <v>13</v>
      </c>
      <c r="D15" s="616" t="s">
        <v>363</v>
      </c>
      <c r="E15" s="617">
        <v>4</v>
      </c>
      <c r="F15" s="618" t="str">
        <f>B17</f>
        <v>Jaan Saar, Klavdia Piik, Liidia Põllu</v>
      </c>
      <c r="G15" s="615">
        <v>7</v>
      </c>
      <c r="H15" s="616" t="s">
        <v>363</v>
      </c>
      <c r="I15" s="617">
        <v>13</v>
      </c>
      <c r="J15" s="618" t="str">
        <f>B10</f>
        <v>Tõnu Piik, Ülo Piik</v>
      </c>
      <c r="K15" s="615">
        <v>13</v>
      </c>
      <c r="L15" s="616" t="s">
        <v>363</v>
      </c>
      <c r="M15" s="617">
        <v>12</v>
      </c>
      <c r="N15" s="618" t="str">
        <f>B18</f>
        <v>Sander Rose, Tõnu Kapper</v>
      </c>
      <c r="O15" s="615">
        <v>9</v>
      </c>
      <c r="P15" s="616" t="s">
        <v>363</v>
      </c>
      <c r="Q15" s="617">
        <v>13</v>
      </c>
      <c r="R15" s="618" t="str">
        <f>B7</f>
        <v>Andres Veski, Svetlana Veski</v>
      </c>
      <c r="S15" s="615">
        <v>10</v>
      </c>
      <c r="T15" s="616" t="s">
        <v>363</v>
      </c>
      <c r="U15" s="617">
        <v>13</v>
      </c>
      <c r="V15" s="618" t="str">
        <f>B13</f>
        <v>Jaan Sepp, Oskar Sepp</v>
      </c>
      <c r="W15" s="619">
        <f t="shared" si="0"/>
        <v>2</v>
      </c>
      <c r="X15" s="620"/>
      <c r="Y15" s="615">
        <f t="shared" si="1"/>
        <v>52</v>
      </c>
      <c r="Z15" s="616" t="s">
        <v>363</v>
      </c>
      <c r="AA15" s="621">
        <f t="shared" si="2"/>
        <v>55</v>
      </c>
      <c r="AB15" s="622">
        <f t="shared" si="3"/>
        <v>-3</v>
      </c>
      <c r="AD15" s="405">
        <f t="shared" si="4"/>
        <v>302</v>
      </c>
      <c r="AE15" s="406">
        <f>IFERROR(INDEX(V!$R:$R,MATCH(AF15,V!$L:$L,0)),"")</f>
        <v>164</v>
      </c>
      <c r="AF15" s="407" t="str">
        <f t="shared" si="5"/>
        <v>Kaspar Mänd</v>
      </c>
      <c r="AG15" s="406">
        <f>IFERROR(INDEX(V!$R:$R,MATCH(AH15,V!$L:$L,0)),"")</f>
        <v>138</v>
      </c>
      <c r="AH15" s="407" t="str">
        <f t="shared" si="6"/>
        <v>Urmas Randlaine</v>
      </c>
      <c r="AI15" s="406" t="str">
        <f>IFERROR(INDEX(V!$R:$R,MATCH(AJ15,V!$L:$L,0)),"")</f>
        <v/>
      </c>
      <c r="AJ15" s="407" t="str">
        <f t="shared" si="7"/>
        <v/>
      </c>
      <c r="AK15" s="406" t="str">
        <f>IFERROR(INDEX(V!$R:$R,MATCH(AL15,V!$L:$L,0)),"")</f>
        <v/>
      </c>
      <c r="AL15" s="407" t="str">
        <f t="shared" si="8"/>
        <v/>
      </c>
      <c r="AM15" s="406" t="str">
        <f>IFERROR(INDEX(V!$R:$R,MATCH(AN15,V!$L:$L,0)),"")</f>
        <v/>
      </c>
      <c r="AN15" s="407" t="str">
        <f t="shared" si="9"/>
        <v/>
      </c>
      <c r="AO15" s="406" t="str">
        <f>IFERROR(INDEX(V!$R:$R,MATCH(AP15,V!$L:$L,0)),"")</f>
        <v/>
      </c>
      <c r="AP15" s="407" t="str">
        <f t="shared" si="10"/>
        <v/>
      </c>
    </row>
    <row r="16" spans="1:42" x14ac:dyDescent="0.2">
      <c r="A16" s="614">
        <v>10</v>
      </c>
      <c r="B16" s="542" t="s">
        <v>309</v>
      </c>
      <c r="C16" s="615">
        <v>11</v>
      </c>
      <c r="D16" s="616" t="s">
        <v>363</v>
      </c>
      <c r="E16" s="617">
        <v>13</v>
      </c>
      <c r="F16" s="618" t="str">
        <f>B14</f>
        <v>Matti Vinni, Vladimir Ogneštšikov</v>
      </c>
      <c r="G16" s="615">
        <v>13</v>
      </c>
      <c r="H16" s="616" t="s">
        <v>363</v>
      </c>
      <c r="I16" s="617">
        <v>7</v>
      </c>
      <c r="J16" s="618" t="str">
        <f>B19</f>
        <v>Enn Tokman, Tarmo Bombe</v>
      </c>
      <c r="K16" s="615">
        <v>5</v>
      </c>
      <c r="L16" s="616" t="s">
        <v>363</v>
      </c>
      <c r="M16" s="617">
        <v>13</v>
      </c>
      <c r="N16" s="618" t="str">
        <f>B8</f>
        <v>Ivar Viljaste, Sirje Viljaste</v>
      </c>
      <c r="O16" s="615">
        <v>6</v>
      </c>
      <c r="P16" s="616" t="s">
        <v>363</v>
      </c>
      <c r="Q16" s="617">
        <v>13</v>
      </c>
      <c r="R16" s="618" t="str">
        <f>B11</f>
        <v>Karla Purgats, Lemmit Toomra</v>
      </c>
      <c r="S16" s="615">
        <v>13</v>
      </c>
      <c r="T16" s="616" t="s">
        <v>363</v>
      </c>
      <c r="U16" s="617">
        <v>7</v>
      </c>
      <c r="V16" s="618" t="s">
        <v>372</v>
      </c>
      <c r="W16" s="619">
        <f t="shared" si="0"/>
        <v>2</v>
      </c>
      <c r="X16" s="620"/>
      <c r="Y16" s="615">
        <f t="shared" si="1"/>
        <v>48</v>
      </c>
      <c r="Z16" s="616" t="s">
        <v>363</v>
      </c>
      <c r="AA16" s="621">
        <f t="shared" si="2"/>
        <v>53</v>
      </c>
      <c r="AB16" s="622">
        <f t="shared" si="3"/>
        <v>-5</v>
      </c>
      <c r="AD16" s="405">
        <f t="shared" si="4"/>
        <v>224</v>
      </c>
      <c r="AE16" s="406">
        <f>IFERROR(INDEX(V!$R:$R,MATCH(AF16,V!$L:$L,0)),"")</f>
        <v>112</v>
      </c>
      <c r="AF16" s="407" t="str">
        <f t="shared" si="5"/>
        <v>Ljudmila Varendi</v>
      </c>
      <c r="AG16" s="406">
        <f>IFERROR(INDEX(V!$R:$R,MATCH(AH16,V!$L:$L,0)),"")</f>
        <v>112</v>
      </c>
      <c r="AH16" s="407" t="str">
        <f t="shared" si="6"/>
        <v>Viktor Švarõgin</v>
      </c>
      <c r="AI16" s="406" t="str">
        <f>IFERROR(INDEX(V!$R:$R,MATCH(AJ16,V!$L:$L,0)),"")</f>
        <v/>
      </c>
      <c r="AJ16" s="407" t="str">
        <f t="shared" si="7"/>
        <v/>
      </c>
      <c r="AK16" s="406" t="str">
        <f>IFERROR(INDEX(V!$R:$R,MATCH(AL16,V!$L:$L,0)),"")</f>
        <v/>
      </c>
      <c r="AL16" s="407" t="str">
        <f t="shared" si="8"/>
        <v/>
      </c>
      <c r="AM16" s="406" t="str">
        <f>IFERROR(INDEX(V!$R:$R,MATCH(AN16,V!$L:$L,0)),"")</f>
        <v/>
      </c>
      <c r="AN16" s="407" t="str">
        <f t="shared" si="9"/>
        <v/>
      </c>
      <c r="AO16" s="406" t="str">
        <f>IFERROR(INDEX(V!$R:$R,MATCH(AP16,V!$L:$L,0)),"")</f>
        <v/>
      </c>
      <c r="AP16" s="407" t="str">
        <f t="shared" si="10"/>
        <v/>
      </c>
    </row>
    <row r="17" spans="1:42" x14ac:dyDescent="0.2">
      <c r="A17" s="614">
        <v>11</v>
      </c>
      <c r="B17" s="623" t="s">
        <v>433</v>
      </c>
      <c r="C17" s="615">
        <v>4</v>
      </c>
      <c r="D17" s="616" t="s">
        <v>363</v>
      </c>
      <c r="E17" s="617">
        <v>13</v>
      </c>
      <c r="F17" s="618" t="str">
        <f>B15</f>
        <v>Kaspar Mänd, Urmas Randlaine</v>
      </c>
      <c r="G17" s="615">
        <v>13</v>
      </c>
      <c r="H17" s="616" t="s">
        <v>363</v>
      </c>
      <c r="I17" s="617">
        <v>7</v>
      </c>
      <c r="J17" s="618" t="s">
        <v>372</v>
      </c>
      <c r="K17" s="615">
        <v>1</v>
      </c>
      <c r="L17" s="616" t="s">
        <v>363</v>
      </c>
      <c r="M17" s="617">
        <v>13</v>
      </c>
      <c r="N17" s="618" t="str">
        <f>B7</f>
        <v>Andres Veski, Svetlana Veski</v>
      </c>
      <c r="O17" s="615">
        <v>5</v>
      </c>
      <c r="P17" s="616" t="s">
        <v>363</v>
      </c>
      <c r="Q17" s="617">
        <v>13</v>
      </c>
      <c r="R17" s="618" t="str">
        <f>B12</f>
        <v>Andrei Grintšak, Boriss Klubov</v>
      </c>
      <c r="S17" s="615">
        <v>13</v>
      </c>
      <c r="T17" s="616" t="s">
        <v>363</v>
      </c>
      <c r="U17" s="617">
        <v>6</v>
      </c>
      <c r="V17" s="618" t="str">
        <f>B18</f>
        <v>Sander Rose, Tõnu Kapper</v>
      </c>
      <c r="W17" s="619">
        <f t="shared" si="0"/>
        <v>2</v>
      </c>
      <c r="X17" s="620"/>
      <c r="Y17" s="615">
        <f t="shared" si="1"/>
        <v>36</v>
      </c>
      <c r="Z17" s="616" t="s">
        <v>363</v>
      </c>
      <c r="AA17" s="621">
        <f t="shared" si="2"/>
        <v>52</v>
      </c>
      <c r="AB17" s="622">
        <f t="shared" si="3"/>
        <v>-16</v>
      </c>
      <c r="AD17" s="405">
        <f t="shared" si="4"/>
        <v>217</v>
      </c>
      <c r="AE17" s="406">
        <f>IFERROR(INDEX(V!$R:$R,MATCH(AF17,V!$L:$L,0)),"")</f>
        <v>81</v>
      </c>
      <c r="AF17" s="407" t="str">
        <f t="shared" si="5"/>
        <v>Jaan Saar</v>
      </c>
      <c r="AG17" s="406" t="str">
        <f>IFERROR(INDEX(V!$R:$R,MATCH(AH17,V!$L:$L,0)),"")</f>
        <v/>
      </c>
      <c r="AH17" s="407" t="str">
        <f t="shared" si="6"/>
        <v>Klavdia Piik, Liidia Põllu</v>
      </c>
      <c r="AI17" s="406">
        <f>IFERROR(INDEX(V!$R:$R,MATCH(AJ17,V!$L:$L,0)),"")</f>
        <v>57</v>
      </c>
      <c r="AJ17" s="407" t="str">
        <f t="shared" si="7"/>
        <v>Klavdia Piik</v>
      </c>
      <c r="AK17" s="406">
        <f>IFERROR(INDEX(V!$R:$R,MATCH(AL17,V!$L:$L,0)),"")</f>
        <v>79</v>
      </c>
      <c r="AL17" s="407" t="str">
        <f t="shared" si="8"/>
        <v>Liidia Põllu</v>
      </c>
      <c r="AM17" s="406" t="str">
        <f>IFERROR(INDEX(V!$R:$R,MATCH(AN17,V!$L:$L,0)),"")</f>
        <v/>
      </c>
      <c r="AN17" s="407" t="str">
        <f t="shared" si="9"/>
        <v/>
      </c>
      <c r="AO17" s="406" t="str">
        <f>IFERROR(INDEX(V!$R:$R,MATCH(AP17,V!$L:$L,0)),"")</f>
        <v/>
      </c>
      <c r="AP17" s="407" t="str">
        <f t="shared" si="10"/>
        <v/>
      </c>
    </row>
    <row r="18" spans="1:42" x14ac:dyDescent="0.2">
      <c r="A18" s="614">
        <v>12</v>
      </c>
      <c r="B18" s="542" t="s">
        <v>442</v>
      </c>
      <c r="C18" s="615">
        <v>7</v>
      </c>
      <c r="D18" s="616" t="s">
        <v>363</v>
      </c>
      <c r="E18" s="617">
        <v>13</v>
      </c>
      <c r="F18" s="618" t="str">
        <f>B13</f>
        <v>Jaan Sepp, Oskar Sepp</v>
      </c>
      <c r="G18" s="615">
        <v>13</v>
      </c>
      <c r="H18" s="616" t="s">
        <v>363</v>
      </c>
      <c r="I18" s="617">
        <v>4</v>
      </c>
      <c r="J18" s="618" t="str">
        <f>B12</f>
        <v>Andrei Grintšak, Boriss Klubov</v>
      </c>
      <c r="K18" s="615">
        <v>12</v>
      </c>
      <c r="L18" s="616" t="s">
        <v>363</v>
      </c>
      <c r="M18" s="617">
        <v>13</v>
      </c>
      <c r="N18" s="618" t="str">
        <f>B15</f>
        <v>Kaspar Mänd, Urmas Randlaine</v>
      </c>
      <c r="O18" s="615">
        <v>12</v>
      </c>
      <c r="P18" s="616" t="s">
        <v>363</v>
      </c>
      <c r="Q18" s="617">
        <v>13</v>
      </c>
      <c r="R18" s="618" t="str">
        <f>B14</f>
        <v>Matti Vinni, Vladimir Ogneštšikov</v>
      </c>
      <c r="S18" s="615">
        <v>6</v>
      </c>
      <c r="T18" s="616" t="s">
        <v>363</v>
      </c>
      <c r="U18" s="617">
        <v>13</v>
      </c>
      <c r="V18" s="618" t="str">
        <f>B17</f>
        <v>Jaan Saar, Klavdia Piik, Liidia Põllu</v>
      </c>
      <c r="W18" s="1115">
        <f t="shared" si="0"/>
        <v>1</v>
      </c>
      <c r="X18" s="620"/>
      <c r="Y18" s="615">
        <f t="shared" si="1"/>
        <v>50</v>
      </c>
      <c r="Z18" s="616" t="s">
        <v>363</v>
      </c>
      <c r="AA18" s="621">
        <f t="shared" si="2"/>
        <v>56</v>
      </c>
      <c r="AB18" s="622">
        <f t="shared" si="3"/>
        <v>-6</v>
      </c>
      <c r="AD18" s="405">
        <f t="shared" si="4"/>
        <v>87</v>
      </c>
      <c r="AE18" s="406">
        <f>IFERROR(INDEX(V!$R:$R,MATCH(AF18,V!$L:$L,0)),"")</f>
        <v>30</v>
      </c>
      <c r="AF18" s="407" t="str">
        <f t="shared" si="5"/>
        <v>Sander Rose</v>
      </c>
      <c r="AG18" s="406">
        <f>IFERROR(INDEX(V!$R:$R,MATCH(AH18,V!$L:$L,0)),"")</f>
        <v>57</v>
      </c>
      <c r="AH18" s="407" t="str">
        <f t="shared" si="6"/>
        <v>Tõnu Kapper</v>
      </c>
      <c r="AI18" s="406" t="str">
        <f>IFERROR(INDEX(V!$R:$R,MATCH(AJ18,V!$L:$L,0)),"")</f>
        <v/>
      </c>
      <c r="AJ18" s="407" t="str">
        <f t="shared" si="7"/>
        <v/>
      </c>
      <c r="AK18" s="406" t="str">
        <f>IFERROR(INDEX(V!$R:$R,MATCH(AL18,V!$L:$L,0)),"")</f>
        <v/>
      </c>
      <c r="AL18" s="407" t="str">
        <f t="shared" si="8"/>
        <v/>
      </c>
      <c r="AM18" s="406" t="str">
        <f>IFERROR(INDEX(V!$R:$R,MATCH(AN18,V!$L:$L,0)),"")</f>
        <v/>
      </c>
      <c r="AN18" s="407" t="str">
        <f t="shared" si="9"/>
        <v/>
      </c>
      <c r="AO18" s="406" t="str">
        <f>IFERROR(INDEX(V!$R:$R,MATCH(AP18,V!$L:$L,0)),"")</f>
        <v/>
      </c>
      <c r="AP18" s="407" t="str">
        <f t="shared" si="10"/>
        <v/>
      </c>
    </row>
    <row r="19" spans="1:42" x14ac:dyDescent="0.2">
      <c r="A19" s="614">
        <v>13</v>
      </c>
      <c r="B19" s="623" t="s">
        <v>280</v>
      </c>
      <c r="C19" s="615">
        <v>4</v>
      </c>
      <c r="D19" s="616" t="s">
        <v>363</v>
      </c>
      <c r="E19" s="617">
        <v>13</v>
      </c>
      <c r="F19" s="618" t="str">
        <f>B10</f>
        <v>Tõnu Piik, Ülo Piik</v>
      </c>
      <c r="G19" s="615">
        <v>7</v>
      </c>
      <c r="H19" s="616" t="s">
        <v>363</v>
      </c>
      <c r="I19" s="617">
        <v>13</v>
      </c>
      <c r="J19" s="618" t="str">
        <f>B16</f>
        <v>Ljudmila Varendi, Viktor Švarõgin</v>
      </c>
      <c r="K19" s="615">
        <v>5</v>
      </c>
      <c r="L19" s="616" t="s">
        <v>363</v>
      </c>
      <c r="M19" s="617">
        <v>13</v>
      </c>
      <c r="N19" s="618" t="str">
        <f>B14</f>
        <v>Matti Vinni, Vladimir Ogneštšikov</v>
      </c>
      <c r="O19" s="615">
        <v>13</v>
      </c>
      <c r="P19" s="616" t="s">
        <v>363</v>
      </c>
      <c r="Q19" s="617">
        <v>7</v>
      </c>
      <c r="R19" s="618" t="s">
        <v>372</v>
      </c>
      <c r="S19" s="615">
        <v>9</v>
      </c>
      <c r="T19" s="616" t="s">
        <v>363</v>
      </c>
      <c r="U19" s="617">
        <v>13</v>
      </c>
      <c r="V19" s="618" t="str">
        <f>B12</f>
        <v>Andrei Grintšak, Boriss Klubov</v>
      </c>
      <c r="W19" s="1115">
        <f t="shared" si="0"/>
        <v>1</v>
      </c>
      <c r="X19" s="620"/>
      <c r="Y19" s="615">
        <f t="shared" si="1"/>
        <v>38</v>
      </c>
      <c r="Z19" s="616" t="s">
        <v>363</v>
      </c>
      <c r="AA19" s="621">
        <f t="shared" si="2"/>
        <v>59</v>
      </c>
      <c r="AB19" s="622">
        <f t="shared" si="3"/>
        <v>-21</v>
      </c>
      <c r="AD19" s="405">
        <f t="shared" si="4"/>
        <v>223</v>
      </c>
      <c r="AE19" s="406">
        <f>IFERROR(INDEX(V!$R:$R,MATCH(AF19,V!$L:$L,0)),"")</f>
        <v>118</v>
      </c>
      <c r="AF19" s="407" t="str">
        <f t="shared" si="5"/>
        <v>Enn Tokman</v>
      </c>
      <c r="AG19" s="406">
        <f>IFERROR(INDEX(V!$R:$R,MATCH(AH19,V!$L:$L,0)),"")</f>
        <v>105</v>
      </c>
      <c r="AH19" s="407" t="str">
        <f t="shared" si="6"/>
        <v>Tarmo Bombe</v>
      </c>
      <c r="AI19" s="406" t="str">
        <f>IFERROR(INDEX(V!$R:$R,MATCH(AJ19,V!$L:$L,0)),"")</f>
        <v/>
      </c>
      <c r="AJ19" s="407" t="str">
        <f t="shared" si="7"/>
        <v/>
      </c>
      <c r="AK19" s="406" t="str">
        <f>IFERROR(INDEX(V!$R:$R,MATCH(AL19,V!$L:$L,0)),"")</f>
        <v/>
      </c>
      <c r="AL19" s="407" t="str">
        <f t="shared" si="8"/>
        <v/>
      </c>
      <c r="AM19" s="406" t="str">
        <f>IFERROR(INDEX(V!$R:$R,MATCH(AN19,V!$L:$L,0)),"")</f>
        <v/>
      </c>
      <c r="AN19" s="407" t="str">
        <f t="shared" si="9"/>
        <v/>
      </c>
      <c r="AO19" s="406" t="str">
        <f>IFERROR(INDEX(V!$R:$R,MATCH(AP19,V!$L:$L,0)),"")</f>
        <v/>
      </c>
      <c r="AP19" s="407" t="str">
        <f t="shared" si="10"/>
        <v/>
      </c>
    </row>
    <row r="21" spans="1:42" x14ac:dyDescent="0.2">
      <c r="A21" s="703" t="s">
        <v>435</v>
      </c>
      <c r="B21" s="704"/>
      <c r="C21" s="704"/>
      <c r="D21" s="704"/>
      <c r="E21" s="704"/>
      <c r="F21" s="704"/>
      <c r="G21" s="704"/>
      <c r="H21" s="704"/>
      <c r="I21" s="704"/>
      <c r="J21" s="704"/>
      <c r="K21" s="704"/>
      <c r="L21" s="704"/>
      <c r="M21" s="704"/>
      <c r="N21" s="704"/>
      <c r="O21" s="704"/>
      <c r="P21" s="704"/>
      <c r="Q21" s="704"/>
      <c r="R21" s="704"/>
      <c r="S21" s="704"/>
      <c r="T21" s="704"/>
      <c r="U21" s="704"/>
      <c r="V21" s="704"/>
    </row>
    <row r="22" spans="1:42" x14ac:dyDescent="0.2">
      <c r="A22" s="704"/>
      <c r="B22" s="704"/>
      <c r="C22" s="704"/>
      <c r="D22" s="704"/>
      <c r="E22" s="704"/>
      <c r="F22" s="704"/>
      <c r="G22" s="704"/>
      <c r="H22" s="704"/>
      <c r="I22" s="704"/>
      <c r="J22" s="704"/>
      <c r="K22" s="704"/>
      <c r="L22" s="704"/>
      <c r="M22" s="704"/>
      <c r="N22" s="704"/>
      <c r="O22" s="704"/>
      <c r="P22" s="704"/>
      <c r="Q22" s="704"/>
      <c r="R22" s="704"/>
      <c r="S22" s="704"/>
      <c r="T22" s="704"/>
      <c r="U22" s="704"/>
      <c r="V22" s="704"/>
    </row>
    <row r="23" spans="1:42" x14ac:dyDescent="0.2">
      <c r="A23" s="676"/>
      <c r="B23" s="705"/>
      <c r="C23" s="706">
        <v>1</v>
      </c>
      <c r="D23" s="706"/>
      <c r="E23" s="706"/>
      <c r="F23" s="707">
        <v>3</v>
      </c>
      <c r="G23" s="706">
        <v>4</v>
      </c>
      <c r="H23" s="706"/>
      <c r="I23" s="706"/>
      <c r="J23" s="707">
        <v>5</v>
      </c>
      <c r="K23" s="708">
        <v>7</v>
      </c>
      <c r="L23" s="706"/>
      <c r="M23" s="709"/>
      <c r="N23" s="667" t="s">
        <v>169</v>
      </c>
      <c r="O23" s="704"/>
      <c r="P23" s="704"/>
      <c r="Q23" s="710" t="s">
        <v>102</v>
      </c>
      <c r="R23" s="704"/>
      <c r="S23" s="704"/>
      <c r="T23" s="704"/>
      <c r="U23" s="711"/>
      <c r="V23" s="704"/>
    </row>
    <row r="24" spans="1:42" x14ac:dyDescent="0.2">
      <c r="A24" s="708">
        <v>1</v>
      </c>
      <c r="B24" s="705" t="s">
        <v>276</v>
      </c>
      <c r="C24" s="712"/>
      <c r="D24" s="712"/>
      <c r="E24" s="712"/>
      <c r="F24" s="713"/>
      <c r="G24" s="714"/>
      <c r="H24" s="714"/>
      <c r="I24" s="714"/>
      <c r="J24" s="715">
        <v>8</v>
      </c>
      <c r="K24" s="716"/>
      <c r="L24" s="714"/>
      <c r="M24" s="717"/>
      <c r="N24" s="707">
        <v>4</v>
      </c>
      <c r="O24" s="704"/>
      <c r="P24" s="704"/>
      <c r="Q24" s="704" t="s">
        <v>438</v>
      </c>
      <c r="R24" s="718" t="s">
        <v>440</v>
      </c>
      <c r="S24" s="704"/>
      <c r="T24" s="704"/>
      <c r="U24" s="719"/>
      <c r="V24" s="701" t="s">
        <v>201</v>
      </c>
    </row>
    <row r="25" spans="1:42" x14ac:dyDescent="0.2">
      <c r="A25" s="708">
        <v>3</v>
      </c>
      <c r="B25" s="705" t="s">
        <v>272</v>
      </c>
      <c r="C25" s="721"/>
      <c r="D25" s="721"/>
      <c r="E25" s="721"/>
      <c r="F25" s="722"/>
      <c r="G25" s="714"/>
      <c r="H25" s="714"/>
      <c r="I25" s="714"/>
      <c r="J25" s="715"/>
      <c r="K25" s="716"/>
      <c r="L25" s="714"/>
      <c r="M25" s="717"/>
      <c r="N25" s="707">
        <v>3</v>
      </c>
      <c r="O25" s="704"/>
      <c r="P25" s="704"/>
      <c r="Q25" s="704"/>
      <c r="R25" s="723"/>
      <c r="S25" s="704"/>
      <c r="T25" s="704"/>
      <c r="U25" s="699"/>
      <c r="V25" s="701" t="s">
        <v>190</v>
      </c>
    </row>
    <row r="26" spans="1:42" x14ac:dyDescent="0.2">
      <c r="A26" s="708">
        <v>4</v>
      </c>
      <c r="B26" s="724" t="s">
        <v>282</v>
      </c>
      <c r="C26" s="721"/>
      <c r="D26" s="721"/>
      <c r="E26" s="714"/>
      <c r="F26" s="715"/>
      <c r="G26" s="712"/>
      <c r="H26" s="712"/>
      <c r="I26" s="712"/>
      <c r="J26" s="715"/>
      <c r="K26" s="725">
        <v>12</v>
      </c>
      <c r="L26" s="721"/>
      <c r="M26" s="726"/>
      <c r="N26" s="707">
        <v>5</v>
      </c>
      <c r="O26" s="704"/>
      <c r="P26" s="704"/>
      <c r="Q26" s="704" t="s">
        <v>438</v>
      </c>
      <c r="R26" s="727" t="s">
        <v>441</v>
      </c>
      <c r="S26" s="704"/>
      <c r="T26" s="704"/>
      <c r="U26" s="699"/>
      <c r="V26" s="701" t="s">
        <v>202</v>
      </c>
    </row>
    <row r="27" spans="1:42" x14ac:dyDescent="0.2">
      <c r="A27" s="708">
        <v>5</v>
      </c>
      <c r="B27" s="678" t="s">
        <v>431</v>
      </c>
      <c r="C27" s="706">
        <v>13</v>
      </c>
      <c r="D27" s="721"/>
      <c r="E27" s="714"/>
      <c r="F27" s="715"/>
      <c r="G27" s="714"/>
      <c r="H27" s="714"/>
      <c r="I27" s="714"/>
      <c r="J27" s="722"/>
      <c r="K27" s="725"/>
      <c r="L27" s="721"/>
      <c r="M27" s="726"/>
      <c r="N27" s="707">
        <v>1</v>
      </c>
      <c r="O27" s="704"/>
      <c r="P27" s="704"/>
      <c r="Q27" s="704" t="s">
        <v>436</v>
      </c>
      <c r="R27" s="727" t="s">
        <v>439</v>
      </c>
      <c r="S27" s="704"/>
      <c r="T27" s="704"/>
      <c r="U27" s="699"/>
      <c r="V27" s="720" t="s">
        <v>188</v>
      </c>
    </row>
    <row r="28" spans="1:42" x14ac:dyDescent="0.2">
      <c r="A28" s="708">
        <v>7</v>
      </c>
      <c r="B28" s="663" t="s">
        <v>274</v>
      </c>
      <c r="C28" s="714"/>
      <c r="D28" s="714"/>
      <c r="E28" s="714"/>
      <c r="F28" s="715"/>
      <c r="G28" s="706">
        <v>13</v>
      </c>
      <c r="H28" s="721"/>
      <c r="I28" s="721"/>
      <c r="J28" s="713"/>
      <c r="K28" s="728"/>
      <c r="L28" s="712"/>
      <c r="M28" s="729"/>
      <c r="N28" s="707">
        <v>2</v>
      </c>
      <c r="O28" s="704"/>
      <c r="P28" s="704"/>
      <c r="Q28" s="704" t="s">
        <v>436</v>
      </c>
      <c r="R28" s="718" t="s">
        <v>439</v>
      </c>
      <c r="S28" s="704"/>
      <c r="T28" s="704"/>
      <c r="U28" s="719"/>
      <c r="V28" s="720" t="s">
        <v>188</v>
      </c>
    </row>
    <row r="30" spans="1:42" x14ac:dyDescent="0.2">
      <c r="A30" s="703" t="s">
        <v>437</v>
      </c>
      <c r="B30" s="704"/>
      <c r="C30" s="704"/>
      <c r="D30" s="704"/>
      <c r="E30" s="704"/>
      <c r="F30" s="704"/>
      <c r="G30" s="704"/>
      <c r="H30" s="704"/>
      <c r="I30" s="704"/>
      <c r="J30" s="704"/>
      <c r="K30" s="704"/>
      <c r="L30" s="704"/>
      <c r="M30" s="704"/>
      <c r="N30" s="704"/>
      <c r="O30" s="704"/>
      <c r="P30" s="704"/>
      <c r="Q30" s="704"/>
      <c r="R30" s="704"/>
      <c r="S30" s="704"/>
      <c r="T30" s="704"/>
      <c r="U30" s="704"/>
      <c r="V30" s="704"/>
    </row>
    <row r="31" spans="1:42" x14ac:dyDescent="0.2">
      <c r="A31" s="704"/>
      <c r="B31" s="704"/>
      <c r="C31" s="704"/>
      <c r="D31" s="704"/>
      <c r="E31" s="704"/>
      <c r="F31" s="704"/>
      <c r="G31" s="704"/>
      <c r="H31" s="704"/>
      <c r="I31" s="704"/>
      <c r="J31" s="704"/>
      <c r="K31" s="704"/>
      <c r="L31" s="704"/>
      <c r="M31" s="704"/>
      <c r="N31" s="704"/>
      <c r="O31" s="704"/>
      <c r="P31" s="704"/>
      <c r="Q31" s="704"/>
      <c r="R31" s="704"/>
      <c r="S31" s="704"/>
      <c r="T31" s="704"/>
      <c r="U31" s="704"/>
      <c r="V31" s="704"/>
    </row>
    <row r="32" spans="1:42" x14ac:dyDescent="0.2">
      <c r="A32" s="676"/>
      <c r="B32" s="705"/>
      <c r="C32" s="706">
        <v>6</v>
      </c>
      <c r="D32" s="706"/>
      <c r="E32" s="706"/>
      <c r="F32" s="707">
        <v>8</v>
      </c>
      <c r="G32" s="706">
        <v>10</v>
      </c>
      <c r="H32" s="706"/>
      <c r="I32" s="706"/>
      <c r="J32" s="667" t="s">
        <v>169</v>
      </c>
      <c r="K32" s="730"/>
      <c r="L32" s="731"/>
      <c r="M32" s="699"/>
      <c r="N32" s="699"/>
      <c r="O32" s="704"/>
      <c r="P32" s="704"/>
      <c r="Q32" s="710" t="s">
        <v>102</v>
      </c>
      <c r="R32" s="704"/>
      <c r="S32" s="704"/>
      <c r="T32" s="704"/>
      <c r="U32" s="704"/>
      <c r="V32" s="704"/>
    </row>
    <row r="33" spans="1:22" x14ac:dyDescent="0.2">
      <c r="A33" s="708">
        <v>6</v>
      </c>
      <c r="B33" s="678" t="s">
        <v>270</v>
      </c>
      <c r="C33" s="712"/>
      <c r="D33" s="712"/>
      <c r="E33" s="712"/>
      <c r="F33" s="707">
        <v>13</v>
      </c>
      <c r="G33" s="721"/>
      <c r="H33" s="721"/>
      <c r="I33" s="721"/>
      <c r="J33" s="667">
        <v>4</v>
      </c>
      <c r="K33" s="730"/>
      <c r="L33" s="731"/>
      <c r="M33" s="699"/>
      <c r="N33" s="699"/>
      <c r="O33" s="704"/>
      <c r="P33" s="704"/>
      <c r="Q33" s="710" t="s">
        <v>436</v>
      </c>
      <c r="R33" s="719"/>
      <c r="S33" s="704"/>
      <c r="T33" s="704"/>
      <c r="U33" s="704"/>
      <c r="V33" s="701" t="s">
        <v>207</v>
      </c>
    </row>
    <row r="34" spans="1:22" x14ac:dyDescent="0.2">
      <c r="A34" s="708">
        <v>8</v>
      </c>
      <c r="B34" s="724" t="s">
        <v>433</v>
      </c>
      <c r="C34" s="721">
        <v>4</v>
      </c>
      <c r="D34" s="721"/>
      <c r="E34" s="721"/>
      <c r="F34" s="722"/>
      <c r="G34" s="721"/>
      <c r="H34" s="721"/>
      <c r="I34" s="721"/>
      <c r="J34" s="667">
        <v>2</v>
      </c>
      <c r="K34" s="730"/>
      <c r="L34" s="731"/>
      <c r="M34" s="699"/>
      <c r="N34" s="699"/>
      <c r="O34" s="704"/>
      <c r="P34" s="704"/>
      <c r="Q34" s="710" t="s">
        <v>438</v>
      </c>
      <c r="R34" s="719"/>
      <c r="S34" s="704"/>
      <c r="T34" s="704"/>
      <c r="U34" s="704"/>
      <c r="V34" s="701" t="s">
        <v>210</v>
      </c>
    </row>
    <row r="35" spans="1:22" x14ac:dyDescent="0.2">
      <c r="A35" s="708">
        <v>10</v>
      </c>
      <c r="B35" s="663" t="s">
        <v>309</v>
      </c>
      <c r="C35" s="721"/>
      <c r="D35" s="721"/>
      <c r="E35" s="721"/>
      <c r="F35" s="713"/>
      <c r="G35" s="712"/>
      <c r="H35" s="712"/>
      <c r="I35" s="712"/>
      <c r="J35" s="667">
        <v>3</v>
      </c>
      <c r="K35" s="730"/>
      <c r="L35" s="731"/>
      <c r="M35" s="699"/>
      <c r="N35" s="699"/>
      <c r="O35" s="704"/>
      <c r="P35" s="704"/>
      <c r="Q35" s="710"/>
      <c r="R35" s="719"/>
      <c r="S35" s="704"/>
      <c r="T35" s="704"/>
      <c r="U35" s="704"/>
      <c r="V35" s="701" t="s">
        <v>209</v>
      </c>
    </row>
    <row r="36" spans="1:22" hidden="1" x14ac:dyDescent="0.2"/>
    <row r="37" spans="1:22" hidden="1" x14ac:dyDescent="0.2">
      <c r="A37" s="271"/>
      <c r="B37" s="271"/>
      <c r="C37" s="271"/>
      <c r="D37" s="271"/>
      <c r="E37" s="271"/>
      <c r="F37" s="271"/>
      <c r="G37" s="271"/>
      <c r="H37" s="271"/>
      <c r="I37" s="271"/>
      <c r="J37" s="271"/>
      <c r="K37" s="271"/>
      <c r="L37" s="271"/>
      <c r="M37" s="271"/>
      <c r="O37" s="271"/>
      <c r="P37" s="271"/>
      <c r="Q37" s="271"/>
      <c r="R37" s="412"/>
      <c r="S37" s="271"/>
      <c r="T37" s="271"/>
      <c r="U37" s="271"/>
      <c r="V37" s="271"/>
    </row>
    <row r="38" spans="1:22" hidden="1" x14ac:dyDescent="0.2"/>
    <row r="39" spans="1:22" hidden="1" x14ac:dyDescent="0.2"/>
    <row r="40" spans="1:22" hidden="1" x14ac:dyDescent="0.2"/>
    <row r="41" spans="1:22" hidden="1" x14ac:dyDescent="0.2"/>
    <row r="42" spans="1:22" hidden="1" x14ac:dyDescent="0.2"/>
    <row r="43" spans="1:22" hidden="1" x14ac:dyDescent="0.2"/>
    <row r="44" spans="1:22" hidden="1" x14ac:dyDescent="0.2"/>
    <row r="45" spans="1:22" hidden="1" x14ac:dyDescent="0.2"/>
    <row r="46" spans="1:22" hidden="1" x14ac:dyDescent="0.2"/>
    <row r="47" spans="1:22" hidden="1" x14ac:dyDescent="0.2"/>
    <row r="48" spans="1:22"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14" hidden="1" x14ac:dyDescent="0.2"/>
    <row r="290" spans="1:14" hidden="1" x14ac:dyDescent="0.2"/>
    <row r="291" spans="1:14" hidden="1" x14ac:dyDescent="0.2"/>
    <row r="292" spans="1:14" hidden="1" x14ac:dyDescent="0.2"/>
    <row r="293" spans="1:14" hidden="1" x14ac:dyDescent="0.2"/>
    <row r="294" spans="1:14" hidden="1" x14ac:dyDescent="0.2"/>
    <row r="295" spans="1:14" hidden="1" x14ac:dyDescent="0.2"/>
    <row r="296" spans="1:14" hidden="1" x14ac:dyDescent="0.2"/>
    <row r="297" spans="1:14" hidden="1" x14ac:dyDescent="0.2"/>
    <row r="299" spans="1:14" x14ac:dyDescent="0.2">
      <c r="A299" s="271"/>
      <c r="B299" s="271"/>
      <c r="C299" s="401" t="s">
        <v>248</v>
      </c>
      <c r="N299" s="404"/>
    </row>
    <row r="300" spans="1:14" x14ac:dyDescent="0.2">
      <c r="A300" s="530">
        <v>1</v>
      </c>
      <c r="B300" s="625" t="str">
        <f>IFERROR(INDEX(B$1:B$100,MATCH(A300,A$1:A$100,0)),"")</f>
        <v>Andres Veski, Svetlana Veski</v>
      </c>
      <c r="C300" s="499">
        <f>IF(21-A300&gt;0,21-A300,1)</f>
        <v>20</v>
      </c>
      <c r="N300" s="404"/>
    </row>
    <row r="301" spans="1:14" x14ac:dyDescent="0.2">
      <c r="A301" s="530">
        <v>2</v>
      </c>
      <c r="B301" s="625" t="str">
        <f t="shared" ref="B301:B312" si="11">IFERROR(INDEX(B$1:B$100,MATCH(A301,A$1:A$100,0)),"")</f>
        <v>Ivar Viljaste, Sirje Viljaste</v>
      </c>
      <c r="C301" s="499">
        <f t="shared" ref="C301:C312" si="12">IF(21-A301&gt;0,21-A301,1)</f>
        <v>19</v>
      </c>
      <c r="N301" s="404"/>
    </row>
    <row r="302" spans="1:14" x14ac:dyDescent="0.2">
      <c r="A302" s="530">
        <v>3</v>
      </c>
      <c r="B302" s="625" t="str">
        <f t="shared" si="11"/>
        <v>Kenneth Muusikus, Mait Metsla</v>
      </c>
      <c r="C302" s="499">
        <f t="shared" si="12"/>
        <v>18</v>
      </c>
      <c r="N302" s="404"/>
    </row>
    <row r="303" spans="1:14" x14ac:dyDescent="0.2">
      <c r="A303" s="530">
        <v>4</v>
      </c>
      <c r="B303" s="625" t="str">
        <f t="shared" si="11"/>
        <v>Tõnu Piik, Ülo Piik</v>
      </c>
      <c r="C303" s="499">
        <v>16.5</v>
      </c>
      <c r="N303" s="404"/>
    </row>
    <row r="304" spans="1:14" x14ac:dyDescent="0.2">
      <c r="A304" s="530">
        <v>4</v>
      </c>
      <c r="B304" s="625" t="s">
        <v>274</v>
      </c>
      <c r="C304" s="499">
        <v>16.5</v>
      </c>
      <c r="N304" s="404"/>
    </row>
    <row r="305" spans="1:14" x14ac:dyDescent="0.2">
      <c r="A305" s="530">
        <v>6</v>
      </c>
      <c r="B305" s="625" t="str">
        <f t="shared" si="11"/>
        <v>Andrei Grintšak, Boriss Klubov</v>
      </c>
      <c r="C305" s="499">
        <f t="shared" si="12"/>
        <v>15</v>
      </c>
      <c r="N305" s="404"/>
    </row>
    <row r="306" spans="1:14" x14ac:dyDescent="0.2">
      <c r="A306" s="530">
        <v>7</v>
      </c>
      <c r="B306" s="625" t="str">
        <f t="shared" si="11"/>
        <v>Jaan Sepp, Oskar Sepp</v>
      </c>
      <c r="C306" s="499">
        <f t="shared" si="12"/>
        <v>14</v>
      </c>
      <c r="N306" s="404"/>
    </row>
    <row r="307" spans="1:14" x14ac:dyDescent="0.2">
      <c r="A307" s="530">
        <v>8</v>
      </c>
      <c r="B307" s="625" t="str">
        <f t="shared" si="11"/>
        <v>Matti Vinni, Vladimir Ogneštšikov</v>
      </c>
      <c r="C307" s="499">
        <f t="shared" si="12"/>
        <v>13</v>
      </c>
      <c r="N307" s="404"/>
    </row>
    <row r="308" spans="1:14" x14ac:dyDescent="0.2">
      <c r="A308" s="530">
        <v>9</v>
      </c>
      <c r="B308" s="625" t="str">
        <f t="shared" si="11"/>
        <v>Kaspar Mänd, Urmas Randlaine</v>
      </c>
      <c r="C308" s="499">
        <f t="shared" si="12"/>
        <v>12</v>
      </c>
      <c r="N308" s="404"/>
    </row>
    <row r="309" spans="1:14" x14ac:dyDescent="0.2">
      <c r="A309" s="530">
        <v>10</v>
      </c>
      <c r="B309" s="625" t="str">
        <f t="shared" si="11"/>
        <v>Ljudmila Varendi, Viktor Švarõgin</v>
      </c>
      <c r="C309" s="499">
        <f t="shared" si="12"/>
        <v>11</v>
      </c>
      <c r="N309" s="404"/>
    </row>
    <row r="310" spans="1:14" x14ac:dyDescent="0.2">
      <c r="A310" s="530">
        <v>11</v>
      </c>
      <c r="B310" s="625" t="str">
        <f t="shared" si="11"/>
        <v>Jaan Saar, Klavdia Piik, Liidia Põllu</v>
      </c>
      <c r="C310" s="499">
        <f t="shared" si="12"/>
        <v>10</v>
      </c>
      <c r="N310" s="404"/>
    </row>
    <row r="311" spans="1:14" x14ac:dyDescent="0.2">
      <c r="A311" s="530">
        <v>12</v>
      </c>
      <c r="B311" s="625" t="str">
        <f t="shared" si="11"/>
        <v>Sander Rose, Tõnu Kapper</v>
      </c>
      <c r="C311" s="499">
        <f t="shared" si="12"/>
        <v>9</v>
      </c>
    </row>
    <row r="312" spans="1:14" x14ac:dyDescent="0.2">
      <c r="A312" s="530">
        <v>13</v>
      </c>
      <c r="B312" s="625" t="str">
        <f t="shared" si="11"/>
        <v>Enn Tokman, Tarmo Bombe</v>
      </c>
      <c r="C312" s="499">
        <f t="shared" si="12"/>
        <v>8</v>
      </c>
    </row>
  </sheetData>
  <conditionalFormatting sqref="B300:B312">
    <cfRule type="expression" dxfId="3031" priority="49">
      <formula>A300=3</formula>
    </cfRule>
    <cfRule type="expression" dxfId="3030" priority="50">
      <formula>A300=2</formula>
    </cfRule>
    <cfRule type="expression" dxfId="3029" priority="51">
      <formula>A300=1</formula>
    </cfRule>
    <cfRule type="containsBlanks" dxfId="3028" priority="52">
      <formula>LEN(TRIM(B300))=0</formula>
    </cfRule>
    <cfRule type="duplicateValues" dxfId="3027" priority="53"/>
  </conditionalFormatting>
  <conditionalFormatting sqref="C7:C19 G7:G19 K7:K19 O7:O19 S7:S19">
    <cfRule type="expression" dxfId="3026" priority="13">
      <formula>AND(C7=0,E7=13)</formula>
    </cfRule>
  </conditionalFormatting>
  <conditionalFormatting sqref="C7:C19">
    <cfRule type="expression" dxfId="3025" priority="27">
      <formula>IF($C7&gt;$E7,TRUE)</formula>
    </cfRule>
  </conditionalFormatting>
  <conditionalFormatting sqref="E7:E19">
    <cfRule type="expression" dxfId="3024" priority="28">
      <formula>IF($C7&lt;$E7,TRUE)</formula>
    </cfRule>
  </conditionalFormatting>
  <conditionalFormatting sqref="K7:K19">
    <cfRule type="expression" dxfId="3023" priority="35">
      <formula>IF($K7&gt;$M7,TRUE)</formula>
    </cfRule>
  </conditionalFormatting>
  <conditionalFormatting sqref="M7:M19">
    <cfRule type="expression" dxfId="3022" priority="36">
      <formula>IF($K7&lt;$M7,TRUE)</formula>
    </cfRule>
  </conditionalFormatting>
  <conditionalFormatting sqref="O7:O19">
    <cfRule type="expression" dxfId="3021" priority="39">
      <formula>IF($O7&gt;$Q7,TRUE)</formula>
    </cfRule>
  </conditionalFormatting>
  <conditionalFormatting sqref="Q7:Q19">
    <cfRule type="expression" dxfId="3020" priority="40">
      <formula>IF($O7&lt;$Q7,TRUE)</formula>
    </cfRule>
  </conditionalFormatting>
  <conditionalFormatting sqref="S7:S19">
    <cfRule type="expression" dxfId="3019" priority="43">
      <formula>IF($S7&gt;$U7,TRUE)</formula>
    </cfRule>
  </conditionalFormatting>
  <conditionalFormatting sqref="U7:U19">
    <cfRule type="expression" dxfId="3018" priority="44">
      <formula>IF($S7&lt;$U7,TRUE)</formula>
    </cfRule>
  </conditionalFormatting>
  <conditionalFormatting sqref="G7:G19">
    <cfRule type="expression" dxfId="3017" priority="31">
      <formula>IF($G7&gt;$I7,TRUE)</formula>
    </cfRule>
  </conditionalFormatting>
  <conditionalFormatting sqref="I7:I19">
    <cfRule type="expression" dxfId="3016" priority="32">
      <formula>IF($G7&lt;$I7,TRUE)</formula>
    </cfRule>
  </conditionalFormatting>
  <conditionalFormatting sqref="F7:F19">
    <cfRule type="containsText" dxfId="3015" priority="18" operator="containsText" text="vaba voor">
      <formula>NOT(ISERROR(SEARCH("vaba voor",F7)))</formula>
    </cfRule>
  </conditionalFormatting>
  <conditionalFormatting sqref="N7:N19">
    <cfRule type="containsText" dxfId="3014" priority="16" operator="containsText" text="vaba voor">
      <formula>NOT(ISERROR(SEARCH("vaba voor",N7)))</formula>
    </cfRule>
  </conditionalFormatting>
  <conditionalFormatting sqref="R7:R19">
    <cfRule type="containsText" dxfId="3013" priority="19" operator="containsText" text="vaba voor">
      <formula>NOT(ISERROR(SEARCH("vaba voor",R7)))</formula>
    </cfRule>
  </conditionalFormatting>
  <conditionalFormatting sqref="V7:V19">
    <cfRule type="containsText" dxfId="3012" priority="15" operator="containsText" text="vaba voor">
      <formula>NOT(ISERROR(SEARCH("vaba voor",V7)))</formula>
    </cfRule>
  </conditionalFormatting>
  <conditionalFormatting sqref="J7:J19">
    <cfRule type="containsText" dxfId="3011" priority="17" operator="containsText" text="vaba voor">
      <formula>NOT(ISERROR(SEARCH("vaba voor",J7)))</formula>
    </cfRule>
  </conditionalFormatting>
  <conditionalFormatting sqref="C7:F19">
    <cfRule type="expression" dxfId="3010" priority="23">
      <formula>IF(AND(ISNUMBER($C7),$C7=$E7),TRUE)</formula>
    </cfRule>
    <cfRule type="expression" dxfId="3009" priority="25">
      <formula>IF($C7&gt;$E7,TRUE)</formula>
    </cfRule>
    <cfRule type="expression" dxfId="3008" priority="26">
      <formula>IF($C7&lt;$E7,TRUE)</formula>
    </cfRule>
  </conditionalFormatting>
  <conditionalFormatting sqref="G7:J19">
    <cfRule type="expression" dxfId="3007" priority="24">
      <formula>IF(AND(ISNUMBER($G7),$G7=$I7),TRUE)</formula>
    </cfRule>
    <cfRule type="expression" dxfId="3006" priority="29">
      <formula>IF($G7&gt;$I7,TRUE)</formula>
    </cfRule>
    <cfRule type="expression" dxfId="3005" priority="30">
      <formula>IF($G7&lt;$I7,TRUE)</formula>
    </cfRule>
  </conditionalFormatting>
  <conditionalFormatting sqref="K7:N19">
    <cfRule type="expression" dxfId="3004" priority="22">
      <formula>IF(AND(ISNUMBER($K7),$K7=$M7),TRUE)</formula>
    </cfRule>
    <cfRule type="expression" dxfId="3003" priority="33">
      <formula>IF($K7&gt;$M7,TRUE)</formula>
    </cfRule>
    <cfRule type="expression" dxfId="3002" priority="34">
      <formula>IF($K7&lt;$M7,TRUE)</formula>
    </cfRule>
  </conditionalFormatting>
  <conditionalFormatting sqref="O7:R19">
    <cfRule type="expression" dxfId="3001" priority="21">
      <formula>IF(AND(ISNUMBER($O7),$O7=$Q7),TRUE)</formula>
    </cfRule>
    <cfRule type="expression" dxfId="3000" priority="37">
      <formula>IF($O7&gt;$Q7,TRUE)</formula>
    </cfRule>
    <cfRule type="expression" dxfId="2999" priority="38">
      <formula>IF($O7&lt;$Q7,TRUE)</formula>
    </cfRule>
  </conditionalFormatting>
  <conditionalFormatting sqref="S7:V19">
    <cfRule type="expression" dxfId="2998" priority="20">
      <formula>IF(AND(ISNUMBER($S7),$S7=$U7),TRUE)</formula>
    </cfRule>
    <cfRule type="expression" dxfId="2997" priority="41">
      <formula>IF($S7&gt;$U7,TRUE)</formula>
    </cfRule>
    <cfRule type="expression" dxfId="2996" priority="42">
      <formula>IF($S7&lt;$U7,TRUE)</formula>
    </cfRule>
  </conditionalFormatting>
  <conditionalFormatting sqref="E7:E19 I7:I19 M7:M19 Q7:Q19 U7:U19">
    <cfRule type="expression" dxfId="2995" priority="14">
      <formula>AND(E7=0,C7=13)</formula>
    </cfRule>
  </conditionalFormatting>
  <conditionalFormatting sqref="A7:A19">
    <cfRule type="duplicateValues" dxfId="2994" priority="45"/>
  </conditionalFormatting>
  <conditionalFormatting sqref="A300:A312">
    <cfRule type="duplicateValues" dxfId="2993" priority="12"/>
  </conditionalFormatting>
  <conditionalFormatting sqref="AJ7:AJ19">
    <cfRule type="expression" dxfId="2992" priority="5">
      <formula>AND(AI7="",FIND(",",AJ7))</formula>
    </cfRule>
    <cfRule type="expression" dxfId="2991" priority="7">
      <formula>AND(AI7="",COUNTIF(AJ7,"*,*")=0)</formula>
    </cfRule>
  </conditionalFormatting>
  <conditionalFormatting sqref="AH7:AH19">
    <cfRule type="expression" dxfId="2990" priority="8">
      <formula>AND(AG7="",FIND(",",AH7))</formula>
    </cfRule>
    <cfRule type="expression" dxfId="2989" priority="9">
      <formula>AND(AG7="",COUNTIF(AH7,"*,*")=0)</formula>
    </cfRule>
  </conditionalFormatting>
  <conditionalFormatting sqref="AL7:AL19">
    <cfRule type="expression" dxfId="2988" priority="10">
      <formula>AND(AK7="",FIND(",",AL7))</formula>
    </cfRule>
    <cfRule type="expression" dxfId="2987" priority="11">
      <formula>AND(AK7="",COUNTIF(AL7,"*,*")=0)</formula>
    </cfRule>
  </conditionalFormatting>
  <conditionalFormatting sqref="AF7:AF19">
    <cfRule type="expression" dxfId="2986" priority="6">
      <formula>AND(AE7="",COUNTIF(AF7,"*,*")=0)</formula>
    </cfRule>
  </conditionalFormatting>
  <conditionalFormatting sqref="AN7:AN19">
    <cfRule type="expression" dxfId="2985" priority="2">
      <formula>AND(AM7="",COUNTIF(AN7,"*,*")=0)</formula>
    </cfRule>
    <cfRule type="expression" dxfId="2984" priority="4">
      <formula>AND(AM7="",FIND(",",AN7))</formula>
    </cfRule>
  </conditionalFormatting>
  <conditionalFormatting sqref="AP7:AP19">
    <cfRule type="expression" dxfId="2983" priority="1">
      <formula>AND(AO7="",COUNTIF(AP7,"*,*")=0)</formula>
    </cfRule>
    <cfRule type="expression" dxfId="2982" priority="3">
      <formula>AND(AO7="",FIND(",",AP7))</formula>
    </cfRule>
  </conditionalFormatting>
  <pageMargins left="0.78740157480314965" right="0.39370078740157483" top="0.78740157480314965" bottom="0.39370078740157483" header="0.78740157480314965" footer="0"/>
  <pageSetup paperSize="9" fitToHeight="0" orientation="landscape" verticalDpi="1200" r:id="rId1"/>
  <headerFooter>
    <oddHeader>&amp;R&amp;P. leht &amp;N&amp; -st</oddHeader>
  </headerFooter>
  <rowBreaks count="1" manualBreakCount="1">
    <brk id="297" max="16383" man="1"/>
  </rowBreaks>
  <ignoredErrors>
    <ignoredError sqref="R27:R28 R24:R26" numberStoredAsText="1"/>
  </ignoredError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FF99"/>
    <pageSetUpPr fitToPage="1"/>
  </sheetPr>
  <dimension ref="A1:AF334"/>
  <sheetViews>
    <sheetView showGridLines="0" showRowColHeaders="0" zoomScaleNormal="100" workbookViewId="0">
      <pane ySplit="1" topLeftCell="A2" activePane="bottomLeft" state="frozen"/>
      <selection pane="bottomLeft" activeCell="A5" sqref="A5"/>
    </sheetView>
  </sheetViews>
  <sheetFormatPr defaultRowHeight="12.75" x14ac:dyDescent="0.2"/>
  <cols>
    <col min="1" max="1" width="3.28515625" style="1" customWidth="1"/>
    <col min="2" max="2" width="21.85546875" style="1" customWidth="1"/>
    <col min="3" max="7" width="7.7109375" style="1" customWidth="1"/>
    <col min="8" max="9" width="6.7109375" style="1" customWidth="1"/>
    <col min="10" max="15" width="5.5703125" style="1" customWidth="1"/>
    <col min="16" max="18" width="9.140625" style="1" hidden="1" customWidth="1"/>
    <col min="19" max="20" width="11.5703125" style="1" hidden="1" customWidth="1"/>
    <col min="21" max="21" width="9.140625" style="1" customWidth="1"/>
    <col min="22" max="22" width="9.140625" style="1" hidden="1" customWidth="1"/>
    <col min="23" max="28" width="0" style="1" hidden="1" customWidth="1"/>
    <col min="29" max="29" width="9.140625" style="1"/>
    <col min="30" max="31" width="9.140625" style="1" hidden="1" customWidth="1"/>
    <col min="32" max="32" width="16.5703125" style="1" hidden="1" customWidth="1"/>
    <col min="33" max="33" width="9.140625" style="1" customWidth="1"/>
    <col min="34" max="16384" width="9.140625" style="1"/>
  </cols>
  <sheetData>
    <row r="1" spans="1:32" x14ac:dyDescent="0.2">
      <c r="A1" s="400" t="str">
        <f>UPPER((Kalend!E19)&amp;" - "&amp;(Kalend!C19))&amp;" - "&amp;LOWER(Kalend!D19)&amp;" - "&amp;(Kalend!A19)&amp;" kell "&amp;(Kalend!B19)&amp;" - "&amp;(Kalend!F19)</f>
        <v>T-Ü - TOILA VALLA LAHTINE SISE-MV - üksik - L, 11.01.2020 kell 11:00 - Voka petangihall</v>
      </c>
      <c r="H1" s="271"/>
      <c r="I1" s="271"/>
      <c r="J1" s="271"/>
      <c r="K1" s="271"/>
      <c r="L1" s="70"/>
      <c r="M1" s="543"/>
      <c r="N1" s="543"/>
      <c r="P1" s="447" t="s">
        <v>94</v>
      </c>
      <c r="Q1" s="448"/>
      <c r="R1" s="448"/>
      <c r="S1" s="448"/>
      <c r="T1" s="448"/>
      <c r="U1" s="70"/>
      <c r="V1" s="70"/>
      <c r="W1" s="271"/>
      <c r="X1" s="291"/>
      <c r="Y1" s="271"/>
      <c r="Z1" s="271"/>
      <c r="AA1" s="271"/>
      <c r="AD1" s="152" t="s">
        <v>94</v>
      </c>
      <c r="AE1" s="402"/>
      <c r="AF1" s="402"/>
    </row>
    <row r="2" spans="1:32" hidden="1" x14ac:dyDescent="0.2">
      <c r="A2" s="151"/>
      <c r="B2" s="151"/>
      <c r="C2" s="151"/>
      <c r="D2" s="151"/>
      <c r="E2" s="151"/>
      <c r="F2" s="271"/>
      <c r="G2" s="312"/>
      <c r="H2" s="312"/>
      <c r="I2" s="151"/>
      <c r="J2" s="151"/>
      <c r="K2" s="312"/>
      <c r="L2" s="151"/>
      <c r="M2" s="409"/>
      <c r="N2" s="409"/>
      <c r="O2" s="271"/>
      <c r="P2" s="271"/>
      <c r="Q2" s="271"/>
      <c r="R2" s="271"/>
      <c r="S2" s="271"/>
      <c r="T2" s="409"/>
      <c r="U2" s="409"/>
      <c r="V2" s="409"/>
      <c r="W2" s="271"/>
      <c r="X2" s="271"/>
      <c r="Y2" s="271"/>
      <c r="Z2" s="271"/>
      <c r="AD2" s="271"/>
      <c r="AE2" s="271"/>
      <c r="AF2" s="271"/>
    </row>
    <row r="3" spans="1:32" hidden="1" x14ac:dyDescent="0.2">
      <c r="A3" s="151"/>
      <c r="B3" s="151"/>
      <c r="C3" s="151"/>
      <c r="D3" s="151"/>
      <c r="E3" s="151"/>
      <c r="F3" s="271"/>
      <c r="G3" s="312"/>
      <c r="H3" s="312"/>
      <c r="I3" s="271"/>
      <c r="J3" s="141"/>
      <c r="K3" s="312"/>
      <c r="L3" s="70"/>
      <c r="M3" s="409"/>
      <c r="N3" s="409"/>
      <c r="O3" s="271"/>
      <c r="P3" s="271"/>
      <c r="Q3" s="271"/>
      <c r="R3" s="271"/>
      <c r="S3" s="271"/>
      <c r="T3" s="409"/>
      <c r="U3" s="409"/>
      <c r="V3" s="409"/>
      <c r="W3" s="271"/>
      <c r="X3" s="271"/>
      <c r="Y3" s="271"/>
      <c r="Z3" s="271"/>
      <c r="AA3" s="271"/>
      <c r="AE3" s="271"/>
    </row>
    <row r="4" spans="1:32" hidden="1" x14ac:dyDescent="0.2">
      <c r="A4" s="151"/>
      <c r="B4" s="151"/>
      <c r="C4" s="151"/>
      <c r="D4" s="151"/>
      <c r="E4" s="151"/>
      <c r="F4" s="271"/>
      <c r="G4" s="312"/>
      <c r="H4" s="312"/>
      <c r="I4" s="141"/>
      <c r="J4" s="141"/>
      <c r="K4" s="312"/>
      <c r="L4" s="312"/>
      <c r="M4" s="271"/>
      <c r="N4" s="271"/>
      <c r="O4" s="271"/>
      <c r="P4" s="271"/>
      <c r="Q4" s="271"/>
      <c r="R4" s="271"/>
      <c r="S4" s="271"/>
      <c r="T4" s="271"/>
      <c r="U4" s="271"/>
      <c r="V4" s="271"/>
      <c r="W4" s="271"/>
      <c r="X4" s="271"/>
      <c r="Y4" s="271"/>
      <c r="Z4" s="271"/>
      <c r="AA4" s="271"/>
      <c r="AE4" s="409"/>
      <c r="AF4" s="409"/>
    </row>
    <row r="5" spans="1:32" x14ac:dyDescent="0.2">
      <c r="A5" s="151"/>
      <c r="B5" s="151"/>
      <c r="C5" s="151"/>
      <c r="D5" s="151"/>
      <c r="E5" s="151"/>
      <c r="F5" s="271"/>
      <c r="G5" s="141"/>
      <c r="H5" s="141"/>
      <c r="I5" s="141"/>
      <c r="J5" s="141"/>
      <c r="K5" s="141"/>
      <c r="L5" s="312"/>
      <c r="M5" s="271"/>
      <c r="N5" s="967" t="s">
        <v>476</v>
      </c>
      <c r="O5" s="271"/>
      <c r="P5" s="271"/>
      <c r="Q5" s="271"/>
      <c r="R5" s="271"/>
      <c r="S5" s="271"/>
      <c r="T5" s="271"/>
      <c r="U5" s="271"/>
      <c r="V5" s="271"/>
      <c r="W5" s="271"/>
      <c r="X5" s="271"/>
      <c r="Y5" s="271"/>
      <c r="Z5" s="271"/>
      <c r="AA5" s="271"/>
      <c r="AC5" s="271"/>
      <c r="AD5" s="964" t="s">
        <v>214</v>
      </c>
    </row>
    <row r="6" spans="1:32" x14ac:dyDescent="0.2">
      <c r="A6" s="311" t="s">
        <v>0</v>
      </c>
      <c r="B6" s="416"/>
      <c r="C6" s="276">
        <v>1</v>
      </c>
      <c r="D6" s="276">
        <v>2</v>
      </c>
      <c r="E6" s="276">
        <v>3</v>
      </c>
      <c r="F6" s="276"/>
      <c r="G6" s="276"/>
      <c r="H6" s="276" t="s">
        <v>168</v>
      </c>
      <c r="I6" s="275" t="s">
        <v>169</v>
      </c>
      <c r="J6" s="417" t="s">
        <v>257</v>
      </c>
      <c r="K6" s="418" t="s">
        <v>258</v>
      </c>
      <c r="L6" s="419" t="s">
        <v>259</v>
      </c>
      <c r="M6" s="419" t="s">
        <v>260</v>
      </c>
      <c r="N6" s="420" t="s">
        <v>170</v>
      </c>
      <c r="O6" s="420" t="s">
        <v>170</v>
      </c>
      <c r="P6" s="421" t="s">
        <v>261</v>
      </c>
      <c r="Q6" s="422" t="s">
        <v>21</v>
      </c>
      <c r="R6" s="422" t="b">
        <f>OR(AND(COUNTA(B7:B11)=3,COUNTA(C7:G11)=6),AND(COUNTA(B7:B11)=4,COUNTA(C7:G11)=12),AND(COUNTA(B7:B11)=5,COUNTA(C7:G11)=20))</f>
        <v>1</v>
      </c>
      <c r="S6" s="423" t="s">
        <v>262</v>
      </c>
      <c r="T6" s="424" t="s">
        <v>263</v>
      </c>
      <c r="U6" s="477"/>
      <c r="V6" s="477"/>
      <c r="W6" s="477"/>
      <c r="X6" s="477"/>
      <c r="Y6" s="477"/>
      <c r="Z6" s="477"/>
      <c r="AA6" s="477"/>
      <c r="AB6" s="477"/>
      <c r="AC6" s="478"/>
      <c r="AD6" s="272" t="s">
        <v>370</v>
      </c>
      <c r="AE6" s="273"/>
      <c r="AF6" s="273" t="s">
        <v>233</v>
      </c>
    </row>
    <row r="7" spans="1:32" x14ac:dyDescent="0.2">
      <c r="A7" s="316">
        <v>1</v>
      </c>
      <c r="B7" s="479" t="s">
        <v>137</v>
      </c>
      <c r="C7" s="319"/>
      <c r="D7" s="318">
        <v>4</v>
      </c>
      <c r="E7" s="318">
        <v>4</v>
      </c>
      <c r="F7" s="318"/>
      <c r="G7" s="318"/>
      <c r="H7" s="317" t="str">
        <f>(IF(D7-C8&gt;0,1)+IF(E7-C9&gt;0,1)+IF(F7-C10&gt;0,1)+IF(G7-C11&gt;0,1))&amp;"-"&amp;(IF(D7-C8&lt;0,1)+IF(E7-C9&lt;0,1)+IF(F7-C10&lt;0,1)+IF(G7-C11&lt;0,1))</f>
        <v>0-2</v>
      </c>
      <c r="I7" s="318" t="str">
        <f>IF(AND(B7&lt;&gt;"",R$6=TRUE),A$6&amp;RANK(S7,S$7:S$11,0)," ")</f>
        <v>A3</v>
      </c>
      <c r="J7" s="480">
        <f>IF(AND(Q7=1,Q8=1,D7&gt;C8),1)+IF(AND(Q7=1,Q9=1,E7&gt;C9),1)+IF(AND(Q7=1,Q10=1,F7&gt;C10),1)+IF(AND(Q7=1,Q11=1,G7&gt;C11),1)+IF(AND(Q7=2,Q8=2,D7&gt;C8),1)+IF(AND(Q7=2,Q9=2,E7&gt;C9),1)+IF(AND(Q7=2,Q10=2,F7&gt;C10),1)+IF(AND(Q7=2,Q11=2,G7&gt;C11),1)+IF(AND(Q7=3,Q8=3,D7&gt;C8),1)+IF(AND(Q7=3,Q9=3,E7&gt;C9),1)+IF(AND(Q7=3,Q10=3,F7&gt;C10),1)+IF(AND(Q7=3,Q11=3,G7&gt;C11),1)</f>
        <v>0</v>
      </c>
      <c r="K7" s="481">
        <f>SUM(AND(T7=T8,D7&gt;C8),AND(T7=T9,E7&gt;C9),AND(T7=T10,F7&gt;C10),AND(T7=T11,G7&gt;C11))</f>
        <v>0</v>
      </c>
      <c r="L7" s="482">
        <f>IF(AND(Q7=1,Q8=1),D7-C8)+IF(AND(Q7=1,Q9=1),E7-C9)+IF(AND(Q7=1,Q10=1),F7-C10)+IF(AND(Q7=1,Q11=1),G7-C11)+IF(AND(Q7=2,Q8=2),D7-C8)+IF(AND(Q7=2,Q9=2),E7-C9)+IF(AND(Q7=2,Q10=2),F7-C10)+IF(AND(Q7=2,Q11=2),G7-C11)+IF(AND(Q7=3,Q8=3),D7-C8)+IF(AND(Q7=3,Q9=3),E7-C9)+IF(AND(Q7=3,Q10=3),F7-C10)+IF(AND(Q7=3,Q11=3),G7-C11)+IF(AND(Q7=4,Q8=4),D7-C8)+IF(AND(Q7=4,Q9=4),E7-C9)+IF(AND(Q7=4,Q10=4),F7-C10)+IF(AND(Q7=4,Q11=4),G7-C11)</f>
        <v>0</v>
      </c>
      <c r="M7" s="483">
        <f>SUM(AND(R7=R8,D7&gt;C8),AND(R7=R9,E7&gt;C9),AND(R7=R10,F7&gt;C10),AND(R7=R11,G7&gt;C11))</f>
        <v>0</v>
      </c>
      <c r="N7" s="968" t="str">
        <f>SUM(C7:G7)&amp;"-"&amp;SUM(C7:C11)</f>
        <v>8-26</v>
      </c>
      <c r="O7" s="533">
        <f>D7+E7+F7+G7-C8-C9-C10-C11</f>
        <v>-18</v>
      </c>
      <c r="P7" s="485">
        <f>SUM(C7:G7,C7:C11)/SUM(C7:C11)</f>
        <v>1.3076923076923077</v>
      </c>
      <c r="Q7" s="320">
        <f>VALUE(LEFT(H7,1))</f>
        <v>0</v>
      </c>
      <c r="R7" s="321">
        <f>Q7*100000+J7*10000+K7*1000+100*L7</f>
        <v>0</v>
      </c>
      <c r="S7" s="486">
        <f>R7+M7*0.1+IF(ISNONTEXT(B7),0,0.01)+0.0001*O7</f>
        <v>8.2000000000000007E-3</v>
      </c>
      <c r="T7" s="487" t="str">
        <f>Q7&amp;J7</f>
        <v>00</v>
      </c>
      <c r="U7" s="477"/>
      <c r="V7" s="920"/>
      <c r="W7" s="477"/>
      <c r="X7" s="477"/>
      <c r="Y7" s="477"/>
      <c r="Z7" s="477"/>
      <c r="AA7" s="477"/>
      <c r="AB7" s="477"/>
      <c r="AC7" s="477"/>
      <c r="AD7" s="405">
        <f t="shared" ref="AD7:AD31" si="0">SUM(AE7:AG7)</f>
        <v>118</v>
      </c>
      <c r="AE7" s="406">
        <f>IFERROR(INDEX(V!R$7:R$107,MATCH(AF7,V!L$7:L$107,0)),"")</f>
        <v>118</v>
      </c>
      <c r="AF7" s="407" t="str">
        <f>IF(ISNUMBER(SEARCH(", ",$B7)),IFERROR(LEFT($B7,(FIND(",",$B7,1)-1)),""),B7)</f>
        <v>Enn Tokman</v>
      </c>
    </row>
    <row r="8" spans="1:32" x14ac:dyDescent="0.2">
      <c r="A8" s="316">
        <v>2</v>
      </c>
      <c r="B8" s="488" t="s">
        <v>148</v>
      </c>
      <c r="C8" s="318">
        <v>13</v>
      </c>
      <c r="D8" s="319"/>
      <c r="E8" s="318">
        <v>13</v>
      </c>
      <c r="F8" s="318"/>
      <c r="G8" s="318"/>
      <c r="H8" s="317" t="str">
        <f>(IF(C8-D7&gt;0,1)+IF(E8-D9&gt;0,1)+IF(F8-D10&gt;0,1)+IF(G8-D11&gt;0,1))&amp;"-"&amp;(IF(C8-D7&lt;0,1)+IF(E8-D9&lt;0,1)+IF(F8-D10&lt;0,1)+IF(G8-D11&lt;0,1))</f>
        <v>2-0</v>
      </c>
      <c r="I8" s="318" t="str">
        <f>IF(AND(B8&lt;&gt;"",R$6=TRUE),A$6&amp;RANK(S8,S$7:S$11,0)," ")</f>
        <v>A1</v>
      </c>
      <c r="J8" s="489">
        <f>IF(AND(Q8=1,Q7=1,C8&gt;D7),1)+IF(AND(Q8=1,Q9=1,E8&gt;D9),1)+IF(AND(Q8=1,Q10=1,F8&gt;D10),1)+IF(AND(Q8=1,Q11=1,G8&gt;D11),1)+IF(AND(Q8=2,Q7=2,C8&gt;D7),1)+IF(AND(Q8=2,Q9=2,E8&gt;D9),1)+IF(AND(Q8=2,Q10=2,F8&gt;D10),1)+IF(AND(Q8=2,Q11=2,G8&gt;D11),1)+IF(AND(Q8=3,Q7=3,C8&gt;D7),1)+IF(AND(Q8=3,Q9=3,E8&gt;D9),1)+IF(AND(Q8=3,Q10=3,F8&gt;D10),1)+IF(AND(Q8=3,Q11=3,G8&gt;D11),1)</f>
        <v>0</v>
      </c>
      <c r="K8" s="483">
        <f>SUM(AND(T8=T7,C8&gt;D7),AND(T8=T9,E8&gt;D9),AND(T8=T10,F8&gt;D10),AND(T8=T11,G8&gt;D11))</f>
        <v>0</v>
      </c>
      <c r="L8" s="490">
        <f>IF(AND(Q8=1,Q7=1),C8-D7)+IF(AND(Q8=1,Q9=1),E8-D9)+IF(AND(Q8=1,Q10=1),F8-D10)+IF(AND(Q8=1,Q11=1),G8-D11)+IF(AND(Q8=2,Q7=2),C8-D7)+IF(AND(Q8=2,Q9=2),E8-D9)+IF(AND(Q8=2,Q10=2),F8-D10)+IF(AND(Q8=2,Q11=2),G8-D11)+IF(AND(Q8=3,Q7=3),C8-D7)+IF(AND(Q8=3,Q9=3),E8-D9)+IF(AND(Q8=3,Q10=3),F8-D10)+IF(AND(Q8=3,Q11=3),G8-D11)+IF(AND(Q8=4,Q7=4),C8-D7)+IF(AND(Q8=4,Q9=4),E8-D9)+IF(AND(Q8=4,Q10=4),F8-D10)+IF(AND(Q8=4,Q11=4),G8-D11)</f>
        <v>0</v>
      </c>
      <c r="M8" s="483">
        <f>SUM(AND(R8=R7,C8&gt;D7),AND(R8=R9,E8&gt;D9),AND(R8=R10,F8&gt;D10),AND(R8=R11,G8&gt;D11))</f>
        <v>0</v>
      </c>
      <c r="N8" s="968" t="str">
        <f>SUM(C8:G8)&amp;"-"&amp;SUM(D7:D11)</f>
        <v>26-15</v>
      </c>
      <c r="O8" s="533">
        <f>C8+E8+F8+G8-D7-D9-D10-D11</f>
        <v>11</v>
      </c>
      <c r="P8" s="485">
        <f>SUM(C8:G8,D7:D11)/SUM(D7:D11)</f>
        <v>2.7333333333333334</v>
      </c>
      <c r="Q8" s="491">
        <f>VALUE(LEFT(H8,1))</f>
        <v>2</v>
      </c>
      <c r="R8" s="321">
        <f>Q8*100000+J8*10000+K8*1000+100*L8</f>
        <v>200000</v>
      </c>
      <c r="S8" s="486">
        <f>R8+M8*0.1+IF(ISNONTEXT(B8),0,0.01)+0.0001*O8</f>
        <v>200000.0111</v>
      </c>
      <c r="T8" s="487" t="str">
        <f>Q8&amp;J8</f>
        <v>20</v>
      </c>
      <c r="U8" s="477"/>
      <c r="V8" s="921"/>
      <c r="W8" s="477"/>
      <c r="X8" s="477"/>
      <c r="Y8" s="477"/>
      <c r="Z8" s="477"/>
      <c r="AA8" s="477"/>
      <c r="AB8" s="477"/>
      <c r="AC8" s="485"/>
      <c r="AD8" s="405">
        <f t="shared" si="0"/>
        <v>67</v>
      </c>
      <c r="AE8" s="406">
        <f>IFERROR(INDEX(V!R$7:R$107,MATCH(AF8,V!L$7:L$107,0)),"")</f>
        <v>67</v>
      </c>
      <c r="AF8" s="407" t="str">
        <f t="shared" ref="AF8:AF31" si="1">IF(ISNUMBER(SEARCH(", ",$B8)),IFERROR(LEFT($B8,(FIND(",",$B8,1)-1)),""),B8)</f>
        <v>Svetlana Veski</v>
      </c>
    </row>
    <row r="9" spans="1:32" x14ac:dyDescent="0.2">
      <c r="A9" s="316">
        <v>3</v>
      </c>
      <c r="B9" s="488" t="s">
        <v>136</v>
      </c>
      <c r="C9" s="318">
        <v>13</v>
      </c>
      <c r="D9" s="492">
        <v>11</v>
      </c>
      <c r="E9" s="319"/>
      <c r="F9" s="318"/>
      <c r="G9" s="318"/>
      <c r="H9" s="317" t="str">
        <f>(IF(C9-E7&gt;0,1)+IF(D9-E8&gt;0,1)+IF(F9-E10&gt;0,1)+IF(G9-E11&gt;0,1))&amp;"-"&amp;(IF(C9-E7&lt;0,1)+IF(D9-E8&lt;0,1)+IF(F9-E10&lt;0,1)+IF(G9-E11&lt;0,1))</f>
        <v>1-1</v>
      </c>
      <c r="I9" s="318" t="str">
        <f>IF(AND(B9&lt;&gt;"",R$6=TRUE),A$6&amp;RANK(S9,S$7:S$11,0)," ")</f>
        <v>A2</v>
      </c>
      <c r="J9" s="489">
        <f>IF(AND(Q9=1,Q7=1,C9&gt;E7),1)+IF(AND(Q9=1,Q8=1,D9&gt;E8),1)+IF(AND(Q9=1,Q10=1,F9&gt;E10),1)+IF(AND(Q9=1,Q11=1,G9&gt;E11),1)+IF(AND(Q9=2,Q7=2,C9&gt;E7),1)+IF(AND(Q9=2,Q8=2,D9&gt;E8),1)+IF(AND(Q9=2,Q10=2,F9&gt;E10),1)+IF(AND(Q9=2,Q11=2,G9&gt;E11),1)+IF(AND(Q9=3,Q7=3,C9&gt;E7),1)+IF(AND(Q9=3,Q8=3,D9&gt;E8),1)+IF(AND(Q9=3,Q10=3,F9&gt;E10),1)+IF(AND(Q9=3,Q11=3,G9&gt;E11),1)</f>
        <v>0</v>
      </c>
      <c r="K9" s="483">
        <f>SUM(AND(T9=T7,C9&gt;E7),AND(T9=T8,D9&gt;E8),AND(T9=T10,F9&gt;E10),AND(T9=T11,G9&gt;E11))</f>
        <v>0</v>
      </c>
      <c r="L9" s="490">
        <f>IF(AND(Q9=1,Q7=1),C9-E7)+IF(AND(Q9=1,Q8=1),D9-E8)+IF(AND(Q9=1,Q10=1),F9-E10)+IF(AND(Q9=1,Q11=1),G9-E11)+IF(AND(Q9=2,Q7=2),C9-E7)+IF(AND(Q9=2,Q8=2),D9-E8)+IF(AND(Q9=2,Q10=2),F9-E10)+IF(AND(Q9=2,Q11=2),G9-E11)+IF(AND(Q9=3,Q7=3),C9-E7)+IF(AND(Q9=3,Q8=3),D9-E8)+IF(AND(Q9=3,Q10=3),F9-E10)+IF(AND(Q9=3,Q11=3),G9-E11)+IF(AND(Q9=4,Q7=4),C9-E7)+IF(AND(Q9=4,Q8=4),D9-E8)+IF(AND(Q9=4,Q10=4),F9-E10)+IF(AND(Q9=4,Q11=4),G9-E11)</f>
        <v>0</v>
      </c>
      <c r="M9" s="483">
        <f>SUM(AND(R9=R7,C9&gt;E7),AND(R9=R8,D9&gt;E8),AND(R9=R10,F9&gt;E10),AND(R9=R11,G9&gt;E11))</f>
        <v>0</v>
      </c>
      <c r="N9" s="968" t="str">
        <f>SUM(C9:G9)&amp;"-"&amp;SUM(E7:E11)</f>
        <v>24-17</v>
      </c>
      <c r="O9" s="533">
        <f>C9+D9+F9+G9-E7-E8-E10-E11</f>
        <v>7</v>
      </c>
      <c r="P9" s="485">
        <f>SUM(C9:G9,E7:E11)/SUM(E7:E11)</f>
        <v>2.4117647058823528</v>
      </c>
      <c r="Q9" s="491">
        <f>VALUE(LEFT(H9,1))</f>
        <v>1</v>
      </c>
      <c r="R9" s="321">
        <f>Q9*100000+J9*10000+K9*1000+100*L9</f>
        <v>100000</v>
      </c>
      <c r="S9" s="486">
        <f>R9+M9*0.1+IF(ISNONTEXT(B9),0,0.01)+0.0001*O9</f>
        <v>100000.0107</v>
      </c>
      <c r="T9" s="487" t="str">
        <f>Q9&amp;J9</f>
        <v>10</v>
      </c>
      <c r="U9" s="477"/>
      <c r="V9" s="921"/>
      <c r="W9" s="477"/>
      <c r="X9" s="477"/>
      <c r="Y9" s="477"/>
      <c r="Z9" s="477"/>
      <c r="AA9" s="477"/>
      <c r="AB9" s="477"/>
      <c r="AC9" s="485"/>
      <c r="AD9" s="405">
        <f t="shared" si="0"/>
        <v>81</v>
      </c>
      <c r="AE9" s="406">
        <f>IFERROR(INDEX(V!R$7:R$107,MATCH(AF9,V!L$7:L$107,0)),"")</f>
        <v>81</v>
      </c>
      <c r="AF9" s="407" t="str">
        <f t="shared" si="1"/>
        <v>Jaan Saar</v>
      </c>
    </row>
    <row r="10" spans="1:32" hidden="1" x14ac:dyDescent="0.2">
      <c r="A10" s="316">
        <v>4</v>
      </c>
      <c r="B10" s="493"/>
      <c r="C10" s="318"/>
      <c r="D10" s="492"/>
      <c r="E10" s="318"/>
      <c r="F10" s="319"/>
      <c r="G10" s="318"/>
      <c r="H10" s="317" t="str">
        <f>(IF(C10-F7&gt;0,1)+IF(D10-F8&gt;0,1)+IF(E10-F9&gt;0,1)+IF(G10-F11&gt;0,1))&amp;"-"&amp;(IF(C10-F7&lt;0,1)+IF(D10-F8&lt;0,1)+IF(E10-F9&lt;0,1)+IF(G10-F11&lt;0,1))</f>
        <v>0-0</v>
      </c>
      <c r="I10" s="318" t="str">
        <f>IF(AND(B10&lt;&gt;"",R$6=TRUE),A$6&amp;RANK(S10,S$7:S$11,0)," ")</f>
        <v xml:space="preserve"> </v>
      </c>
      <c r="J10" s="489">
        <f>IF(AND(Q10=1,Q7=1,C10&gt;F7),1)+IF(AND(Q10=1,Q8=1,D10&gt;F8),1)+IF(AND(Q10=1,Q9=1,E10&gt;F9),1)+IF(AND(Q10=1,Q11=1,G10&gt;F11),1)+IF(AND(Q10=2,Q7=2,C10&gt;F7),1)+IF(AND(Q10=2,Q8=2,D10&gt;F8),1)+IF(AND(Q10=2,Q9=2,E10&gt;F9),1)+IF(AND(Q10=2,Q11=2,G10&gt;F11),1)+IF(AND(Q10=3,Q7=3,C10&gt;F7),1)+IF(AND(Q10=3,Q8=3,D10&gt;F8),1)+IF(AND(Q10=3,Q9=3,E10&gt;F9),1)+IF(AND(Q10=3,Q11=3,G10&gt;F11),1)</f>
        <v>0</v>
      </c>
      <c r="K10" s="483">
        <f>SUM(AND(T10=T7,C10&gt;F7),AND(T10=T8,D10&gt;F8),AND(T10=T9,E10&gt;F9),AND(T10=T11,G10&gt;F11))</f>
        <v>0</v>
      </c>
      <c r="L10" s="490">
        <f>IF(AND(Q10=1,Q7=1),C10-F7)+IF(AND(Q10=1,Q8=1),D10-F8)+IF(AND(Q10=1,Q9=1),E10-F9)+IF(AND(Q10=1,Q11=1),G10-F11)+IF(AND(Q10=2,Q7=2),C10-F7)+IF(AND(Q10=2,Q8=2),D10-F8)+IF(AND(Q10=2,Q9=2),E10-F9)+IF(AND(Q10=2,Q11=2),G10-F11)+IF(AND(Q10=3,Q7=3),C10-F7)+IF(AND(Q10=3,Q8=3),D10-F8)+IF(AND(Q10=3,Q9=3),E10-F9)+IF(AND(Q10=3,Q11=3),G10-F11)+IF(AND(Q10=4,Q7=4),C10-F7)+IF(AND(Q10=4,Q8=4),D10-F8)+IF(AND(Q10=4,Q9=4),E10-F9)+IF(AND(Q10=4,Q11=4),G10-F11)</f>
        <v>0</v>
      </c>
      <c r="M10" s="483">
        <f>SUM(AND(R10=R7,C10&gt;F7),AND(R10=R8,D10&gt;F8),AND(R10=R9,E10&gt;F9),AND(R10=R11,G10&gt;F11))</f>
        <v>0</v>
      </c>
      <c r="N10" s="968" t="str">
        <f>SUM(C10:G10)&amp;"-"&amp;SUM(F7:F11)</f>
        <v>0-0</v>
      </c>
      <c r="O10" s="533">
        <f>C10+D10+E10+G10-F7-F8-F9-F11</f>
        <v>0</v>
      </c>
      <c r="P10" s="485" t="e">
        <f>SUM(C10:G10,F7:F11)/SUM(F7:F11)</f>
        <v>#DIV/0!</v>
      </c>
      <c r="Q10" s="491">
        <f>VALUE(LEFT(H10,1))</f>
        <v>0</v>
      </c>
      <c r="R10" s="321">
        <f>Q10*100000+J10*10000+K10*1000+100*L10</f>
        <v>0</v>
      </c>
      <c r="S10" s="486">
        <f>R10+M10*0.1+IF(ISNONTEXT(B10),0,0.01)+0.0001*O10</f>
        <v>0</v>
      </c>
      <c r="T10" s="487" t="str">
        <f>Q10&amp;J10</f>
        <v>00</v>
      </c>
      <c r="U10" s="477"/>
      <c r="V10" s="922"/>
      <c r="W10" s="477"/>
      <c r="X10" s="477"/>
      <c r="Y10" s="477"/>
      <c r="Z10" s="477"/>
      <c r="AA10" s="477"/>
      <c r="AB10" s="477"/>
      <c r="AC10" s="485"/>
      <c r="AD10" s="405">
        <f t="shared" si="0"/>
        <v>0</v>
      </c>
      <c r="AE10" s="406" t="str">
        <f>IFERROR(INDEX(V!R$7:R$107,MATCH(AF10,V!L$7:L$107,0)),"")</f>
        <v/>
      </c>
      <c r="AF10" s="407">
        <f t="shared" si="1"/>
        <v>0</v>
      </c>
    </row>
    <row r="11" spans="1:32" hidden="1" x14ac:dyDescent="0.2">
      <c r="A11" s="316">
        <v>5</v>
      </c>
      <c r="B11" s="493"/>
      <c r="C11" s="318"/>
      <c r="D11" s="318"/>
      <c r="E11" s="318"/>
      <c r="F11" s="318"/>
      <c r="G11" s="319"/>
      <c r="H11" s="317" t="str">
        <f>(IF(C11-G7&gt;0,1)+IF(D11-G8&gt;0,1)+IF(E11-G9&gt;0,1)+IF(F11-G10&gt;0,1))&amp;"-"&amp;(IF(C11-G7&lt;0,1)+IF(D11-G8&lt;0,1)+IF(E11-G9&lt;0,1)+IF(F11-G10&lt;0,1))</f>
        <v>0-0</v>
      </c>
      <c r="I11" s="318" t="str">
        <f>IF(AND(B11&lt;&gt;"",R$6=TRUE),A$6&amp;RANK(S11,S$7:S$11,0)," ")</f>
        <v xml:space="preserve"> </v>
      </c>
      <c r="J11" s="489">
        <f>IF(AND(Q11=1,Q7=1,C11&gt;G7),1)+IF(AND(Q11=1,Q8=1,D11&gt;G8),1)+IF(AND(Q11=1,Q9=1,E11&gt;G9),1)+IF(AND(Q11=1,Q10=1,F11&gt;G10),1)+IF(AND(Q11=2,Q7=2,C11&gt;G7),1)+IF(AND(Q11=2,Q8=2,D11&gt;G8),1)+IF(AND(Q11=2,Q9=2,E11&gt;G9),1)+IF(AND(Q11=2,Q10=2,F11&gt;G10),1)+IF(AND(Q11=3,Q7=3,C11&gt;G7),1)+IF(AND(Q11=3,Q8=3,D11&gt;G8),1)+IF(AND(Q11=3,Q9=3,E11&gt;G9),1)+IF(AND(Q11=3,Q10=3,F11&gt;G10),1)</f>
        <v>0</v>
      </c>
      <c r="K11" s="483">
        <f>SUM(AND(T11=T7,C11&gt;G7),AND(T11=T8,D11&gt;G8),AND(T11=T9,E11&gt;G9),AND(T11=T10,F11&gt;G10))</f>
        <v>0</v>
      </c>
      <c r="L11" s="490">
        <f>IF(AND(Q11=1,Q7=1),C11-G7)+IF(AND(Q11=1,Q8=1),D11-G8)+IF(AND(Q11=1,Q9=1),E11-G9)+IF(AND(Q11=1,Q10=1),F11-G10)+IF(AND(Q11=2,Q7=2),C11-G7)+IF(AND(Q11=2,Q8=2),D11-G8)+IF(AND(Q11=2,Q9=2),E11-G9)+IF(AND(Q11=2,Q10=2),F11-G10)+IF(AND(Q11=3,Q7=3),C11-G7)+IF(AND(Q11=3,Q8=3),D11-G8)+IF(AND(Q11=3,Q9=3),E11-G9)+IF(AND(Q11=3,Q10=3),F11-G10)+IF(AND(Q11=4,Q7=4),C11-G7)+IF(AND(Q11=4,Q8=4),D11-G8)+IF(AND(Q11=4,Q9=4),E11-G9)+IF(AND(Q11=4,Q10=4),F11-G10)</f>
        <v>0</v>
      </c>
      <c r="M11" s="483">
        <f>SUM(AND(R11=R7,C11&gt;G7),AND(R11=R8,D11&gt;G8),AND(R11=R9,E11&gt;G9),AND(R11=R10,F11&gt;G10))</f>
        <v>0</v>
      </c>
      <c r="N11" s="968" t="str">
        <f>SUM(C11:G11)&amp;"-"&amp;SUM(G7:G11)</f>
        <v>0-0</v>
      </c>
      <c r="O11" s="533">
        <f>C11+D11+E11+F11-G7-G8-G9-G10</f>
        <v>0</v>
      </c>
      <c r="P11" s="485" t="e">
        <f>SUM(C11:G11,G7:G11)/SUM(G7:G11)</f>
        <v>#DIV/0!</v>
      </c>
      <c r="Q11" s="491">
        <f>VALUE(LEFT(H11,1))</f>
        <v>0</v>
      </c>
      <c r="R11" s="321">
        <f>Q11*100000+J11*10000+K11*1000+100*L11</f>
        <v>0</v>
      </c>
      <c r="S11" s="486">
        <f>R11+M11*0.1+IF(ISNONTEXT(B11),0,0.01)+0.0001*O11</f>
        <v>0</v>
      </c>
      <c r="T11" s="487" t="str">
        <f>Q11&amp;J11</f>
        <v>00</v>
      </c>
      <c r="U11" s="477"/>
      <c r="V11" s="922"/>
      <c r="W11" s="477"/>
      <c r="X11" s="477"/>
      <c r="Y11" s="477"/>
      <c r="Z11" s="477"/>
      <c r="AA11" s="477"/>
      <c r="AB11" s="477"/>
      <c r="AC11" s="485"/>
      <c r="AD11" s="405">
        <f t="shared" si="0"/>
        <v>0</v>
      </c>
      <c r="AE11" s="406" t="str">
        <f>IFERROR(INDEX(V!R$7:R$107,MATCH(AF11,V!L$7:L$107,0)),"")</f>
        <v/>
      </c>
      <c r="AF11" s="407">
        <f t="shared" si="1"/>
        <v>0</v>
      </c>
    </row>
    <row r="12" spans="1:32" x14ac:dyDescent="0.2">
      <c r="A12" s="494"/>
      <c r="B12" s="495"/>
      <c r="C12" s="496"/>
      <c r="D12" s="497"/>
      <c r="E12" s="498"/>
      <c r="F12" s="498"/>
      <c r="G12" s="499"/>
      <c r="H12" s="500"/>
      <c r="I12" s="501"/>
      <c r="J12" s="477"/>
      <c r="K12" s="477"/>
      <c r="L12" s="477"/>
      <c r="M12" s="477"/>
      <c r="N12" s="969"/>
      <c r="O12" s="969"/>
      <c r="P12" s="477"/>
      <c r="Q12" s="477"/>
      <c r="R12" s="502" t="s">
        <v>264</v>
      </c>
      <c r="S12" s="477"/>
      <c r="T12" s="477"/>
      <c r="U12" s="477"/>
      <c r="V12" s="923"/>
      <c r="W12" s="477"/>
      <c r="X12" s="477"/>
      <c r="Y12" s="477"/>
      <c r="Z12" s="477"/>
      <c r="AA12" s="477"/>
      <c r="AB12" s="477"/>
      <c r="AC12" s="485"/>
      <c r="AD12" s="405">
        <f t="shared" si="0"/>
        <v>0</v>
      </c>
      <c r="AE12" s="406" t="str">
        <f>IFERROR(INDEX(V!R$7:R$107,MATCH(AF12,V!L$7:L$107,0)),"")</f>
        <v/>
      </c>
      <c r="AF12" s="407">
        <f t="shared" si="1"/>
        <v>0</v>
      </c>
    </row>
    <row r="13" spans="1:32" x14ac:dyDescent="0.2">
      <c r="A13" s="316" t="s">
        <v>1</v>
      </c>
      <c r="B13" s="503"/>
      <c r="C13" s="467">
        <v>1</v>
      </c>
      <c r="D13" s="467">
        <v>2</v>
      </c>
      <c r="E13" s="467">
        <v>3</v>
      </c>
      <c r="F13" s="467">
        <v>4</v>
      </c>
      <c r="G13" s="467"/>
      <c r="H13" s="468" t="s">
        <v>168</v>
      </c>
      <c r="I13" s="468" t="s">
        <v>169</v>
      </c>
      <c r="J13" s="504" t="s">
        <v>257</v>
      </c>
      <c r="K13" s="505" t="s">
        <v>258</v>
      </c>
      <c r="L13" s="506" t="s">
        <v>259</v>
      </c>
      <c r="M13" s="506" t="s">
        <v>260</v>
      </c>
      <c r="N13" s="472" t="s">
        <v>170</v>
      </c>
      <c r="O13" s="472" t="s">
        <v>170</v>
      </c>
      <c r="P13" s="473" t="s">
        <v>261</v>
      </c>
      <c r="Q13" s="507" t="s">
        <v>21</v>
      </c>
      <c r="R13" s="507" t="b">
        <f>OR(AND(COUNTA(B14:B18)=3,COUNTA(C14:G18)=6),AND(COUNTA(B14:B18)=4,COUNTA(C14:G18)=12),AND(COUNTA(B14:B18)=5,COUNTA(C14:G18)=20))</f>
        <v>1</v>
      </c>
      <c r="S13" s="508" t="s">
        <v>262</v>
      </c>
      <c r="T13" s="509" t="s">
        <v>263</v>
      </c>
      <c r="U13" s="477"/>
      <c r="V13" s="924"/>
      <c r="W13" s="477"/>
      <c r="X13" s="477"/>
      <c r="Y13" s="477"/>
      <c r="Z13" s="477"/>
      <c r="AA13" s="477"/>
      <c r="AB13" s="477"/>
      <c r="AC13" s="485"/>
      <c r="AD13" s="405">
        <f t="shared" si="0"/>
        <v>0</v>
      </c>
      <c r="AE13" s="406" t="str">
        <f>IFERROR(INDEX(V!R$7:R$107,MATCH(AF13,V!L$7:L$107,0)),"")</f>
        <v/>
      </c>
      <c r="AF13" s="407">
        <f t="shared" si="1"/>
        <v>0</v>
      </c>
    </row>
    <row r="14" spans="1:32" x14ac:dyDescent="0.2">
      <c r="A14" s="316">
        <v>1</v>
      </c>
      <c r="B14" s="510" t="s">
        <v>144</v>
      </c>
      <c r="C14" s="319"/>
      <c r="D14" s="318">
        <v>8</v>
      </c>
      <c r="E14" s="318">
        <v>13</v>
      </c>
      <c r="F14" s="318">
        <v>13</v>
      </c>
      <c r="G14" s="318"/>
      <c r="H14" s="317" t="str">
        <f>(IF(D14-C15&gt;0,1)+IF(E14-C16&gt;0,1)+IF(F14-C17&gt;0,1)+IF(G14-C18&gt;0,1))&amp;"-"&amp;(IF(D14-C15&lt;0,1)+IF(E14-C16&lt;0,1)+IF(F14-C17&lt;0,1)+IF(G14-C18&lt;0,1))</f>
        <v>2-1</v>
      </c>
      <c r="I14" s="318" t="str">
        <f>IF(AND(B14&lt;&gt;"",R$6=TRUE),A$13&amp;RANK(S14,S$14:S$18,0)," ")</f>
        <v>B2</v>
      </c>
      <c r="J14" s="480">
        <f>IF(AND(Q14=1,Q15=1,D14&gt;C15),1)+IF(AND(Q14=1,Q16=1,E14&gt;C16),1)+IF(AND(Q14=1,Q17=1,F14&gt;C17),1)+IF(AND(Q14=1,Q18=1,G14&gt;C18),1)+IF(AND(Q14=2,Q15=2,D14&gt;C15),1)+IF(AND(Q14=2,Q16=2,E14&gt;C16),1)+IF(AND(Q14=2,Q17=2,F14&gt;C17),1)+IF(AND(Q14=2,Q18=2,G14&gt;C18),1)+IF(AND(Q14=3,Q15=3,D14&gt;C15),1)+IF(AND(Q14=3,Q16=3,E14&gt;C16),1)+IF(AND(Q14=3,Q17=3,F14&gt;C17),1)+IF(AND(Q14=3,Q18=3,G14&gt;C18),1)</f>
        <v>0</v>
      </c>
      <c r="K14" s="481">
        <f>SUM(AND(T14=T15,D14&gt;C15),AND(T14=T16,E14&gt;C16),AND(T14=T17,F14&gt;C17),AND(T14=T18,G14&gt;C18))</f>
        <v>0</v>
      </c>
      <c r="L14" s="482">
        <f>IF(AND(Q14=1,Q15=1),D14-C15)+IF(AND(Q14=1,Q16=1),E14-C16)+IF(AND(Q14=1,Q17=1),F14-C17)+IF(AND(Q14=1,Q18=1),G14-C18)+IF(AND(Q14=2,Q15=2),D14-C15)+IF(AND(Q14=2,Q16=2),E14-C16)+IF(AND(Q14=2,Q17=2),F14-C17)+IF(AND(Q14=2,Q18=2),G14-C18)+IF(AND(Q14=3,Q15=3),D14-C15)+IF(AND(Q14=3,Q16=3),E14-C16)+IF(AND(Q14=3,Q17=3),F14-C17)+IF(AND(Q14=3,Q18=3),G14-C18)+IF(AND(Q14=4,Q15=4),D14-C15)+IF(AND(Q14=4,Q16=4),E14-C16)+IF(AND(Q14=4,Q17=4),F14-C17)+IF(AND(Q14=4,Q18=4),G14-C18)</f>
        <v>0</v>
      </c>
      <c r="M14" s="483">
        <f>SUM(AND(R14=R15,D14&gt;C15),AND(R14=R16,E14&gt;C16),AND(R14=R17,F14&gt;C17),AND(R14=R18,G14&gt;C18))</f>
        <v>0</v>
      </c>
      <c r="N14" s="968" t="str">
        <f>SUM(C14:G14)&amp;"-"&amp;SUM(C14:C18)</f>
        <v>34-24</v>
      </c>
      <c r="O14" s="533">
        <f>D14+E14+F14+G14-C15-C16-C17-C18</f>
        <v>10</v>
      </c>
      <c r="P14" s="485">
        <f>SUM(C14:G14,C14:C18)/SUM(C14:C18)</f>
        <v>2.4166666666666665</v>
      </c>
      <c r="Q14" s="320">
        <f>VALUE(LEFT(H14,1))</f>
        <v>2</v>
      </c>
      <c r="R14" s="321">
        <f>Q14*100000+J14*10000+K14*1000+100*L14</f>
        <v>200000</v>
      </c>
      <c r="S14" s="486">
        <f>R14+M14*0.1+IF(ISNONTEXT(B14),0,0.01)+0.0001*O14</f>
        <v>200000.011</v>
      </c>
      <c r="T14" s="487" t="str">
        <f>Q14&amp;J14</f>
        <v>20</v>
      </c>
      <c r="U14" s="477"/>
      <c r="V14" s="925"/>
      <c r="W14" s="477"/>
      <c r="X14" s="477"/>
      <c r="Y14" s="477"/>
      <c r="Z14" s="477"/>
      <c r="AA14" s="477"/>
      <c r="AB14" s="477"/>
      <c r="AC14" s="485"/>
      <c r="AD14" s="405">
        <f t="shared" si="0"/>
        <v>30</v>
      </c>
      <c r="AE14" s="406">
        <f>IFERROR(INDEX(V!R$7:R$107,MATCH(AF14,V!L$7:L$107,0)),"")</f>
        <v>30</v>
      </c>
      <c r="AF14" s="407" t="str">
        <f t="shared" si="1"/>
        <v>Urmas Jõeäär</v>
      </c>
    </row>
    <row r="15" spans="1:32" x14ac:dyDescent="0.2">
      <c r="A15" s="316">
        <v>2</v>
      </c>
      <c r="B15" s="479" t="s">
        <v>131</v>
      </c>
      <c r="C15" s="318">
        <v>13</v>
      </c>
      <c r="D15" s="319"/>
      <c r="E15" s="318">
        <v>13</v>
      </c>
      <c r="F15" s="318">
        <v>13</v>
      </c>
      <c r="G15" s="318"/>
      <c r="H15" s="317" t="str">
        <f>(IF(C15-D14&gt;0,1)+IF(E15-D16&gt;0,1)+IF(F15-D17&gt;0,1)+IF(G15-D18&gt;0,1))&amp;"-"&amp;(IF(C15-D14&lt;0,1)+IF(E15-D16&lt;0,1)+IF(F15-D17&lt;0,1)+IF(G15-D18&lt;0,1))</f>
        <v>3-0</v>
      </c>
      <c r="I15" s="318" t="str">
        <f>IF(AND(B15&lt;&gt;"",R$6=TRUE),A$13&amp;RANK(S15,S$14:S$18,0)," ")</f>
        <v>B1</v>
      </c>
      <c r="J15" s="489">
        <f>IF(AND(Q15=1,Q14=1,C15&gt;D14),1)+IF(AND(Q15=1,Q16=1,E15&gt;D16),1)+IF(AND(Q15=1,Q17=1,F15&gt;D17),1)+IF(AND(Q15=1,Q18=1,G15&gt;D18),1)+IF(AND(Q15=2,Q14=2,C15&gt;D14),1)+IF(AND(Q15=2,Q16=2,E15&gt;D16),1)+IF(AND(Q15=2,Q17=2,F15&gt;D17),1)+IF(AND(Q15=2,Q18=2,G15&gt;D18),1)+IF(AND(Q15=3,Q14=3,C15&gt;D14),1)+IF(AND(Q15=3,Q16=3,E15&gt;D16),1)+IF(AND(Q15=3,Q17=3,F15&gt;D17),1)+IF(AND(Q15=3,Q18=3,G15&gt;D18),1)</f>
        <v>0</v>
      </c>
      <c r="K15" s="483">
        <f>SUM(AND(T15=T14,C15&gt;D14),AND(T15=T16,E15&gt;D16),AND(T15=T17,F15&gt;D17),AND(T15=T18,G15&gt;D18))</f>
        <v>0</v>
      </c>
      <c r="L15" s="490">
        <f>IF(AND(Q15=1,Q14=1),C15-D14)+IF(AND(Q15=1,Q16=1),E15-D16)+IF(AND(Q15=1,Q17=1),F15-D17)+IF(AND(Q15=1,Q18=1),G15-D18)+IF(AND(Q15=2,Q14=2),C15-D14)+IF(AND(Q15=2,Q16=2),E15-D16)+IF(AND(Q15=2,Q17=2),F15-D17)+IF(AND(Q15=2,Q18=2),G15-D18)+IF(AND(Q15=3,Q14=3),C15-D14)+IF(AND(Q15=3,Q16=3),E15-D16)+IF(AND(Q15=3,Q17=3),F15-D17)+IF(AND(Q15=3,Q18=3),G15-D18)+IF(AND(Q15=4,Q14=4),C15-D14)+IF(AND(Q15=4,Q16=4),E15-D16)+IF(AND(Q15=4,Q17=4),F15-D17)+IF(AND(Q15=4,Q18=4),G15-D18)</f>
        <v>0</v>
      </c>
      <c r="M15" s="483">
        <f>SUM(AND(R15=R14,C15&gt;D14),AND(R15=R16,E15&gt;D16),AND(R15=R17,F15&gt;D17),AND(R15=R18,G15&gt;D18))</f>
        <v>0</v>
      </c>
      <c r="N15" s="968" t="str">
        <f>SUM(C15:G15)&amp;"-"&amp;SUM(D14:D18)</f>
        <v>39-24</v>
      </c>
      <c r="O15" s="533">
        <f>C15+E15+F15+G15-D14-D16-D17-D18</f>
        <v>15</v>
      </c>
      <c r="P15" s="485">
        <f>SUM(C15:G15,D14:D18)/SUM(D14:D18)</f>
        <v>2.625</v>
      </c>
      <c r="Q15" s="491">
        <f>VALUE(LEFT(H15,1))</f>
        <v>3</v>
      </c>
      <c r="R15" s="321">
        <f>Q15*100000+J15*10000+K15*1000+100*L15</f>
        <v>300000</v>
      </c>
      <c r="S15" s="486">
        <f>R15+M15*0.1+IF(ISNONTEXT(B15),0,0.01)+0.0001*O15</f>
        <v>300000.01150000002</v>
      </c>
      <c r="T15" s="487" t="str">
        <f>Q15&amp;J15</f>
        <v>30</v>
      </c>
      <c r="U15" s="477"/>
      <c r="V15" s="920"/>
      <c r="W15" s="477"/>
      <c r="X15" s="477"/>
      <c r="Y15" s="477"/>
      <c r="Z15" s="477"/>
      <c r="AA15" s="477"/>
      <c r="AB15" s="477"/>
      <c r="AC15" s="485"/>
      <c r="AD15" s="405">
        <f t="shared" si="0"/>
        <v>111.5</v>
      </c>
      <c r="AE15" s="406">
        <f>IFERROR(INDEX(V!R$7:R$107,MATCH(AF15,V!L$7:L$107,0)),"")</f>
        <v>111.5</v>
      </c>
      <c r="AF15" s="407" t="str">
        <f t="shared" si="1"/>
        <v>Ülo Piik</v>
      </c>
    </row>
    <row r="16" spans="1:32" x14ac:dyDescent="0.2">
      <c r="A16" s="316">
        <v>3</v>
      </c>
      <c r="B16" s="488" t="s">
        <v>127</v>
      </c>
      <c r="C16" s="318">
        <v>7</v>
      </c>
      <c r="D16" s="492">
        <v>10</v>
      </c>
      <c r="E16" s="319"/>
      <c r="F16" s="318">
        <v>13</v>
      </c>
      <c r="G16" s="318"/>
      <c r="H16" s="317" t="str">
        <f>(IF(C16-E14&gt;0,1)+IF(D16-E15&gt;0,1)+IF(F16-E17&gt;0,1)+IF(G16-E18&gt;0,1))&amp;"-"&amp;(IF(C16-E14&lt;0,1)+IF(D16-E15&lt;0,1)+IF(F16-E17&lt;0,1)+IF(G16-E18&lt;0,1))</f>
        <v>1-2</v>
      </c>
      <c r="I16" s="318" t="str">
        <f>IF(AND(B16&lt;&gt;"",R$6=TRUE),A$13&amp;RANK(S16,S$14:S$18,0)," ")</f>
        <v>B3</v>
      </c>
      <c r="J16" s="489">
        <f>IF(AND(Q16=1,Q14=1,C16&gt;E14),1)+IF(AND(Q16=1,Q15=1,D16&gt;E15),1)+IF(AND(Q16=1,Q17=1,F16&gt;E17),1)+IF(AND(Q16=1,Q18=1,G16&gt;E18),1)+IF(AND(Q16=2,Q14=2,C16&gt;E14),1)+IF(AND(Q16=2,Q15=2,D16&gt;E15),1)+IF(AND(Q16=2,Q17=2,F16&gt;E17),1)+IF(AND(Q16=2,Q18=2,G16&gt;E18),1)+IF(AND(Q16=3,Q14=3,C16&gt;E14),1)+IF(AND(Q16=3,Q15=3,D16&gt;E15),1)+IF(AND(Q16=3,Q17=3,F16&gt;E17),1)+IF(AND(Q16=3,Q18=3,G16&gt;E18),1)</f>
        <v>0</v>
      </c>
      <c r="K16" s="483">
        <f>SUM(AND(T16=T14,C16&gt;E14),AND(T16=T15,D16&gt;E15),AND(T16=T17,F16&gt;E17),AND(T16=T18,G16&gt;E18))</f>
        <v>0</v>
      </c>
      <c r="L16" s="490">
        <f>IF(AND(Q16=1,Q14=1),C16-E14)+IF(AND(Q16=1,Q15=1),D16-E15)+IF(AND(Q16=1,Q17=1),F16-E17)+IF(AND(Q16=1,Q18=1),G16-E18)+IF(AND(Q16=2,Q14=2),C16-E14)+IF(AND(Q16=2,Q15=2),D16-E15)+IF(AND(Q16=2,Q17=2),F16-E17)+IF(AND(Q16=2,Q18=2),G16-E18)+IF(AND(Q16=3,Q14=3),C16-E14)+IF(AND(Q16=3,Q15=3),D16-E15)+IF(AND(Q16=3,Q17=3),F16-E17)+IF(AND(Q16=3,Q18=3),G16-E18)+IF(AND(Q16=4,Q14=4),C16-E14)+IF(AND(Q16=4,Q15=4),D16-E15)+IF(AND(Q16=4,Q17=4),F16-E17)+IF(AND(Q16=4,Q18=4),G16-E18)</f>
        <v>0</v>
      </c>
      <c r="M16" s="483">
        <f>SUM(AND(R16=R14,C16&gt;E14),AND(R16=R15,D16&gt;E15),AND(R16=R17,F16&gt;E17),AND(R16=R18,G16&gt;E18))</f>
        <v>0</v>
      </c>
      <c r="N16" s="968" t="str">
        <f>SUM(C16:G16)&amp;"-"&amp;SUM(E14:E18)</f>
        <v>30-32</v>
      </c>
      <c r="O16" s="533">
        <f>C16+D16+F16+G16-E14-E15-E17-E18</f>
        <v>-2</v>
      </c>
      <c r="P16" s="485">
        <f>SUM(C16:G16,E14:E18)/SUM(E14:E18)</f>
        <v>1.9375</v>
      </c>
      <c r="Q16" s="491">
        <f>VALUE(LEFT(H16,1))</f>
        <v>1</v>
      </c>
      <c r="R16" s="321">
        <f>Q16*100000+J16*10000+K16*1000+100*L16</f>
        <v>100000</v>
      </c>
      <c r="S16" s="486">
        <f>R16+M16*0.1+IF(ISNONTEXT(B16),0,0.01)+0.0001*O16</f>
        <v>100000.0098</v>
      </c>
      <c r="T16" s="487" t="str">
        <f>Q16&amp;J16</f>
        <v>10</v>
      </c>
      <c r="U16" s="477"/>
      <c r="V16" s="921"/>
      <c r="W16" s="477"/>
      <c r="X16" s="477"/>
      <c r="Y16" s="477"/>
      <c r="Z16" s="477"/>
      <c r="AA16" s="477"/>
      <c r="AB16" s="477"/>
      <c r="AC16" s="485"/>
      <c r="AD16" s="405">
        <f t="shared" si="0"/>
        <v>133.5</v>
      </c>
      <c r="AE16" s="406">
        <f>IFERROR(INDEX(V!R$7:R$107,MATCH(AF16,V!L$7:L$107,0)),"")</f>
        <v>133.5</v>
      </c>
      <c r="AF16" s="407" t="str">
        <f t="shared" si="1"/>
        <v>Tõnu Piik</v>
      </c>
    </row>
    <row r="17" spans="1:32" x14ac:dyDescent="0.2">
      <c r="A17" s="316">
        <v>4</v>
      </c>
      <c r="B17" s="493" t="s">
        <v>368</v>
      </c>
      <c r="C17" s="318">
        <v>4</v>
      </c>
      <c r="D17" s="492">
        <v>6</v>
      </c>
      <c r="E17" s="318">
        <v>6</v>
      </c>
      <c r="F17" s="319"/>
      <c r="G17" s="511"/>
      <c r="H17" s="317" t="str">
        <f>(IF(C17-F14&gt;0,1)+IF(D17-F15&gt;0,1)+IF(E17-F16&gt;0,1)+IF(G17-F18&gt;0,1))&amp;"-"&amp;(IF(C17-F14&lt;0,1)+IF(D17-F15&lt;0,1)+IF(E17-F16&lt;0,1)+IF(G17-F18&lt;0,1))</f>
        <v>0-3</v>
      </c>
      <c r="I17" s="318" t="str">
        <f>IF(AND(B17&lt;&gt;"",R$6=TRUE),A$13&amp;RANK(S17,S$14:S$18,0)," ")</f>
        <v>B4</v>
      </c>
      <c r="J17" s="489">
        <f>IF(AND(Q17=1,Q14=1,C17&gt;F14),1)+IF(AND(Q17=1,Q15=1,D17&gt;F15),1)+IF(AND(Q17=1,Q16=1,E17&gt;F16),1)+IF(AND(Q17=1,Q18=1,G17&gt;F18),1)+IF(AND(Q17=2,Q14=2,C17&gt;F14),1)+IF(AND(Q17=2,Q15=2,D17&gt;F15),1)+IF(AND(Q17=2,Q16=2,E17&gt;F16),1)+IF(AND(Q17=2,Q18=2,G17&gt;F18),1)+IF(AND(Q17=3,Q14=3,C17&gt;F14),1)+IF(AND(Q17=3,Q15=3,D17&gt;F15),1)+IF(AND(Q17=3,Q16=3,E17&gt;F16),1)+IF(AND(Q17=3,Q18=3,G17&gt;F18),1)</f>
        <v>0</v>
      </c>
      <c r="K17" s="483">
        <f>SUM(AND(T17=T14,C17&gt;F14),AND(T17=T15,D17&gt;F15),AND(T17=T16,E17&gt;F16),AND(T17=T18,G17&gt;F18))</f>
        <v>0</v>
      </c>
      <c r="L17" s="490">
        <f>IF(AND(Q17=1,Q14=1),C17-F14)+IF(AND(Q17=1,Q15=1),D17-F15)+IF(AND(Q17=1,Q16=1),E17-F16)+IF(AND(Q17=1,Q18=1),G17-F18)+IF(AND(Q17=2,Q14=2),C17-F14)+IF(AND(Q17=2,Q15=2),D17-F15)+IF(AND(Q17=2,Q16=2),E17-F16)+IF(AND(Q17=2,Q18=2),G17-F18)+IF(AND(Q17=3,Q14=3),C17-F14)+IF(AND(Q17=3,Q15=3),D17-F15)+IF(AND(Q17=3,Q16=3),E17-F16)+IF(AND(Q17=3,Q18=3),G17-F18)+IF(AND(Q17=4,Q14=4),C17-F14)+IF(AND(Q17=4,Q15=4),D17-F15)+IF(AND(Q17=4,Q16=4),E17-F16)+IF(AND(Q17=4,Q18=4),G17-F18)</f>
        <v>0</v>
      </c>
      <c r="M17" s="483">
        <f>SUM(AND(R17=R14,C17&gt;F14),AND(R17=R15,D17&gt;F15),AND(R17=R16,E17&gt;F16),AND(R17=R18,G17&gt;F18))</f>
        <v>0</v>
      </c>
      <c r="N17" s="968" t="str">
        <f>SUM(C17:G17)&amp;"-"&amp;SUM(F14:F18)</f>
        <v>16-39</v>
      </c>
      <c r="O17" s="533">
        <f>C17+D17+E17+G17-F14-F15-F16-F18</f>
        <v>-23</v>
      </c>
      <c r="P17" s="485">
        <f>SUM(C17:G17,F14:F18)/SUM(F14:F18)</f>
        <v>1.4102564102564104</v>
      </c>
      <c r="Q17" s="491">
        <f>VALUE(LEFT(H17,1))</f>
        <v>0</v>
      </c>
      <c r="R17" s="321">
        <f>Q17*100000+J17*10000+K17*1000+100*L17</f>
        <v>0</v>
      </c>
      <c r="S17" s="486">
        <f>R17+M17*0.1+IF(ISNONTEXT(B17),0,0.01)+0.0001*O17</f>
        <v>7.7000000000000002E-3</v>
      </c>
      <c r="T17" s="487" t="str">
        <f>Q17&amp;J17</f>
        <v>00</v>
      </c>
      <c r="U17" s="477"/>
      <c r="V17" s="922"/>
      <c r="W17" s="477"/>
      <c r="X17" s="477"/>
      <c r="Y17" s="477"/>
      <c r="Z17" s="477"/>
      <c r="AA17" s="477"/>
      <c r="AB17" s="477"/>
      <c r="AC17" s="485"/>
      <c r="AD17" s="405">
        <f t="shared" si="0"/>
        <v>53</v>
      </c>
      <c r="AE17" s="406">
        <f>IFERROR(INDEX(V!R$7:R$107,MATCH(AF17,V!L$7:L$107,0)),"")</f>
        <v>53</v>
      </c>
      <c r="AF17" s="407" t="str">
        <f t="shared" si="1"/>
        <v>Aurelia Meldre</v>
      </c>
    </row>
    <row r="18" spans="1:32" hidden="1" x14ac:dyDescent="0.2">
      <c r="A18" s="316">
        <v>5</v>
      </c>
      <c r="B18" s="493"/>
      <c r="C18" s="318"/>
      <c r="D18" s="318"/>
      <c r="E18" s="318"/>
      <c r="F18" s="318"/>
      <c r="G18" s="319"/>
      <c r="H18" s="317" t="str">
        <f>(IF(C18-G14&gt;0,1)+IF(D18-G15&gt;0,1)+IF(E18-G16&gt;0,1)+IF(F18-G17&gt;0,1))&amp;"-"&amp;(IF(C18-G14&lt;0,1)+IF(D18-G15&lt;0,1)+IF(E18-G16&lt;0,1)+IF(F18-G17&lt;0,1))</f>
        <v>0-0</v>
      </c>
      <c r="I18" s="318" t="str">
        <f>IF(AND(B18&lt;&gt;"",R$6=TRUE),A$13&amp;RANK(S18,S$14:S$18,0)," ")</f>
        <v xml:space="preserve"> </v>
      </c>
      <c r="J18" s="489">
        <f>IF(AND(Q18=1,Q14=1,C18&gt;G14),1)+IF(AND(Q18=1,Q15=1,D18&gt;G15),1)+IF(AND(Q18=1,Q16=1,E18&gt;G16),1)+IF(AND(Q18=1,Q17=1,F18&gt;G17),1)+IF(AND(Q18=2,Q14=2,C18&gt;G14),1)+IF(AND(Q18=2,Q15=2,D18&gt;G15),1)+IF(AND(Q18=2,Q16=2,E18&gt;G16),1)+IF(AND(Q18=2,Q17=2,F18&gt;G17),1)+IF(AND(Q18=3,Q14=3,C18&gt;G14),1)+IF(AND(Q18=3,Q15=3,D18&gt;G15),1)+IF(AND(Q18=3,Q16=3,E18&gt;G16),1)+IF(AND(Q18=3,Q17=3,F18&gt;G17),1)</f>
        <v>0</v>
      </c>
      <c r="K18" s="483">
        <f>SUM(AND(T18=T14,C18&gt;G14),AND(T18=T15,D18&gt;G15),AND(T18=T16,E18&gt;G16),AND(T18=T17,F18&gt;G17))</f>
        <v>0</v>
      </c>
      <c r="L18" s="490">
        <f>IF(AND(Q18=1,Q14=1),C18-G14)+IF(AND(Q18=1,Q15=1),D18-G15)+IF(AND(Q18=1,Q16=1),E18-G16)+IF(AND(Q18=1,Q17=1),F18-G17)+IF(AND(Q18=2,Q14=2),C18-G14)+IF(AND(Q18=2,Q15=2),D18-G15)+IF(AND(Q18=2,Q16=2),E18-G16)+IF(AND(Q18=2,Q17=2),F18-G17)+IF(AND(Q18=3,Q14=3),C18-G14)+IF(AND(Q18=3,Q15=3),D18-G15)+IF(AND(Q18=3,Q16=3),E18-G16)+IF(AND(Q18=3,Q17=3),F18-G17)+IF(AND(Q18=4,Q14=4),C18-G14)+IF(AND(Q18=4,Q15=4),D18-G15)+IF(AND(Q18=4,Q16=4),E18-G16)+IF(AND(Q18=4,Q17=4),F18-G17)</f>
        <v>0</v>
      </c>
      <c r="M18" s="483">
        <f>SUM(AND(R18=R14,C18&gt;G14),AND(R18=R15,D18&gt;G15),AND(R18=R16,E18&gt;G16),AND(R18=R17,F18&gt;G17))</f>
        <v>0</v>
      </c>
      <c r="N18" s="968" t="str">
        <f>SUM(C18:G18)&amp;"-"&amp;SUM(G14:G18)</f>
        <v>0-0</v>
      </c>
      <c r="O18" s="533">
        <f>C18+D18+E18+F18-G14-G15-G16-G17</f>
        <v>0</v>
      </c>
      <c r="P18" s="485" t="e">
        <f>SUM(C18:G18,G14:G18)/SUM(G14:G18)</f>
        <v>#DIV/0!</v>
      </c>
      <c r="Q18" s="491">
        <f>VALUE(LEFT(H18,1))</f>
        <v>0</v>
      </c>
      <c r="R18" s="321">
        <f>Q18*100000+J18*10000+K18*1000+100*L18</f>
        <v>0</v>
      </c>
      <c r="S18" s="486">
        <f>R18+M18*0.1+IF(ISNONTEXT(B18),0,0.01)+0.0001*O18</f>
        <v>0</v>
      </c>
      <c r="T18" s="487" t="str">
        <f>Q18&amp;J18</f>
        <v>00</v>
      </c>
      <c r="U18" s="477"/>
      <c r="V18" s="922"/>
      <c r="W18" s="477"/>
      <c r="X18" s="477"/>
      <c r="Y18" s="477"/>
      <c r="Z18" s="477"/>
      <c r="AA18" s="477"/>
      <c r="AB18" s="477"/>
      <c r="AC18" s="485"/>
      <c r="AD18" s="405">
        <f t="shared" si="0"/>
        <v>0</v>
      </c>
      <c r="AE18" s="406" t="str">
        <f>IFERROR(INDEX(V!R$7:R$107,MATCH(AF18,V!L$7:L$107,0)),"")</f>
        <v/>
      </c>
      <c r="AF18" s="407">
        <f t="shared" si="1"/>
        <v>0</v>
      </c>
    </row>
    <row r="19" spans="1:32" x14ac:dyDescent="0.2">
      <c r="A19" s="494"/>
      <c r="B19" s="495"/>
      <c r="C19" s="496"/>
      <c r="D19" s="497"/>
      <c r="E19" s="496"/>
      <c r="F19" s="498"/>
      <c r="G19" s="499"/>
      <c r="H19" s="500"/>
      <c r="I19" s="512"/>
      <c r="J19" s="477"/>
      <c r="K19" s="477"/>
      <c r="L19" s="477"/>
      <c r="M19" s="477"/>
      <c r="N19" s="969"/>
      <c r="O19" s="969"/>
      <c r="P19" s="477"/>
      <c r="Q19" s="477"/>
      <c r="R19" s="502" t="s">
        <v>264</v>
      </c>
      <c r="S19" s="477"/>
      <c r="T19" s="477"/>
      <c r="U19" s="477"/>
      <c r="V19" s="923"/>
      <c r="W19" s="477"/>
      <c r="X19" s="477"/>
      <c r="Y19" s="477"/>
      <c r="Z19" s="477"/>
      <c r="AA19" s="477"/>
      <c r="AB19" s="477"/>
      <c r="AC19" s="485"/>
      <c r="AD19" s="405">
        <f t="shared" si="0"/>
        <v>0</v>
      </c>
      <c r="AE19" s="406" t="str">
        <f>IFERROR(INDEX(V!R$7:R$107,MATCH(AF19,V!L$7:L$107,0)),"")</f>
        <v/>
      </c>
      <c r="AF19" s="407">
        <f t="shared" si="1"/>
        <v>0</v>
      </c>
    </row>
    <row r="20" spans="1:32" x14ac:dyDescent="0.2">
      <c r="A20" s="316" t="s">
        <v>2</v>
      </c>
      <c r="B20" s="503"/>
      <c r="C20" s="467">
        <v>1</v>
      </c>
      <c r="D20" s="467">
        <v>2</v>
      </c>
      <c r="E20" s="467">
        <v>3</v>
      </c>
      <c r="F20" s="467">
        <v>4</v>
      </c>
      <c r="G20" s="467"/>
      <c r="H20" s="468" t="s">
        <v>168</v>
      </c>
      <c r="I20" s="468" t="s">
        <v>169</v>
      </c>
      <c r="J20" s="504" t="s">
        <v>257</v>
      </c>
      <c r="K20" s="505" t="s">
        <v>258</v>
      </c>
      <c r="L20" s="506" t="s">
        <v>259</v>
      </c>
      <c r="M20" s="506" t="s">
        <v>260</v>
      </c>
      <c r="N20" s="472" t="s">
        <v>170</v>
      </c>
      <c r="O20" s="472" t="s">
        <v>170</v>
      </c>
      <c r="P20" s="473" t="s">
        <v>261</v>
      </c>
      <c r="Q20" s="507" t="s">
        <v>21</v>
      </c>
      <c r="R20" s="507" t="b">
        <f>OR(AND(COUNTA(B21:B25)=3,COUNTA(C21:G25)=6),AND(COUNTA(B21:B25)=4,COUNTA(C21:G25)=12),AND(COUNTA(B21:B25)=5,COUNTA(C21:G25)=20))</f>
        <v>1</v>
      </c>
      <c r="S20" s="508" t="s">
        <v>262</v>
      </c>
      <c r="T20" s="509" t="s">
        <v>263</v>
      </c>
      <c r="U20" s="477"/>
      <c r="V20" s="924"/>
      <c r="W20" s="477"/>
      <c r="X20" s="477"/>
      <c r="Y20" s="477"/>
      <c r="Z20" s="477"/>
      <c r="AA20" s="477"/>
      <c r="AB20" s="477"/>
      <c r="AC20" s="477"/>
      <c r="AD20" s="405">
        <f t="shared" si="0"/>
        <v>0</v>
      </c>
      <c r="AE20" s="406" t="str">
        <f>IFERROR(INDEX(V!R$7:R$107,MATCH(AF20,V!L$7:L$107,0)),"")</f>
        <v/>
      </c>
      <c r="AF20" s="407">
        <f t="shared" si="1"/>
        <v>0</v>
      </c>
    </row>
    <row r="21" spans="1:32" x14ac:dyDescent="0.2">
      <c r="A21" s="316">
        <v>1</v>
      </c>
      <c r="B21" s="479" t="s">
        <v>85</v>
      </c>
      <c r="C21" s="319"/>
      <c r="D21" s="318">
        <v>13</v>
      </c>
      <c r="E21" s="318">
        <v>13</v>
      </c>
      <c r="F21" s="318">
        <v>13</v>
      </c>
      <c r="G21" s="318"/>
      <c r="H21" s="317" t="str">
        <f>(IF(D21-C22&gt;0,1)+IF(E21-C23&gt;0,1)+IF(F21-C24&gt;0,1)+IF(G21-C25&gt;0,1))&amp;"-"&amp;(IF(D21-C22&lt;0,1)+IF(E21-C23&lt;0,1)+IF(F21-C24&lt;0,1)+IF(G21-C25&lt;0,1))</f>
        <v>3-0</v>
      </c>
      <c r="I21" s="318" t="str">
        <f>IF(AND(B21&lt;&gt;"",R$20=TRUE),A$20&amp;RANK(S21,S$21:S$25,0)," ")</f>
        <v>C1</v>
      </c>
      <c r="J21" s="480">
        <f>IF(AND(Q21=1,Q22=1,D21&gt;C22),1)+IF(AND(Q21=1,Q23=1,E21&gt;C23),1)+IF(AND(Q21=1,Q24=1,F21&gt;C24),1)+IF(AND(Q21=1,Q25=1,G21&gt;C25),1)+IF(AND(Q21=2,Q22=2,D21&gt;C22),1)+IF(AND(Q21=2,Q23=2,E21&gt;C23),1)+IF(AND(Q21=2,Q24=2,F21&gt;C24),1)+IF(AND(Q21=2,Q25=2,G21&gt;C25),1)+IF(AND(Q21=3,Q22=3,D21&gt;C22),1)+IF(AND(Q21=3,Q23=3,E21&gt;C23),1)+IF(AND(Q21=3,Q24=3,F21&gt;C24),1)+IF(AND(Q21=3,Q25=3,G21&gt;C25),1)</f>
        <v>0</v>
      </c>
      <c r="K21" s="481">
        <f>SUM(AND(T21=T22,D21&gt;C22),AND(T21=T23,E21&gt;C23),AND(T21=T24,F21&gt;C24),AND(T21=T25,G21&gt;C25))</f>
        <v>0</v>
      </c>
      <c r="L21" s="482">
        <f>IF(AND(Q21=1,Q22=1),D21-C22)+IF(AND(Q21=1,Q23=1),E21-C23)+IF(AND(Q21=1,Q24=1),F21-C24)+IF(AND(Q21=1,Q25=1),G21-C25)+IF(AND(Q21=2,Q22=2),D21-C22)+IF(AND(Q21=2,Q23=2),E21-C23)+IF(AND(Q21=2,Q24=2),F21-C24)+IF(AND(Q21=2,Q25=2),G21-C25)+IF(AND(Q21=3,Q22=3),D21-C22)+IF(AND(Q21=3,Q23=3),E21-C23)+IF(AND(Q21=3,Q24=3),F21-C24)+IF(AND(Q21=3,Q25=3),G21-C25)+IF(AND(Q21=4,Q22=4),D21-C22)+IF(AND(Q21=4,Q23=4),E21-C23)+IF(AND(Q21=4,Q24=4),F21-C24)+IF(AND(Q21=4,Q25=4),G21-C25)</f>
        <v>0</v>
      </c>
      <c r="M21" s="483">
        <f>SUM(AND(R21=R22,D21&gt;C22),AND(R21=R23,E21&gt;C23),AND(R21=R24,F21&gt;C24),AND(R21=R25,G21&gt;C25))</f>
        <v>0</v>
      </c>
      <c r="N21" s="968" t="str">
        <f>SUM(C21:G21)&amp;"-"&amp;SUM(C21:C25)</f>
        <v>39-13</v>
      </c>
      <c r="O21" s="533">
        <f>D21+E21+F21+G21-C22-C23-C24-C25</f>
        <v>26</v>
      </c>
      <c r="P21" s="485">
        <f>SUM(C21:G21,C21:C25)/SUM(C21:C25)</f>
        <v>4</v>
      </c>
      <c r="Q21" s="320">
        <f>VALUE(LEFT(H21,1))</f>
        <v>3</v>
      </c>
      <c r="R21" s="321">
        <f>Q21*100000+J21*10000+K21*1000+100*L21</f>
        <v>300000</v>
      </c>
      <c r="S21" s="486">
        <f>R21+M21*0.1+IF(ISNONTEXT(B21),0,0.01)+0.0001*O21</f>
        <v>300000.01260000002</v>
      </c>
      <c r="T21" s="487" t="str">
        <f>Q21&amp;J21</f>
        <v>30</v>
      </c>
      <c r="U21" s="477"/>
      <c r="V21" s="920"/>
      <c r="W21" s="477"/>
      <c r="X21" s="477"/>
      <c r="Y21" s="477"/>
      <c r="Z21" s="477"/>
      <c r="AA21" s="477"/>
      <c r="AB21" s="477"/>
      <c r="AC21" s="477"/>
      <c r="AD21" s="405">
        <f t="shared" si="0"/>
        <v>187</v>
      </c>
      <c r="AE21" s="406">
        <f>IFERROR(INDEX(V!R$7:R$107,MATCH(AF21,V!L$7:L$107,0)),"")</f>
        <v>187</v>
      </c>
      <c r="AF21" s="407" t="str">
        <f t="shared" si="1"/>
        <v>Kenneth Muusikus</v>
      </c>
    </row>
    <row r="22" spans="1:32" x14ac:dyDescent="0.2">
      <c r="A22" s="316">
        <v>2</v>
      </c>
      <c r="B22" s="488" t="s">
        <v>145</v>
      </c>
      <c r="C22" s="318">
        <v>4</v>
      </c>
      <c r="D22" s="319"/>
      <c r="E22" s="654">
        <v>12</v>
      </c>
      <c r="F22" s="654">
        <v>13</v>
      </c>
      <c r="G22" s="318"/>
      <c r="H22" s="317" t="str">
        <f>(IF(C22-D21&gt;0,1)+IF(E22-D23&gt;0,1)+IF(F22-D24&gt;0,1)+IF(G22-D25&gt;0,1))&amp;"-"&amp;(IF(C22-D21&lt;0,1)+IF(E22-D23&lt;0,1)+IF(F22-D24&lt;0,1)+IF(G22-D25&lt;0,1))</f>
        <v>1-2</v>
      </c>
      <c r="I22" s="318" t="str">
        <f t="shared" ref="I22:I25" si="2">IF(AND(B22&lt;&gt;"",R$20=TRUE),A$20&amp;RANK(S22,S$21:S$25,0)," ")</f>
        <v>C3</v>
      </c>
      <c r="J22" s="489">
        <f>IF(AND(Q22=1,Q21=1,C22&gt;D21),1)+IF(AND(Q22=1,Q23=1,E22&gt;D23),1)+IF(AND(Q22=1,Q24=1,F22&gt;D24),1)+IF(AND(Q22=1,Q25=1,G22&gt;D25),1)+IF(AND(Q22=2,Q21=2,C22&gt;D21),1)+IF(AND(Q22=2,Q23=2,E22&gt;D23),1)+IF(AND(Q22=2,Q24=2,F22&gt;D24),1)+IF(AND(Q22=2,Q25=2,G22&gt;D25),1)+IF(AND(Q22=3,Q21=3,C22&gt;D21),1)+IF(AND(Q22=3,Q23=3,E22&gt;D23),1)+IF(AND(Q22=3,Q24=3,F22&gt;D24),1)+IF(AND(Q22=3,Q25=3,G22&gt;D25),1)</f>
        <v>1</v>
      </c>
      <c r="K22" s="483">
        <f>SUM(AND(T22=T21,C22&gt;D21),AND(T22=T23,E22&gt;D23),AND(T22=T24,F22&gt;D24),AND(T22=T25,G22&gt;D25))</f>
        <v>1</v>
      </c>
      <c r="L22" s="490">
        <f>IF(AND(Q22=1,Q21=1),C22-D21)+IF(AND(Q22=1,Q23=1),E22-D23)+IF(AND(Q22=1,Q24=1),F22-D24)+IF(AND(Q22=1,Q25=1),G22-D25)+IF(AND(Q22=2,Q21=2),C22-D21)+IF(AND(Q22=2,Q23=2),E22-D23)+IF(AND(Q22=2,Q24=2),F22-D24)+IF(AND(Q22=2,Q25=2),G22-D25)+IF(AND(Q22=3,Q21=3),C22-D21)+IF(AND(Q22=3,Q23=3),E22-D23)+IF(AND(Q22=3,Q24=3),F22-D24)+IF(AND(Q22=3,Q25=3),G22-D25)+IF(AND(Q22=4,Q21=4),C22-D21)+IF(AND(Q22=4,Q23=4),E22-D23)+IF(AND(Q22=4,Q24=4),F22-D24)+IF(AND(Q22=4,Q25=4),G22-D25)</f>
        <v>0</v>
      </c>
      <c r="M22" s="483">
        <f>SUM(AND(R22=R21,C22&gt;D21),AND(R22=R23,E22&gt;D23),AND(R22=R24,F22&gt;D24),AND(R22=R25,G22&gt;D25))</f>
        <v>0</v>
      </c>
      <c r="N22" s="968" t="str">
        <f>SUM(C22:G22)&amp;"-"&amp;SUM(D21:D25)</f>
        <v>29-38</v>
      </c>
      <c r="O22" s="533">
        <f>C22+E22+F22+G22-D21-D23-D24-D25</f>
        <v>-9</v>
      </c>
      <c r="P22" s="485">
        <f>SUM(C22:G22,D21:D25)/SUM(D21:D25)</f>
        <v>1.763157894736842</v>
      </c>
      <c r="Q22" s="491">
        <f>VALUE(LEFT(H22,1))</f>
        <v>1</v>
      </c>
      <c r="R22" s="321">
        <f>Q22*100000+J22*10000+K22*1000+100*L22</f>
        <v>111000</v>
      </c>
      <c r="S22" s="486">
        <f>R22+M22*0.1+IF(ISNONTEXT(B22),0,0.01)+0.0001*O22</f>
        <v>111000.0091</v>
      </c>
      <c r="T22" s="487" t="str">
        <f>Q22&amp;J22</f>
        <v>11</v>
      </c>
      <c r="U22" s="477"/>
      <c r="V22" s="921"/>
      <c r="W22" s="477"/>
      <c r="X22" s="477"/>
      <c r="Y22" s="477"/>
      <c r="Z22" s="477"/>
      <c r="AA22" s="477"/>
      <c r="AB22" s="477"/>
      <c r="AC22" s="477"/>
      <c r="AD22" s="405">
        <f t="shared" si="0"/>
        <v>104</v>
      </c>
      <c r="AE22" s="406">
        <f>IFERROR(INDEX(V!R$7:R$107,MATCH(AF22,V!L$7:L$107,0)),"")</f>
        <v>104</v>
      </c>
      <c r="AF22" s="407" t="str">
        <f t="shared" si="1"/>
        <v>Andres Veski</v>
      </c>
    </row>
    <row r="23" spans="1:32" x14ac:dyDescent="0.2">
      <c r="A23" s="316">
        <v>3</v>
      </c>
      <c r="B23" s="488" t="s">
        <v>160</v>
      </c>
      <c r="C23" s="318">
        <v>7</v>
      </c>
      <c r="D23" s="655">
        <v>13</v>
      </c>
      <c r="E23" s="319"/>
      <c r="F23" s="654">
        <v>6</v>
      </c>
      <c r="G23" s="318"/>
      <c r="H23" s="317" t="str">
        <f>(IF(C23-E21&gt;0,1)+IF(D23-E22&gt;0,1)+IF(F23-E24&gt;0,1)+IF(G23-E25&gt;0,1))&amp;"-"&amp;(IF(C23-E21&lt;0,1)+IF(D23-E22&lt;0,1)+IF(F23-E24&lt;0,1)+IF(G23-E25&lt;0,1))</f>
        <v>1-2</v>
      </c>
      <c r="I23" s="318" t="str">
        <f t="shared" si="2"/>
        <v>C4</v>
      </c>
      <c r="J23" s="489">
        <f>IF(AND(Q23=1,Q21=1,C23&gt;E21),1)+IF(AND(Q23=1,Q22=1,D23&gt;E22),1)+IF(AND(Q23=1,Q24=1,F23&gt;E24),1)+IF(AND(Q23=1,Q25=1,G23&gt;E25),1)+IF(AND(Q23=2,Q21=2,C23&gt;E21),1)+IF(AND(Q23=2,Q22=2,D23&gt;E22),1)+IF(AND(Q23=2,Q24=2,F23&gt;E24),1)+IF(AND(Q23=2,Q25=2,G23&gt;E25),1)+IF(AND(Q23=3,Q21=3,C23&gt;E21),1)+IF(AND(Q23=3,Q22=3,D23&gt;E22),1)+IF(AND(Q23=3,Q24=3,F23&gt;E24),1)+IF(AND(Q23=3,Q25=3,G23&gt;E25),1)</f>
        <v>1</v>
      </c>
      <c r="K23" s="483">
        <f>SUM(AND(T23=T21,C23&gt;E21),AND(T23=T22,D23&gt;E22),AND(T23=T24,F23&gt;E24),AND(T23=T25,G23&gt;E25))</f>
        <v>1</v>
      </c>
      <c r="L23" s="490">
        <f>IF(AND(Q23=1,Q21=1),C23-E21)+IF(AND(Q23=1,Q22=1),D23-E22)+IF(AND(Q23=1,Q24=1),F23-E24)+IF(AND(Q23=1,Q25=1),G23-E25)+IF(AND(Q23=2,Q21=2),C23-E21)+IF(AND(Q23=2,Q22=2),D23-E22)+IF(AND(Q23=2,Q24=2),F23-E24)+IF(AND(Q23=2,Q25=2),G23-E25)+IF(AND(Q23=3,Q21=3),C23-E21)+IF(AND(Q23=3,Q22=3),D23-E22)+IF(AND(Q23=3,Q24=3),F23-E24)+IF(AND(Q23=3,Q25=3),G23-E25)+IF(AND(Q23=4,Q21=4),C23-E21)+IF(AND(Q23=4,Q22=4),D23-E22)+IF(AND(Q23=4,Q24=4),F23-E24)+IF(AND(Q23=4,Q25=4),G23-E25)</f>
        <v>-6</v>
      </c>
      <c r="M23" s="483">
        <f>SUM(AND(R23=R21,C23&gt;E21),AND(R23=R22,D23&gt;E22),AND(R23=R24,F23&gt;E24),AND(R23=R25,G23&gt;E25))</f>
        <v>0</v>
      </c>
      <c r="N23" s="968" t="str">
        <f>SUM(C23:G23)&amp;"-"&amp;SUM(E21:E25)</f>
        <v>26-38</v>
      </c>
      <c r="O23" s="533">
        <f>C23+D23+F23+G23-E21-E22-E24-E25</f>
        <v>-12</v>
      </c>
      <c r="P23" s="485">
        <f>SUM(C23:G23,E21:E25)/SUM(E21:E25)</f>
        <v>1.6842105263157894</v>
      </c>
      <c r="Q23" s="491">
        <f>VALUE(LEFT(H23,1))</f>
        <v>1</v>
      </c>
      <c r="R23" s="321">
        <f>Q23*100000+J23*10000+K23*1000+100*L23</f>
        <v>110400</v>
      </c>
      <c r="S23" s="486">
        <f>R23+M23*0.1+IF(ISNONTEXT(B23),0,0.01)+0.0001*O23</f>
        <v>110400.0088</v>
      </c>
      <c r="T23" s="487" t="str">
        <f>Q23&amp;J23</f>
        <v>11</v>
      </c>
      <c r="U23" s="477"/>
      <c r="V23" s="921"/>
      <c r="W23" s="477"/>
      <c r="X23" s="477"/>
      <c r="Y23" s="477"/>
      <c r="Z23" s="477"/>
      <c r="AA23" s="477"/>
      <c r="AB23" s="477"/>
      <c r="AC23" s="477"/>
      <c r="AD23" s="405">
        <f t="shared" si="0"/>
        <v>25</v>
      </c>
      <c r="AE23" s="406">
        <f>IFERROR(INDEX(V!R$7:R$107,MATCH(AF23,V!L$7:L$107,0)),"")</f>
        <v>25</v>
      </c>
      <c r="AF23" s="407" t="str">
        <f t="shared" si="1"/>
        <v>Vello Vasser</v>
      </c>
    </row>
    <row r="24" spans="1:32" x14ac:dyDescent="0.2">
      <c r="A24" s="316">
        <v>4</v>
      </c>
      <c r="B24" s="488" t="s">
        <v>133</v>
      </c>
      <c r="C24" s="318">
        <v>2</v>
      </c>
      <c r="D24" s="655">
        <v>12</v>
      </c>
      <c r="E24" s="654">
        <v>13</v>
      </c>
      <c r="F24" s="319"/>
      <c r="G24" s="511"/>
      <c r="H24" s="317" t="str">
        <f>(IF(C24-F21&gt;0,1)+IF(D24-F22&gt;0,1)+IF(E24-F23&gt;0,1)+IF(G24-F25&gt;0,1))&amp;"-"&amp;(IF(C24-F21&lt;0,1)+IF(D24-F22&lt;0,1)+IF(E24-F23&lt;0,1)+IF(G24-F25&lt;0,1))</f>
        <v>1-2</v>
      </c>
      <c r="I24" s="318" t="str">
        <f t="shared" si="2"/>
        <v>C2</v>
      </c>
      <c r="J24" s="489">
        <f>IF(AND(Q24=1,Q21=1,C24&gt;F21),1)+IF(AND(Q24=1,Q22=1,D24&gt;F22),1)+IF(AND(Q24=1,Q23=1,E24&gt;F23),1)+IF(AND(Q24=1,Q25=1,G24&gt;F25),1)+IF(AND(Q24=2,Q21=2,C24&gt;F21),1)+IF(AND(Q24=2,Q22=2,D24&gt;F22),1)+IF(AND(Q24=2,Q23=2,E24&gt;F23),1)+IF(AND(Q24=2,Q25=2,G24&gt;F25),1)+IF(AND(Q24=3,Q21=3,C24&gt;F21),1)+IF(AND(Q24=3,Q22=3,D24&gt;F22),1)+IF(AND(Q24=3,Q23=3,E24&gt;F23),1)+IF(AND(Q24=3,Q25=3,G24&gt;F25),1)</f>
        <v>1</v>
      </c>
      <c r="K24" s="483">
        <f>SUM(AND(T24=T21,C24&gt;F21),AND(T24=T22,D24&gt;F22),AND(T24=T23,E24&gt;F23),AND(T24=T25,G24&gt;F25))</f>
        <v>1</v>
      </c>
      <c r="L24" s="490">
        <f>IF(AND(Q24=1,Q21=1),C24-F21)+IF(AND(Q24=1,Q22=1),D24-F22)+IF(AND(Q24=1,Q23=1),E24-F23)+IF(AND(Q24=1,Q25=1),G24-F25)+IF(AND(Q24=2,Q21=2),C24-F21)+IF(AND(Q24=2,Q22=2),D24-F22)+IF(AND(Q24=2,Q23=2),E24-F23)+IF(AND(Q24=2,Q25=2),G24-F25)+IF(AND(Q24=3,Q21=3),C24-F21)+IF(AND(Q24=3,Q22=3),D24-F22)+IF(AND(Q24=3,Q23=3),E24-F23)+IF(AND(Q24=3,Q25=3),G24-F25)+IF(AND(Q24=4,Q21=4),C24-F21)+IF(AND(Q24=4,Q22=4),D24-F22)+IF(AND(Q24=4,Q23=4),E24-F23)+IF(AND(Q24=4,Q25=4),G24-F25)</f>
        <v>6</v>
      </c>
      <c r="M24" s="483">
        <f>SUM(AND(R24=R21,C24&gt;F21),AND(R24=R22,D24&gt;F22),AND(R24=R23,E24&gt;F23),AND(R24=R25,G24&gt;F25))</f>
        <v>0</v>
      </c>
      <c r="N24" s="968" t="str">
        <f>SUM(C24:G24)&amp;"-"&amp;SUM(F21:F25)</f>
        <v>27-32</v>
      </c>
      <c r="O24" s="533">
        <f>C24+D24+E24+G24-F21-F22-F23-F25</f>
        <v>-5</v>
      </c>
      <c r="P24" s="485">
        <f>SUM(C24:G24,F21:F25)/SUM(F21:F25)</f>
        <v>1.84375</v>
      </c>
      <c r="Q24" s="491">
        <f>VALUE(LEFT(H24,1))</f>
        <v>1</v>
      </c>
      <c r="R24" s="321">
        <f>Q24*100000+J24*10000+K24*1000+100*L24</f>
        <v>111600</v>
      </c>
      <c r="S24" s="486">
        <f>R24+M24*0.1+IF(ISNONTEXT(B24),0,0.01)+0.0001*O24</f>
        <v>111600.0095</v>
      </c>
      <c r="T24" s="487" t="str">
        <f>Q24&amp;J24</f>
        <v>11</v>
      </c>
      <c r="U24" s="477"/>
      <c r="V24" s="921"/>
      <c r="W24" s="477"/>
      <c r="X24" s="477"/>
      <c r="Y24" s="477"/>
      <c r="Z24" s="477"/>
      <c r="AA24" s="477"/>
      <c r="AB24" s="477"/>
      <c r="AC24" s="477"/>
      <c r="AD24" s="405">
        <f t="shared" si="0"/>
        <v>65</v>
      </c>
      <c r="AE24" s="406">
        <f>IFERROR(INDEX(V!R$7:R$107,MATCH(AF24,V!L$7:L$107,0)),"")</f>
        <v>65</v>
      </c>
      <c r="AF24" s="407" t="str">
        <f t="shared" si="1"/>
        <v>Illar Tõnurist</v>
      </c>
    </row>
    <row r="25" spans="1:32" hidden="1" x14ac:dyDescent="0.2">
      <c r="A25" s="316">
        <v>5</v>
      </c>
      <c r="B25" s="493"/>
      <c r="C25" s="318"/>
      <c r="D25" s="318"/>
      <c r="E25" s="318"/>
      <c r="F25" s="318"/>
      <c r="G25" s="319"/>
      <c r="H25" s="317" t="str">
        <f>(IF(C25-G21&gt;0,1)+IF(D25-G22&gt;0,1)+IF(E25-G23&gt;0,1)+IF(F25-G24&gt;0,1))&amp;"-"&amp;(IF(C25-G21&lt;0,1)+IF(D25-G22&lt;0,1)+IF(E25-G23&lt;0,1)+IF(F25-G24&lt;0,1))</f>
        <v>0-0</v>
      </c>
      <c r="I25" s="318" t="str">
        <f t="shared" si="2"/>
        <v xml:space="preserve"> </v>
      </c>
      <c r="J25" s="489">
        <f>IF(AND(Q25=1,Q21=1,C25&gt;G21),1)+IF(AND(Q25=1,Q22=1,D25&gt;G22),1)+IF(AND(Q25=1,Q23=1,E25&gt;G23),1)+IF(AND(Q25=1,Q24=1,F25&gt;G24),1)+IF(AND(Q25=2,Q21=2,C25&gt;G21),1)+IF(AND(Q25=2,Q22=2,D25&gt;G22),1)+IF(AND(Q25=2,Q23=2,E25&gt;G23),1)+IF(AND(Q25=2,Q24=2,F25&gt;G24),1)+IF(AND(Q25=3,Q21=3,C25&gt;G21),1)+IF(AND(Q25=3,Q22=3,D25&gt;G22),1)+IF(AND(Q25=3,Q23=3,E25&gt;G23),1)+IF(AND(Q25=3,Q24=3,F25&gt;G24),1)</f>
        <v>0</v>
      </c>
      <c r="K25" s="483">
        <f>SUM(AND(T25=T21,C25&gt;G21),AND(T25=T22,D25&gt;G22),AND(T25=T23,E25&gt;G23),AND(T25=T24,F25&gt;G24))</f>
        <v>0</v>
      </c>
      <c r="L25" s="490">
        <f>IF(AND(Q25=1,Q21=1),C25-G21)+IF(AND(Q25=1,Q22=1),D25-G22)+IF(AND(Q25=1,Q23=1),E25-G23)+IF(AND(Q25=1,Q24=1),F25-G24)+IF(AND(Q25=2,Q21=2),C25-G21)+IF(AND(Q25=2,Q22=2),D25-G22)+IF(AND(Q25=2,Q23=2),E25-G23)+IF(AND(Q25=2,Q24=2),F25-G24)+IF(AND(Q25=3,Q21=3),C25-G21)+IF(AND(Q25=3,Q22=3),D25-G22)+IF(AND(Q25=3,Q23=3),E25-G23)+IF(AND(Q25=3,Q24=3),F25-G24)+IF(AND(Q25=4,Q21=4),C25-G21)+IF(AND(Q25=4,Q22=4),D25-G22)+IF(AND(Q25=4,Q23=4),E25-G23)+IF(AND(Q25=4,Q24=4),F25-G24)</f>
        <v>0</v>
      </c>
      <c r="M25" s="483">
        <f>SUM(AND(R25=R21,C25&gt;G21),AND(R25=R22,D25&gt;G22),AND(R25=R23,E25&gt;G23),AND(R25=R24,F25&gt;G24))</f>
        <v>0</v>
      </c>
      <c r="N25" s="968" t="str">
        <f>SUM(C25:G25)&amp;"-"&amp;SUM(G21:G25)</f>
        <v>0-0</v>
      </c>
      <c r="O25" s="533">
        <f>C25+D25+E25+F25-G21-G22-G23-G24</f>
        <v>0</v>
      </c>
      <c r="P25" s="485" t="e">
        <f>SUM(C25:G25,G21:G25)/SUM(G21:G25)</f>
        <v>#DIV/0!</v>
      </c>
      <c r="Q25" s="491">
        <f>VALUE(LEFT(H25,1))</f>
        <v>0</v>
      </c>
      <c r="R25" s="321">
        <f>Q25*100000+J25*10000+K25*1000+100*L25</f>
        <v>0</v>
      </c>
      <c r="S25" s="486">
        <f>R25+M25*0.1+IF(ISNONTEXT(B25),0,0.01)+0.0001*O25</f>
        <v>0</v>
      </c>
      <c r="T25" s="487" t="str">
        <f>Q25&amp;J25</f>
        <v>00</v>
      </c>
      <c r="U25" s="477"/>
      <c r="V25" s="922"/>
      <c r="W25" s="477"/>
      <c r="X25" s="477"/>
      <c r="Y25" s="477"/>
      <c r="Z25" s="477"/>
      <c r="AA25" s="477"/>
      <c r="AB25" s="477"/>
      <c r="AC25" s="477"/>
      <c r="AD25" s="405">
        <f t="shared" si="0"/>
        <v>0</v>
      </c>
      <c r="AE25" s="406" t="str">
        <f>IFERROR(INDEX(V!R$7:R$107,MATCH(AF25,V!L$7:L$107,0)),"")</f>
        <v/>
      </c>
      <c r="AF25" s="407">
        <f t="shared" si="1"/>
        <v>0</v>
      </c>
    </row>
    <row r="26" spans="1:32" x14ac:dyDescent="0.2">
      <c r="A26" s="513"/>
      <c r="B26" s="514"/>
      <c r="C26" s="499"/>
      <c r="D26" s="499"/>
      <c r="E26" s="499"/>
      <c r="F26" s="515"/>
      <c r="G26" s="515"/>
      <c r="H26" s="516"/>
      <c r="I26" s="517"/>
      <c r="J26" s="477"/>
      <c r="K26" s="477"/>
      <c r="L26" s="477"/>
      <c r="M26" s="477"/>
      <c r="N26" s="969"/>
      <c r="O26" s="969"/>
      <c r="P26" s="477"/>
      <c r="Q26" s="477"/>
      <c r="R26" s="502" t="s">
        <v>264</v>
      </c>
      <c r="S26" s="477"/>
      <c r="T26" s="477"/>
      <c r="U26" s="477"/>
      <c r="V26" s="498"/>
      <c r="W26" s="477"/>
      <c r="X26" s="477"/>
      <c r="Y26" s="477"/>
      <c r="Z26" s="477"/>
      <c r="AA26" s="477"/>
      <c r="AB26" s="477"/>
      <c r="AC26" s="477"/>
      <c r="AD26" s="405">
        <f t="shared" si="0"/>
        <v>0</v>
      </c>
      <c r="AE26" s="406" t="str">
        <f>IFERROR(INDEX(V!R$7:R$107,MATCH(AF26,V!L$7:L$107,0)),"")</f>
        <v/>
      </c>
      <c r="AF26" s="407">
        <f t="shared" si="1"/>
        <v>0</v>
      </c>
    </row>
    <row r="27" spans="1:32" x14ac:dyDescent="0.2">
      <c r="A27" s="316" t="s">
        <v>3</v>
      </c>
      <c r="B27" s="503"/>
      <c r="C27" s="467">
        <v>1</v>
      </c>
      <c r="D27" s="467">
        <v>2</v>
      </c>
      <c r="E27" s="467">
        <v>3</v>
      </c>
      <c r="F27" s="467">
        <v>4</v>
      </c>
      <c r="G27" s="467"/>
      <c r="H27" s="468" t="s">
        <v>168</v>
      </c>
      <c r="I27" s="468" t="s">
        <v>169</v>
      </c>
      <c r="J27" s="504" t="s">
        <v>257</v>
      </c>
      <c r="K27" s="505" t="s">
        <v>258</v>
      </c>
      <c r="L27" s="506" t="s">
        <v>259</v>
      </c>
      <c r="M27" s="506" t="s">
        <v>260</v>
      </c>
      <c r="N27" s="472" t="s">
        <v>170</v>
      </c>
      <c r="O27" s="472" t="s">
        <v>170</v>
      </c>
      <c r="P27" s="473" t="s">
        <v>261</v>
      </c>
      <c r="Q27" s="507" t="s">
        <v>21</v>
      </c>
      <c r="R27" s="507" t="b">
        <f>OR(AND(COUNTA(B28:B32)=3,COUNTA(C28:G32)=6),AND(COUNTA(B28:B32)=4,COUNTA(C28:G32)=12),AND(COUNTA(B28:B32)=5,COUNTA(C28:G32)=20))</f>
        <v>1</v>
      </c>
      <c r="S27" s="508" t="s">
        <v>262</v>
      </c>
      <c r="T27" s="509" t="s">
        <v>263</v>
      </c>
      <c r="U27" s="477"/>
      <c r="V27" s="924"/>
      <c r="W27" s="477"/>
      <c r="X27" s="477"/>
      <c r="Y27" s="477"/>
      <c r="Z27" s="477"/>
      <c r="AA27" s="477"/>
      <c r="AB27" s="477"/>
      <c r="AC27" s="477"/>
      <c r="AD27" s="405">
        <f t="shared" si="0"/>
        <v>0</v>
      </c>
      <c r="AE27" s="406" t="str">
        <f>IFERROR(INDEX(V!R$7:R$107,MATCH(AF27,V!L$7:L$107,0)),"")</f>
        <v/>
      </c>
      <c r="AF27" s="407">
        <f t="shared" si="1"/>
        <v>0</v>
      </c>
    </row>
    <row r="28" spans="1:32" x14ac:dyDescent="0.2">
      <c r="A28" s="316">
        <v>1</v>
      </c>
      <c r="B28" s="518" t="s">
        <v>153</v>
      </c>
      <c r="C28" s="319"/>
      <c r="D28" s="534">
        <v>13</v>
      </c>
      <c r="E28" s="318">
        <v>12</v>
      </c>
      <c r="F28" s="318">
        <v>13</v>
      </c>
      <c r="G28" s="318"/>
      <c r="H28" s="317" t="str">
        <f>(IF(D28-C29&gt;0,1)+IF(E28-C30&gt;0,1)+IF(F28-C31&gt;0,1)+IF(G28-C32&gt;0,1))&amp;"-"&amp;(IF(D28-C29&lt;0,1)+IF(E28-C30&lt;0,1)+IF(F28-C31&lt;0,1)+IF(G28-C32&lt;0,1))</f>
        <v>2-1</v>
      </c>
      <c r="I28" s="318" t="str">
        <f>IF(AND(B28&lt;&gt;"",R$27=TRUE),A$27&amp;RANK(S28,S$28:S$32,0)," ")</f>
        <v>D1</v>
      </c>
      <c r="J28" s="480">
        <f>IF(AND(Q28=1,Q29=1,D28&gt;C29),1)+IF(AND(Q28=1,Q30=1,E28&gt;C30),1)+IF(AND(Q28=1,Q31=1,F28&gt;C31),1)+IF(AND(Q28=1,Q32=1,G28&gt;C32),1)+IF(AND(Q28=2,Q29=2,D28&gt;C29),1)+IF(AND(Q28=2,Q30=2,E28&gt;C30),1)+IF(AND(Q28=2,Q31=2,F28&gt;C31),1)+IF(AND(Q28=2,Q32=2,G28&gt;C32),1)+IF(AND(Q28=3,Q29=3,D28&gt;C29),1)+IF(AND(Q28=3,Q30=3,E28&gt;C30),1)+IF(AND(Q28=3,Q31=3,F28&gt;C31),1)+IF(AND(Q28=3,Q32=3,G28&gt;C32),1)</f>
        <v>1</v>
      </c>
      <c r="K28" s="481">
        <f>SUM(AND(T28=T29,D28&gt;C29),AND(T28=T30,E28&gt;C30),AND(T28=T31,F28&gt;C31),AND(T28=T32,G28&gt;C32))</f>
        <v>0</v>
      </c>
      <c r="L28" s="482">
        <f>IF(AND(Q28=1,Q29=1),D28-C29)+IF(AND(Q28=1,Q30=1),E28-C30)+IF(AND(Q28=1,Q31=1),F28-C31)+IF(AND(Q28=1,Q32=1),G28-C32)+IF(AND(Q28=2,Q29=2),D28-C29)+IF(AND(Q28=2,Q30=2),E28-C30)+IF(AND(Q28=2,Q31=2),F28-C31)+IF(AND(Q28=2,Q32=2),G28-C32)+IF(AND(Q28=3,Q29=3),D28-C29)+IF(AND(Q28=3,Q30=3),E28-C30)+IF(AND(Q28=3,Q31=3),F28-C31)+IF(AND(Q28=3,Q32=3),G28-C32)+IF(AND(Q28=4,Q29=4),D28-C29)+IF(AND(Q28=4,Q30=4),E28-C30)+IF(AND(Q28=4,Q31=4),F28-C31)+IF(AND(Q28=4,Q32=4),G28-C32)</f>
        <v>11</v>
      </c>
      <c r="M28" s="483">
        <f>SUM(AND(R28=R29,D28&gt;C29),AND(R28=R30,E28&gt;C30),AND(R28=R31,F28&gt;C31),AND(R28=R32,G28&gt;C32))</f>
        <v>0</v>
      </c>
      <c r="N28" s="968" t="str">
        <f>SUM(C28:G28)&amp;"-"&amp;SUM(C28:C32)</f>
        <v>38-19</v>
      </c>
      <c r="O28" s="533">
        <f>D28+E28+F28+G28-C29-C30-C31-C32</f>
        <v>19</v>
      </c>
      <c r="P28" s="485">
        <f>SUM(C28:G28,C28:C32)/SUM(C28:C32)</f>
        <v>3</v>
      </c>
      <c r="Q28" s="320">
        <f>VALUE(LEFT(H28,1))</f>
        <v>2</v>
      </c>
      <c r="R28" s="321">
        <f>Q28*100000+J28*10000+K28*1000+100*L28</f>
        <v>211100</v>
      </c>
      <c r="S28" s="486">
        <f>R28+M28*0.1+IF(ISNONTEXT(B28),0,0.01)+0.0001*O28</f>
        <v>211100.01190000001</v>
      </c>
      <c r="T28" s="487" t="str">
        <f>Q28&amp;J28</f>
        <v>21</v>
      </c>
      <c r="U28" s="477"/>
      <c r="V28" s="926"/>
      <c r="W28" s="477"/>
      <c r="X28" s="477"/>
      <c r="Y28" s="477"/>
      <c r="Z28" s="477"/>
      <c r="AA28" s="477"/>
      <c r="AB28" s="477"/>
      <c r="AC28" s="477"/>
      <c r="AD28" s="405">
        <f t="shared" si="0"/>
        <v>164</v>
      </c>
      <c r="AE28" s="406">
        <f>IFERROR(INDEX(V!R$7:R$107,MATCH(AF28,V!L$7:L$107,0)),"")</f>
        <v>164</v>
      </c>
      <c r="AF28" s="407" t="str">
        <f t="shared" si="1"/>
        <v>Kaspar Mänd</v>
      </c>
    </row>
    <row r="29" spans="1:32" x14ac:dyDescent="0.2">
      <c r="A29" s="316">
        <v>2</v>
      </c>
      <c r="B29" s="488" t="s">
        <v>81</v>
      </c>
      <c r="C29" s="534">
        <v>2</v>
      </c>
      <c r="D29" s="319"/>
      <c r="E29" s="318">
        <v>13</v>
      </c>
      <c r="F29" s="318">
        <v>13</v>
      </c>
      <c r="G29" s="318"/>
      <c r="H29" s="317" t="str">
        <f>(IF(C29-D28&gt;0,1)+IF(E29-D30&gt;0,1)+IF(F29-D31&gt;0,1)+IF(G29-D32&gt;0,1))&amp;"-"&amp;(IF(C29-D28&lt;0,1)+IF(E29-D30&lt;0,1)+IF(F29-D31&lt;0,1)+IF(G29-D32&lt;0,1))</f>
        <v>2-1</v>
      </c>
      <c r="I29" s="318" t="str">
        <f t="shared" ref="I29:I32" si="3">IF(AND(B29&lt;&gt;"",R$27=TRUE),A$27&amp;RANK(S29,S$28:S$32,0)," ")</f>
        <v>D2</v>
      </c>
      <c r="J29" s="489">
        <f>IF(AND(Q29=1,Q28=1,C29&gt;D28),1)+IF(AND(Q29=1,Q30=1,E29&gt;D30),1)+IF(AND(Q29=1,Q31=1,F29&gt;D31),1)+IF(AND(Q29=1,Q32=1,G29&gt;D32),1)+IF(AND(Q29=2,Q28=2,C29&gt;D28),1)+IF(AND(Q29=2,Q30=2,E29&gt;D30),1)+IF(AND(Q29=2,Q31=2,F29&gt;D31),1)+IF(AND(Q29=2,Q32=2,G29&gt;D32),1)+IF(AND(Q29=3,Q28=3,C29&gt;D28),1)+IF(AND(Q29=3,Q30=3,E29&gt;D30),1)+IF(AND(Q29=3,Q31=3,F29&gt;D31),1)+IF(AND(Q29=3,Q32=3,G29&gt;D32),1)</f>
        <v>0</v>
      </c>
      <c r="K29" s="483">
        <f>SUM(AND(T29=T28,C29&gt;D28),AND(T29=T30,E29&gt;D30),AND(T29=T31,F29&gt;D31),AND(T29=T32,G29&gt;D32))</f>
        <v>0</v>
      </c>
      <c r="L29" s="490">
        <f>IF(AND(Q29=1,Q28=1),C29-D28)+IF(AND(Q29=1,Q30=1),E29-D30)+IF(AND(Q29=1,Q31=1),F29-D31)+IF(AND(Q29=1,Q32=1),G29-D32)+IF(AND(Q29=2,Q28=2),C29-D28)+IF(AND(Q29=2,Q30=2),E29-D30)+IF(AND(Q29=2,Q31=2),F29-D31)+IF(AND(Q29=2,Q32=2),G29-D32)+IF(AND(Q29=3,Q28=3),C29-D28)+IF(AND(Q29=3,Q30=3),E29-D30)+IF(AND(Q29=3,Q31=3),F29-D31)+IF(AND(Q29=3,Q32=3),G29-D32)+IF(AND(Q29=4,Q28=4),C29-D28)+IF(AND(Q29=4,Q30=4),E29-D30)+IF(AND(Q29=4,Q31=4),F29-D31)+IF(AND(Q29=4,Q32=4),G29-D32)</f>
        <v>-11</v>
      </c>
      <c r="M29" s="483">
        <f>SUM(AND(R29=R28,C29&gt;D28),AND(R29=R30,E29&gt;D30),AND(R29=R31,F29&gt;D31),AND(R29=R32,G29&gt;D32))</f>
        <v>0</v>
      </c>
      <c r="N29" s="968" t="str">
        <f>SUM(C29:G29)&amp;"-"&amp;SUM(D28:D32)</f>
        <v>28-32</v>
      </c>
      <c r="O29" s="533">
        <f>C29+E29+F29+G29-D28-D30-D31-D32</f>
        <v>-4</v>
      </c>
      <c r="P29" s="485">
        <f>SUM(C29:G29,D28:D32)/SUM(D28:D32)</f>
        <v>1.875</v>
      </c>
      <c r="Q29" s="491">
        <f>VALUE(LEFT(H29,1))</f>
        <v>2</v>
      </c>
      <c r="R29" s="321">
        <f>Q29*100000+J29*10000+K29*1000+100*L29</f>
        <v>198900</v>
      </c>
      <c r="S29" s="486">
        <f>R29+M29*0.1+IF(ISNONTEXT(B29),0,0.01)+0.0001*O29</f>
        <v>198900.00960000002</v>
      </c>
      <c r="T29" s="487" t="str">
        <f>Q29&amp;J29</f>
        <v>20</v>
      </c>
      <c r="U29" s="477"/>
      <c r="V29" s="921"/>
      <c r="W29" s="477"/>
      <c r="X29" s="477"/>
      <c r="Y29" s="477"/>
      <c r="Z29" s="477"/>
      <c r="AA29" s="477"/>
      <c r="AB29" s="477"/>
      <c r="AC29" s="477"/>
      <c r="AD29" s="405">
        <f t="shared" si="0"/>
        <v>124</v>
      </c>
      <c r="AE29" s="406">
        <f>IFERROR(INDEX(V!R$7:R$107,MATCH(AF29,V!L$7:L$107,0)),"")</f>
        <v>124</v>
      </c>
      <c r="AF29" s="407" t="str">
        <f t="shared" si="1"/>
        <v>Boriss Klubov</v>
      </c>
    </row>
    <row r="30" spans="1:32" x14ac:dyDescent="0.2">
      <c r="A30" s="316">
        <v>3</v>
      </c>
      <c r="B30" s="488" t="s">
        <v>143</v>
      </c>
      <c r="C30" s="318">
        <v>13</v>
      </c>
      <c r="D30" s="492">
        <v>7</v>
      </c>
      <c r="E30" s="319"/>
      <c r="F30" s="654">
        <v>7</v>
      </c>
      <c r="G30" s="318"/>
      <c r="H30" s="317" t="str">
        <f>(IF(C30-E28&gt;0,1)+IF(D30-E29&gt;0,1)+IF(F30-E31&gt;0,1)+IF(G30-E32&gt;0,1))&amp;"-"&amp;(IF(C30-E28&lt;0,1)+IF(D30-E29&lt;0,1)+IF(F30-E31&lt;0,1)+IF(G30-E32&lt;0,1))</f>
        <v>1-2</v>
      </c>
      <c r="I30" s="318" t="str">
        <f t="shared" si="3"/>
        <v>D4</v>
      </c>
      <c r="J30" s="489">
        <f>IF(AND(Q30=1,Q28=1,C30&gt;E28),1)+IF(AND(Q30=1,Q29=1,D30&gt;E29),1)+IF(AND(Q30=1,Q31=1,F30&gt;E31),1)+IF(AND(Q30=1,Q32=1,G30&gt;E32),1)+IF(AND(Q30=2,Q28=2,C30&gt;E28),1)+IF(AND(Q30=2,Q29=2,D30&gt;E29),1)+IF(AND(Q30=2,Q31=2,F30&gt;E31),1)+IF(AND(Q30=2,Q32=2,G30&gt;E32),1)+IF(AND(Q30=3,Q28=3,C30&gt;E28),1)+IF(AND(Q30=3,Q29=3,D30&gt;E29),1)+IF(AND(Q30=3,Q31=3,F30&gt;E31),1)+IF(AND(Q30=3,Q32=3,G30&gt;E32),1)</f>
        <v>0</v>
      </c>
      <c r="K30" s="483">
        <f>SUM(AND(T30=T28,C30&gt;E28),AND(T30=T29,D30&gt;E29),AND(T30=T31,F30&gt;E31),AND(T30=T32,G30&gt;E32))</f>
        <v>0</v>
      </c>
      <c r="L30" s="490">
        <f>IF(AND(Q30=1,Q28=1),C30-E28)+IF(AND(Q30=1,Q29=1),D30-E29)+IF(AND(Q30=1,Q31=1),F30-E31)+IF(AND(Q30=1,Q32=1),G30-E32)+IF(AND(Q30=2,Q28=2),C30-E28)+IF(AND(Q30=2,Q29=2),D30-E29)+IF(AND(Q30=2,Q31=2),F30-E31)+IF(AND(Q30=2,Q32=2),G30-E32)+IF(AND(Q30=3,Q28=3),C30-E28)+IF(AND(Q30=3,Q29=3),D30-E29)+IF(AND(Q30=3,Q31=3),F30-E31)+IF(AND(Q30=3,Q32=3),G30-E32)+IF(AND(Q30=4,Q28=4),C30-E28)+IF(AND(Q30=4,Q29=4),D30-E29)+IF(AND(Q30=4,Q31=4),F30-E31)+IF(AND(Q30=4,Q32=4),G30-E32)</f>
        <v>-6</v>
      </c>
      <c r="M30" s="483">
        <f>SUM(AND(R30=R28,C30&gt;E28),AND(R30=R29,D30&gt;E29),AND(R30=R31,F30&gt;E31),AND(R30=R32,G30&gt;E32))</f>
        <v>0</v>
      </c>
      <c r="N30" s="968" t="str">
        <f>SUM(C30:G30)&amp;"-"&amp;SUM(E28:E32)</f>
        <v>27-38</v>
      </c>
      <c r="O30" s="533">
        <f>C30+D30+F30+G30-E28-E29-E31-E32</f>
        <v>-11</v>
      </c>
      <c r="P30" s="485">
        <f>SUM(C30:G30,E28:E32)/SUM(E28:E32)</f>
        <v>1.7105263157894737</v>
      </c>
      <c r="Q30" s="491">
        <f>VALUE(LEFT(H30,1))</f>
        <v>1</v>
      </c>
      <c r="R30" s="321">
        <f>Q30*100000+J30*10000+K30*1000+100*L30</f>
        <v>99400</v>
      </c>
      <c r="S30" s="486">
        <f>R30+M30*0.1+IF(ISNONTEXT(B30),0,0.01)+0.0001*O30</f>
        <v>99400.008900000001</v>
      </c>
      <c r="T30" s="487" t="str">
        <f>Q30&amp;J30</f>
        <v>10</v>
      </c>
      <c r="U30" s="477"/>
      <c r="V30" s="921"/>
      <c r="W30" s="477"/>
      <c r="X30" s="477"/>
      <c r="Y30" s="477"/>
      <c r="Z30" s="477"/>
      <c r="AA30" s="477"/>
      <c r="AB30" s="477"/>
      <c r="AC30" s="477"/>
      <c r="AD30" s="405">
        <f t="shared" si="0"/>
        <v>57</v>
      </c>
      <c r="AE30" s="406">
        <f>IFERROR(INDEX(V!R$7:R$107,MATCH(AF30,V!L$7:L$107,0)),"")</f>
        <v>57</v>
      </c>
      <c r="AF30" s="407" t="str">
        <f t="shared" si="1"/>
        <v>Tõnu Kapper</v>
      </c>
    </row>
    <row r="31" spans="1:32" x14ac:dyDescent="0.2">
      <c r="A31" s="316">
        <v>4</v>
      </c>
      <c r="B31" s="493" t="s">
        <v>134</v>
      </c>
      <c r="C31" s="318">
        <v>4</v>
      </c>
      <c r="D31" s="492">
        <v>12</v>
      </c>
      <c r="E31" s="654">
        <v>13</v>
      </c>
      <c r="F31" s="319"/>
      <c r="G31" s="511"/>
      <c r="H31" s="317" t="str">
        <f>(IF(C31-F28&gt;0,1)+IF(D31-F29&gt;0,1)+IF(E31-F30&gt;0,1)+IF(G31-F32&gt;0,1))&amp;"-"&amp;(IF(C31-F28&lt;0,1)+IF(D31-F29&lt;0,1)+IF(E31-F30&lt;0,1)+IF(G31-F32&lt;0,1))</f>
        <v>1-2</v>
      </c>
      <c r="I31" s="318" t="str">
        <f t="shared" si="3"/>
        <v>D3</v>
      </c>
      <c r="J31" s="489">
        <f>IF(AND(Q31=1,Q28=1,C31&gt;F28),1)+IF(AND(Q31=1,Q29=1,D31&gt;F29),1)+IF(AND(Q31=1,Q30=1,E31&gt;F30),1)+IF(AND(Q31=1,Q32=1,G31&gt;F32),1)+IF(AND(Q31=2,Q28=2,C31&gt;F28),1)+IF(AND(Q31=2,Q29=2,D31&gt;F29),1)+IF(AND(Q31=2,Q30=2,E31&gt;F30),1)+IF(AND(Q31=2,Q32=2,G31&gt;F32),1)+IF(AND(Q31=3,Q28=3,C31&gt;F28),1)+IF(AND(Q31=3,Q29=3,D31&gt;F29),1)+IF(AND(Q31=3,Q30=3,E31&gt;F30),1)+IF(AND(Q31=3,Q32=3,G31&gt;F32),1)</f>
        <v>1</v>
      </c>
      <c r="K31" s="483">
        <f>SUM(AND(T31=T28,C31&gt;F28),AND(T31=T29,D31&gt;F29),AND(T31=T30,E31&gt;F30),AND(T31=T32,G31&gt;F32))</f>
        <v>0</v>
      </c>
      <c r="L31" s="490">
        <f>IF(AND(Q31=1,Q28=1),C31-F28)+IF(AND(Q31=1,Q29=1),D31-F29)+IF(AND(Q31=1,Q30=1),E31-F30)+IF(AND(Q31=1,Q32=1),G31-F32)+IF(AND(Q31=2,Q28=2),C31-F28)+IF(AND(Q31=2,Q29=2),D31-F29)+IF(AND(Q31=2,Q30=2),E31-F30)+IF(AND(Q31=2,Q32=2),G31-F32)+IF(AND(Q31=3,Q28=3),C31-F28)+IF(AND(Q31=3,Q29=3),D31-F29)+IF(AND(Q31=3,Q30=3),E31-F30)+IF(AND(Q31=3,Q32=3),G31-F32)+IF(AND(Q31=4,Q28=4),C31-F28)+IF(AND(Q31=4,Q29=4),D31-F29)+IF(AND(Q31=4,Q30=4),E31-F30)+IF(AND(Q31=4,Q32=4),G31-F32)</f>
        <v>6</v>
      </c>
      <c r="M31" s="483">
        <f>SUM(AND(R31=R28,C31&gt;F28),AND(R31=R29,D31&gt;F29),AND(R31=R30,E31&gt;F30),AND(R31=R32,G31&gt;F32))</f>
        <v>0</v>
      </c>
      <c r="N31" s="968" t="str">
        <f>SUM(C31:G31)&amp;"-"&amp;SUM(F28:F32)</f>
        <v>29-33</v>
      </c>
      <c r="O31" s="533">
        <f>C31+D31+E31+G31-F28-F29-F30-F32</f>
        <v>-4</v>
      </c>
      <c r="P31" s="485">
        <f>SUM(C31:G31,F28:F32)/SUM(F28:F32)</f>
        <v>1.8787878787878789</v>
      </c>
      <c r="Q31" s="491">
        <f>VALUE(LEFT(H31,1))</f>
        <v>1</v>
      </c>
      <c r="R31" s="321">
        <f>Q31*100000+J31*10000+K31*1000+100*L31</f>
        <v>110600</v>
      </c>
      <c r="S31" s="486">
        <f>R31+M31*0.1+IF(ISNONTEXT(B31),0,0.01)+0.0001*O31</f>
        <v>110600.00959999999</v>
      </c>
      <c r="T31" s="487" t="str">
        <f>Q31&amp;J31</f>
        <v>11</v>
      </c>
      <c r="U31" s="477"/>
      <c r="V31" s="922"/>
      <c r="W31" s="477"/>
      <c r="X31" s="477"/>
      <c r="Y31" s="477"/>
      <c r="Z31" s="477"/>
      <c r="AA31" s="477"/>
      <c r="AB31" s="477"/>
      <c r="AC31" s="477"/>
      <c r="AD31" s="405">
        <f t="shared" si="0"/>
        <v>57</v>
      </c>
      <c r="AE31" s="406">
        <f>IFERROR(INDEX(V!R$7:R$107,MATCH(AF31,V!L$7:L$107,0)),"")</f>
        <v>57</v>
      </c>
      <c r="AF31" s="407" t="str">
        <f t="shared" si="1"/>
        <v>Klavdia Piik</v>
      </c>
    </row>
    <row r="32" spans="1:32" hidden="1" x14ac:dyDescent="0.2">
      <c r="A32" s="311">
        <v>5</v>
      </c>
      <c r="B32" s="460"/>
      <c r="C32" s="279"/>
      <c r="D32" s="279"/>
      <c r="E32" s="279"/>
      <c r="F32" s="279"/>
      <c r="G32" s="278"/>
      <c r="H32" s="282" t="str">
        <f>(IF(C32-G28&gt;0,1)+IF(D32-G29&gt;0,1)+IF(E32-G30&gt;0,1)+IF(F32-G31&gt;0,1))&amp;"-"&amp;(IF(C32-G28&lt;0,1)+IF(D32-G29&lt;0,1)+IF(E32-G30&lt;0,1)+IF(F32-G31&lt;0,1))</f>
        <v>0-0</v>
      </c>
      <c r="I32" s="318" t="str">
        <f t="shared" si="3"/>
        <v xml:space="preserve"> </v>
      </c>
      <c r="J32" s="295">
        <f>IF(AND(Q32=1,Q28=1,C32&gt;G28),1)+IF(AND(Q32=1,Q29=1,D32&gt;G29),1)+IF(AND(Q32=1,Q30=1,E32&gt;G30),1)+IF(AND(Q32=1,Q31=1,F32&gt;G31),1)+IF(AND(Q32=2,Q28=2,C32&gt;G28),1)+IF(AND(Q32=2,Q29=2,D32&gt;G29),1)+IF(AND(Q32=2,Q30=2,E32&gt;G30),1)+IF(AND(Q32=2,Q31=2,F32&gt;G31),1)+IF(AND(Q32=3,Q28=3,C32&gt;G28),1)+IF(AND(Q32=3,Q29=3,D32&gt;G29),1)+IF(AND(Q32=3,Q30=3,E32&gt;G30),1)+IF(AND(Q32=3,Q31=3,F32&gt;G31),1)</f>
        <v>0</v>
      </c>
      <c r="K32" s="427">
        <f>SUM(AND(T32=T28,C32&gt;G28),AND(T32=T29,D32&gt;G29),AND(T32=T30,E32&gt;G30),AND(T32=T31,F32&gt;G31))</f>
        <v>0</v>
      </c>
      <c r="L32" s="434">
        <f>IF(AND(Q32=1,Q28=1),C32-G28)+IF(AND(Q32=1,Q29=1),D32-G29)+IF(AND(Q32=1,Q30=1),E32-G30)+IF(AND(Q32=1,Q31=1),F32-G31)+IF(AND(Q32=2,Q28=2),C32-G28)+IF(AND(Q32=2,Q29=2),D32-G29)+IF(AND(Q32=2,Q30=2),E32-G30)+IF(AND(Q32=2,Q31=2),F32-G31)+IF(AND(Q32=3,Q28=3),C32-G28)+IF(AND(Q32=3,Q29=3),D32-G29)+IF(AND(Q32=3,Q30=3),E32-G30)+IF(AND(Q32=3,Q31=3),F32-G31)+IF(AND(Q32=4,Q28=4),C32-G28)+IF(AND(Q32=4,Q29=4),D32-G29)+IF(AND(Q32=4,Q30=4),E32-G30)+IF(AND(Q32=4,Q31=4),F32-G31)</f>
        <v>0</v>
      </c>
      <c r="M32" s="427">
        <f>SUM(AND(R32=R28,C32&gt;G28),AND(R32=R29,D32&gt;G29),AND(R32=R30,E32&gt;G30),AND(R32=R31,F32&gt;G31))</f>
        <v>0</v>
      </c>
      <c r="N32" s="428" t="str">
        <f>SUM(C32:G32)&amp;"-"&amp;SUM(G28:G32)</f>
        <v>0-0</v>
      </c>
      <c r="O32" s="536">
        <f>C32+D32+E32+F32-G28-G29-G30-G31</f>
        <v>0</v>
      </c>
      <c r="P32" s="429" t="e">
        <f>SUM(C32:G32,G28:G32)/SUM(G28:G32)</f>
        <v>#DIV/0!</v>
      </c>
      <c r="Q32" s="293">
        <f>VALUE(LEFT(H32,1))</f>
        <v>0</v>
      </c>
      <c r="R32" s="431">
        <f>Q32*100000+J32*10000+K32*1000+100*L32</f>
        <v>0</v>
      </c>
      <c r="S32" s="432">
        <f>R32+M32*0.1+IF(ISNONTEXT(B32),0,0.01)+0.0001*O32</f>
        <v>0</v>
      </c>
      <c r="T32" s="433" t="str">
        <f>Q32&amp;J32</f>
        <v>00</v>
      </c>
      <c r="U32" s="477"/>
      <c r="V32" s="477"/>
      <c r="W32" s="477"/>
      <c r="X32" s="477"/>
      <c r="Y32" s="477"/>
      <c r="Z32" s="477"/>
      <c r="AA32" s="477"/>
      <c r="AB32" s="477"/>
      <c r="AC32" s="477"/>
    </row>
    <row r="33" spans="1:29" hidden="1" x14ac:dyDescent="0.2">
      <c r="A33" s="80"/>
      <c r="B33" s="465"/>
      <c r="C33" s="79"/>
      <c r="D33" s="79"/>
      <c r="E33" s="79"/>
      <c r="F33" s="78"/>
      <c r="G33" s="79"/>
      <c r="H33" s="443"/>
      <c r="I33" s="444"/>
      <c r="J33" s="62"/>
      <c r="K33" s="62"/>
      <c r="L33" s="62"/>
      <c r="M33" s="62"/>
      <c r="N33" s="62"/>
      <c r="O33" s="62"/>
      <c r="P33" s="62"/>
      <c r="Q33" s="62"/>
      <c r="R33" s="437" t="s">
        <v>264</v>
      </c>
      <c r="S33" s="62"/>
      <c r="T33" s="62"/>
      <c r="U33" s="477"/>
      <c r="V33" s="477"/>
      <c r="W33" s="477"/>
      <c r="X33" s="477"/>
      <c r="Y33" s="477"/>
      <c r="Z33" s="477"/>
      <c r="AA33" s="477"/>
      <c r="AB33" s="477"/>
      <c r="AC33" s="477"/>
    </row>
    <row r="34" spans="1:29" hidden="1" x14ac:dyDescent="0.2">
      <c r="A34" s="477"/>
      <c r="B34" s="477"/>
      <c r="C34" s="477"/>
      <c r="D34" s="477"/>
      <c r="E34" s="477"/>
      <c r="F34" s="477"/>
      <c r="G34" s="477"/>
      <c r="H34" s="477"/>
      <c r="I34" s="477"/>
      <c r="J34" s="477"/>
      <c r="K34" s="477"/>
      <c r="L34" s="477"/>
      <c r="M34" s="477"/>
      <c r="N34" s="477"/>
      <c r="O34" s="477"/>
      <c r="P34" s="477"/>
      <c r="Q34" s="477"/>
      <c r="R34" s="477"/>
      <c r="S34" s="477"/>
      <c r="T34" s="477"/>
      <c r="U34" s="477"/>
      <c r="V34" s="477"/>
      <c r="W34" s="477"/>
      <c r="X34" s="477"/>
      <c r="Y34" s="477"/>
      <c r="Z34" s="477"/>
      <c r="AA34" s="477"/>
      <c r="AB34" s="477"/>
      <c r="AC34" s="477"/>
    </row>
    <row r="35" spans="1:29" hidden="1" x14ac:dyDescent="0.2">
      <c r="A35" s="477"/>
      <c r="B35" s="477"/>
      <c r="C35" s="477"/>
      <c r="D35" s="477"/>
      <c r="E35" s="477"/>
      <c r="F35" s="477"/>
      <c r="G35" s="477"/>
      <c r="H35" s="477"/>
      <c r="I35" s="477"/>
      <c r="J35" s="477"/>
      <c r="K35" s="477"/>
      <c r="L35" s="477"/>
      <c r="M35" s="477"/>
      <c r="N35" s="477"/>
      <c r="O35" s="477"/>
      <c r="P35" s="477"/>
      <c r="Q35" s="477"/>
      <c r="R35" s="477"/>
      <c r="S35" s="477"/>
      <c r="T35" s="477"/>
      <c r="U35" s="477"/>
      <c r="V35" s="477"/>
      <c r="W35" s="477"/>
      <c r="X35" s="477"/>
      <c r="Y35" s="477"/>
      <c r="Z35" s="477"/>
      <c r="AA35" s="477"/>
      <c r="AB35" s="477"/>
      <c r="AC35" s="477"/>
    </row>
    <row r="36" spans="1:29" hidden="1" x14ac:dyDescent="0.2">
      <c r="A36" s="477"/>
      <c r="B36" s="477"/>
      <c r="C36" s="477"/>
      <c r="D36" s="477"/>
      <c r="E36" s="477"/>
      <c r="F36" s="477"/>
      <c r="G36" s="477"/>
      <c r="H36" s="477"/>
      <c r="I36" s="477"/>
      <c r="J36" s="477"/>
      <c r="K36" s="477"/>
      <c r="L36" s="477"/>
      <c r="M36" s="477"/>
      <c r="N36" s="477"/>
      <c r="O36" s="477"/>
      <c r="P36" s="477"/>
      <c r="Q36" s="477"/>
      <c r="R36" s="477"/>
      <c r="S36" s="477"/>
      <c r="T36" s="477"/>
      <c r="U36" s="477"/>
      <c r="V36" s="477"/>
      <c r="W36" s="477"/>
      <c r="X36" s="477"/>
      <c r="Y36" s="477"/>
      <c r="Z36" s="477"/>
      <c r="AA36" s="477"/>
      <c r="AB36" s="477"/>
      <c r="AC36" s="477"/>
    </row>
    <row r="37" spans="1:29" hidden="1" x14ac:dyDescent="0.2">
      <c r="A37" s="477"/>
      <c r="B37" s="477"/>
      <c r="C37" s="477"/>
      <c r="D37" s="477"/>
      <c r="E37" s="477"/>
      <c r="F37" s="477"/>
      <c r="G37" s="477"/>
      <c r="H37" s="477"/>
      <c r="I37" s="477"/>
      <c r="J37" s="477"/>
      <c r="K37" s="477"/>
      <c r="L37" s="477"/>
      <c r="M37" s="477"/>
      <c r="N37" s="477"/>
      <c r="O37" s="477"/>
      <c r="P37" s="477"/>
      <c r="Q37" s="477"/>
      <c r="R37" s="477"/>
      <c r="S37" s="477"/>
      <c r="T37" s="477"/>
      <c r="U37" s="477"/>
      <c r="V37" s="477"/>
      <c r="W37" s="477"/>
      <c r="X37" s="477"/>
      <c r="Y37" s="477"/>
      <c r="Z37" s="477"/>
      <c r="AA37" s="477"/>
      <c r="AB37" s="477"/>
      <c r="AC37" s="477"/>
    </row>
    <row r="38" spans="1:29" hidden="1" x14ac:dyDescent="0.2">
      <c r="A38" s="477"/>
      <c r="B38" s="477"/>
      <c r="C38" s="477"/>
      <c r="D38" s="477"/>
      <c r="E38" s="477"/>
      <c r="F38" s="477"/>
      <c r="G38" s="477"/>
      <c r="H38" s="477"/>
      <c r="I38" s="477"/>
      <c r="J38" s="477"/>
      <c r="K38" s="477"/>
      <c r="L38" s="477"/>
      <c r="M38" s="477"/>
      <c r="N38" s="477"/>
      <c r="O38" s="477"/>
      <c r="P38" s="477"/>
      <c r="Q38" s="477"/>
      <c r="R38" s="477"/>
      <c r="S38" s="477"/>
      <c r="T38" s="477"/>
      <c r="U38" s="477"/>
      <c r="V38" s="477"/>
      <c r="W38" s="477"/>
      <c r="X38" s="477"/>
      <c r="Y38" s="477"/>
      <c r="Z38" s="477"/>
      <c r="AA38" s="477"/>
      <c r="AB38" s="477"/>
      <c r="AC38" s="477"/>
    </row>
    <row r="39" spans="1:29" hidden="1" x14ac:dyDescent="0.2">
      <c r="A39" s="477"/>
      <c r="B39" s="477"/>
      <c r="C39" s="477"/>
      <c r="D39" s="477"/>
      <c r="E39" s="477"/>
      <c r="F39" s="477"/>
      <c r="G39" s="477"/>
      <c r="H39" s="477"/>
      <c r="I39" s="477"/>
      <c r="J39" s="477"/>
      <c r="K39" s="477"/>
      <c r="L39" s="477"/>
      <c r="M39" s="477"/>
      <c r="N39" s="477"/>
      <c r="O39" s="477"/>
      <c r="P39" s="477"/>
      <c r="Q39" s="477"/>
      <c r="R39" s="477"/>
      <c r="S39" s="477"/>
      <c r="T39" s="477"/>
      <c r="U39" s="477"/>
      <c r="V39" s="477"/>
      <c r="W39" s="477"/>
      <c r="X39" s="477"/>
      <c r="Y39" s="477"/>
      <c r="Z39" s="477"/>
      <c r="AA39" s="477"/>
      <c r="AB39" s="477"/>
      <c r="AC39" s="477"/>
    </row>
    <row r="40" spans="1:29" hidden="1" x14ac:dyDescent="0.2">
      <c r="A40" s="477"/>
      <c r="B40" s="477"/>
      <c r="C40" s="477"/>
      <c r="D40" s="477"/>
      <c r="E40" s="477"/>
      <c r="F40" s="477"/>
      <c r="G40" s="477"/>
      <c r="H40" s="477"/>
      <c r="I40" s="477"/>
      <c r="J40" s="477"/>
      <c r="K40" s="477"/>
      <c r="L40" s="477"/>
      <c r="M40" s="477"/>
      <c r="N40" s="477"/>
      <c r="O40" s="477"/>
      <c r="P40" s="477"/>
      <c r="Q40" s="477"/>
      <c r="R40" s="477"/>
      <c r="S40" s="477"/>
      <c r="T40" s="477"/>
      <c r="U40" s="477"/>
      <c r="V40" s="477"/>
      <c r="W40" s="477"/>
      <c r="X40" s="477"/>
      <c r="Y40" s="477"/>
      <c r="Z40" s="477"/>
      <c r="AA40" s="477"/>
      <c r="AB40" s="477"/>
      <c r="AC40" s="477"/>
    </row>
    <row r="41" spans="1:29" hidden="1" x14ac:dyDescent="0.2">
      <c r="A41" s="477"/>
      <c r="B41" s="477"/>
      <c r="C41" s="477"/>
      <c r="D41" s="477"/>
      <c r="E41" s="477"/>
      <c r="F41" s="477"/>
      <c r="G41" s="477"/>
      <c r="H41" s="477"/>
      <c r="I41" s="477"/>
      <c r="J41" s="477"/>
      <c r="K41" s="477"/>
      <c r="L41" s="477"/>
      <c r="M41" s="477"/>
      <c r="N41" s="477"/>
      <c r="O41" s="477"/>
      <c r="P41" s="477"/>
      <c r="Q41" s="477"/>
      <c r="R41" s="477"/>
      <c r="S41" s="477"/>
      <c r="T41" s="477"/>
      <c r="U41" s="477"/>
      <c r="V41" s="477"/>
      <c r="W41" s="477"/>
      <c r="X41" s="477"/>
      <c r="Y41" s="477"/>
      <c r="Z41" s="477"/>
      <c r="AA41" s="477"/>
      <c r="AB41" s="477"/>
      <c r="AC41" s="477"/>
    </row>
    <row r="42" spans="1:29" hidden="1" x14ac:dyDescent="0.2">
      <c r="A42" s="477"/>
      <c r="B42" s="477"/>
      <c r="C42" s="477"/>
      <c r="D42" s="477"/>
      <c r="E42" s="477"/>
      <c r="F42" s="477"/>
      <c r="G42" s="477"/>
      <c r="H42" s="477"/>
      <c r="I42" s="477"/>
      <c r="J42" s="477"/>
      <c r="K42" s="477"/>
      <c r="L42" s="477"/>
      <c r="M42" s="477"/>
      <c r="N42" s="477"/>
      <c r="O42" s="477"/>
      <c r="P42" s="477"/>
      <c r="Q42" s="477"/>
      <c r="R42" s="477"/>
      <c r="S42" s="477"/>
      <c r="T42" s="477"/>
      <c r="U42" s="477"/>
      <c r="V42" s="477"/>
      <c r="W42" s="477"/>
      <c r="X42" s="477"/>
      <c r="Y42" s="477"/>
      <c r="Z42" s="477"/>
      <c r="AA42" s="477"/>
      <c r="AB42" s="477"/>
      <c r="AC42" s="477"/>
    </row>
    <row r="43" spans="1:29" hidden="1" x14ac:dyDescent="0.2">
      <c r="A43" s="477"/>
      <c r="B43" s="477"/>
      <c r="C43" s="477"/>
      <c r="D43" s="477"/>
      <c r="E43" s="477"/>
      <c r="F43" s="477"/>
      <c r="G43" s="477"/>
      <c r="H43" s="477"/>
      <c r="I43" s="477"/>
      <c r="J43" s="477"/>
      <c r="K43" s="477"/>
      <c r="L43" s="477"/>
      <c r="M43" s="477"/>
      <c r="N43" s="477"/>
      <c r="O43" s="477"/>
      <c r="P43" s="477"/>
      <c r="Q43" s="477"/>
      <c r="R43" s="477"/>
      <c r="S43" s="477"/>
      <c r="T43" s="477"/>
      <c r="U43" s="477"/>
      <c r="V43" s="477"/>
      <c r="W43" s="477"/>
      <c r="X43" s="477"/>
      <c r="Y43" s="477"/>
      <c r="Z43" s="477"/>
      <c r="AA43" s="477"/>
      <c r="AB43" s="477"/>
      <c r="AC43" s="477"/>
    </row>
    <row r="44" spans="1:29" hidden="1" x14ac:dyDescent="0.2">
      <c r="A44" s="477"/>
      <c r="B44" s="477"/>
      <c r="C44" s="477"/>
      <c r="D44" s="477"/>
      <c r="E44" s="477"/>
      <c r="F44" s="477"/>
      <c r="G44" s="477"/>
      <c r="H44" s="477"/>
      <c r="I44" s="477"/>
      <c r="J44" s="477"/>
      <c r="K44" s="477"/>
      <c r="L44" s="477"/>
      <c r="M44" s="477"/>
      <c r="N44" s="477"/>
      <c r="O44" s="477"/>
      <c r="P44" s="477"/>
      <c r="Q44" s="477"/>
      <c r="R44" s="477"/>
      <c r="S44" s="477"/>
      <c r="T44" s="477"/>
      <c r="U44" s="477"/>
      <c r="V44" s="477"/>
      <c r="W44" s="477"/>
      <c r="X44" s="477"/>
      <c r="Y44" s="477"/>
      <c r="Z44" s="477"/>
      <c r="AA44" s="477"/>
      <c r="AB44" s="477"/>
      <c r="AC44" s="477"/>
    </row>
    <row r="45" spans="1:29" hidden="1" x14ac:dyDescent="0.2">
      <c r="A45" s="477"/>
      <c r="B45" s="477"/>
      <c r="C45" s="477"/>
      <c r="D45" s="477"/>
      <c r="E45" s="477"/>
      <c r="F45" s="477"/>
      <c r="G45" s="477"/>
      <c r="H45" s="477"/>
      <c r="I45" s="477"/>
      <c r="J45" s="477"/>
      <c r="K45" s="477"/>
      <c r="L45" s="477"/>
      <c r="M45" s="477"/>
      <c r="N45" s="477"/>
      <c r="O45" s="477"/>
      <c r="P45" s="477"/>
      <c r="Q45" s="477"/>
      <c r="R45" s="477"/>
      <c r="S45" s="477"/>
      <c r="T45" s="477"/>
      <c r="U45" s="477"/>
      <c r="V45" s="477"/>
      <c r="W45" s="477"/>
      <c r="X45" s="477"/>
      <c r="Y45" s="477"/>
      <c r="Z45" s="477"/>
      <c r="AA45" s="477"/>
      <c r="AB45" s="477"/>
      <c r="AC45" s="477"/>
    </row>
    <row r="46" spans="1:29" hidden="1" x14ac:dyDescent="0.2">
      <c r="A46" s="477"/>
      <c r="B46" s="477"/>
      <c r="C46" s="477"/>
      <c r="D46" s="477"/>
      <c r="E46" s="477"/>
      <c r="F46" s="477"/>
      <c r="G46" s="477"/>
      <c r="H46" s="477"/>
      <c r="I46" s="477"/>
      <c r="J46" s="477"/>
      <c r="K46" s="477"/>
      <c r="L46" s="477"/>
      <c r="M46" s="477"/>
      <c r="N46" s="477"/>
      <c r="O46" s="477"/>
      <c r="P46" s="477"/>
      <c r="Q46" s="477"/>
      <c r="R46" s="477"/>
      <c r="S46" s="477"/>
      <c r="T46" s="477"/>
      <c r="U46" s="477"/>
      <c r="V46" s="477"/>
      <c r="W46" s="477"/>
      <c r="X46" s="477"/>
      <c r="Y46" s="477"/>
      <c r="Z46" s="477"/>
      <c r="AA46" s="477"/>
      <c r="AB46" s="477"/>
      <c r="AC46" s="477"/>
    </row>
    <row r="47" spans="1:29" hidden="1" x14ac:dyDescent="0.2">
      <c r="A47" s="477"/>
      <c r="B47" s="477"/>
      <c r="C47" s="477"/>
      <c r="D47" s="477"/>
      <c r="E47" s="477"/>
      <c r="F47" s="477"/>
      <c r="G47" s="477"/>
      <c r="H47" s="477"/>
      <c r="I47" s="477"/>
      <c r="J47" s="477"/>
      <c r="K47" s="477"/>
      <c r="L47" s="477"/>
      <c r="M47" s="477"/>
      <c r="N47" s="477"/>
      <c r="O47" s="477"/>
      <c r="P47" s="477"/>
      <c r="Q47" s="477"/>
      <c r="R47" s="477"/>
      <c r="S47" s="477"/>
      <c r="T47" s="477"/>
      <c r="U47" s="477"/>
      <c r="V47" s="477"/>
      <c r="W47" s="477"/>
      <c r="X47" s="477"/>
      <c r="Y47" s="477"/>
      <c r="Z47" s="477"/>
      <c r="AA47" s="477"/>
      <c r="AB47" s="477"/>
      <c r="AC47" s="477"/>
    </row>
    <row r="48" spans="1:29" hidden="1" x14ac:dyDescent="0.2">
      <c r="A48" s="477"/>
      <c r="B48" s="477"/>
      <c r="C48" s="477"/>
      <c r="D48" s="477"/>
      <c r="E48" s="477"/>
      <c r="F48" s="477"/>
      <c r="G48" s="477"/>
      <c r="H48" s="477"/>
      <c r="I48" s="477"/>
      <c r="J48" s="477"/>
      <c r="K48" s="477"/>
      <c r="L48" s="477"/>
      <c r="M48" s="477"/>
      <c r="N48" s="477"/>
      <c r="O48" s="477"/>
      <c r="P48" s="477"/>
      <c r="Q48" s="477"/>
      <c r="R48" s="477"/>
      <c r="S48" s="477"/>
      <c r="T48" s="477"/>
      <c r="U48" s="477"/>
      <c r="V48" s="477"/>
      <c r="W48" s="477"/>
      <c r="X48" s="477"/>
      <c r="Y48" s="477"/>
      <c r="Z48" s="477"/>
      <c r="AA48" s="477"/>
      <c r="AB48" s="477"/>
      <c r="AC48" s="477"/>
    </row>
    <row r="49" spans="1:29" hidden="1" x14ac:dyDescent="0.2">
      <c r="A49" s="477"/>
      <c r="B49" s="477"/>
      <c r="C49" s="477"/>
      <c r="D49" s="477"/>
      <c r="E49" s="477"/>
      <c r="F49" s="477"/>
      <c r="G49" s="477"/>
      <c r="H49" s="477"/>
      <c r="I49" s="477"/>
      <c r="J49" s="477"/>
      <c r="K49" s="477"/>
      <c r="L49" s="477"/>
      <c r="M49" s="477"/>
      <c r="N49" s="477"/>
      <c r="O49" s="477"/>
      <c r="P49" s="477"/>
      <c r="Q49" s="477"/>
      <c r="R49" s="477"/>
      <c r="S49" s="477"/>
      <c r="T49" s="477"/>
      <c r="U49" s="477"/>
      <c r="V49" s="477"/>
      <c r="W49" s="477"/>
      <c r="X49" s="477"/>
      <c r="Y49" s="477"/>
      <c r="Z49" s="477"/>
      <c r="AA49" s="477"/>
      <c r="AB49" s="477"/>
      <c r="AC49" s="477"/>
    </row>
    <row r="50" spans="1:29" hidden="1" x14ac:dyDescent="0.2">
      <c r="A50" s="477"/>
      <c r="B50" s="477"/>
      <c r="C50" s="477"/>
      <c r="D50" s="477"/>
      <c r="E50" s="477"/>
      <c r="F50" s="477"/>
      <c r="G50" s="477"/>
      <c r="H50" s="477"/>
      <c r="I50" s="477"/>
      <c r="J50" s="477"/>
      <c r="K50" s="477"/>
      <c r="L50" s="477"/>
      <c r="M50" s="477"/>
      <c r="N50" s="477"/>
      <c r="O50" s="477"/>
      <c r="P50" s="477"/>
      <c r="Q50" s="477"/>
      <c r="R50" s="477"/>
      <c r="S50" s="477"/>
      <c r="T50" s="477"/>
      <c r="U50" s="477"/>
      <c r="V50" s="477"/>
      <c r="W50" s="477"/>
      <c r="X50" s="477"/>
      <c r="Y50" s="477"/>
      <c r="Z50" s="477"/>
      <c r="AA50" s="477"/>
      <c r="AB50" s="477"/>
      <c r="AC50" s="477"/>
    </row>
    <row r="51" spans="1:29" hidden="1" x14ac:dyDescent="0.2">
      <c r="A51" s="477"/>
      <c r="B51" s="477"/>
      <c r="C51" s="477"/>
      <c r="D51" s="477"/>
      <c r="E51" s="477"/>
      <c r="F51" s="477"/>
      <c r="G51" s="477"/>
      <c r="H51" s="477"/>
      <c r="I51" s="477"/>
      <c r="J51" s="477"/>
      <c r="K51" s="477"/>
      <c r="L51" s="477"/>
      <c r="M51" s="477"/>
      <c r="N51" s="477"/>
      <c r="O51" s="477"/>
      <c r="P51" s="477"/>
      <c r="Q51" s="477"/>
      <c r="R51" s="477"/>
      <c r="S51" s="477"/>
      <c r="T51" s="477"/>
      <c r="U51" s="477"/>
      <c r="V51" s="477"/>
      <c r="W51" s="477"/>
      <c r="X51" s="477"/>
      <c r="Y51" s="477"/>
      <c r="Z51" s="477"/>
      <c r="AA51" s="477"/>
      <c r="AB51" s="477"/>
      <c r="AC51" s="477"/>
    </row>
    <row r="52" spans="1:29" hidden="1" x14ac:dyDescent="0.2">
      <c r="A52" s="477"/>
      <c r="B52" s="477"/>
      <c r="C52" s="477"/>
      <c r="D52" s="477"/>
      <c r="E52" s="477"/>
      <c r="F52" s="477"/>
      <c r="G52" s="477"/>
      <c r="H52" s="477"/>
      <c r="I52" s="477"/>
      <c r="J52" s="477"/>
      <c r="K52" s="477"/>
      <c r="L52" s="477"/>
      <c r="M52" s="477"/>
      <c r="N52" s="477"/>
      <c r="O52" s="477"/>
      <c r="P52" s="477"/>
      <c r="Q52" s="477"/>
      <c r="R52" s="477"/>
      <c r="S52" s="477"/>
      <c r="T52" s="477"/>
      <c r="U52" s="477"/>
      <c r="V52" s="477"/>
      <c r="W52" s="477"/>
      <c r="X52" s="477"/>
      <c r="Y52" s="477"/>
      <c r="Z52" s="477"/>
      <c r="AA52" s="477"/>
      <c r="AB52" s="477"/>
      <c r="AC52" s="477"/>
    </row>
    <row r="53" spans="1:29" hidden="1" x14ac:dyDescent="0.2">
      <c r="A53" s="477"/>
      <c r="B53" s="477"/>
      <c r="C53" s="477"/>
      <c r="D53" s="477"/>
      <c r="E53" s="477"/>
      <c r="F53" s="477"/>
      <c r="G53" s="477"/>
      <c r="H53" s="477"/>
      <c r="I53" s="477"/>
      <c r="J53" s="477"/>
      <c r="K53" s="477"/>
      <c r="L53" s="477"/>
      <c r="M53" s="477"/>
      <c r="N53" s="477"/>
      <c r="O53" s="477"/>
      <c r="P53" s="477"/>
      <c r="Q53" s="477"/>
      <c r="R53" s="477"/>
      <c r="S53" s="477"/>
      <c r="T53" s="477"/>
      <c r="U53" s="477"/>
      <c r="V53" s="477"/>
      <c r="W53" s="477"/>
      <c r="X53" s="477"/>
      <c r="Y53" s="477"/>
      <c r="Z53" s="477"/>
      <c r="AA53" s="477"/>
      <c r="AB53" s="477"/>
      <c r="AC53" s="477"/>
    </row>
    <row r="54" spans="1:29" hidden="1" x14ac:dyDescent="0.2">
      <c r="A54" s="477"/>
      <c r="B54" s="477"/>
      <c r="C54" s="477"/>
      <c r="D54" s="477"/>
      <c r="E54" s="477"/>
      <c r="F54" s="477"/>
      <c r="G54" s="477"/>
      <c r="H54" s="477"/>
      <c r="I54" s="477"/>
      <c r="J54" s="477"/>
      <c r="K54" s="477"/>
      <c r="L54" s="477"/>
      <c r="M54" s="477"/>
      <c r="N54" s="477"/>
      <c r="O54" s="477"/>
      <c r="P54" s="477"/>
      <c r="Q54" s="477"/>
      <c r="R54" s="477"/>
      <c r="S54" s="477"/>
      <c r="T54" s="477"/>
      <c r="U54" s="477"/>
      <c r="V54" s="477"/>
      <c r="W54" s="477"/>
      <c r="X54" s="477"/>
      <c r="Y54" s="477"/>
      <c r="Z54" s="477"/>
      <c r="AA54" s="477"/>
      <c r="AB54" s="477"/>
      <c r="AC54" s="477"/>
    </row>
    <row r="55" spans="1:29" hidden="1" x14ac:dyDescent="0.2">
      <c r="A55" s="477"/>
      <c r="B55" s="477"/>
      <c r="C55" s="477"/>
      <c r="D55" s="477"/>
      <c r="E55" s="477"/>
      <c r="F55" s="477"/>
      <c r="G55" s="477"/>
      <c r="H55" s="477"/>
      <c r="I55" s="477"/>
      <c r="J55" s="477"/>
      <c r="K55" s="477"/>
      <c r="L55" s="477"/>
      <c r="M55" s="477"/>
      <c r="N55" s="477"/>
      <c r="O55" s="477"/>
      <c r="P55" s="477"/>
      <c r="Q55" s="477"/>
      <c r="R55" s="477"/>
      <c r="S55" s="477"/>
      <c r="T55" s="477"/>
      <c r="U55" s="477"/>
      <c r="V55" s="477"/>
      <c r="W55" s="477"/>
      <c r="X55" s="477"/>
      <c r="Y55" s="477"/>
      <c r="Z55" s="477"/>
      <c r="AA55" s="477"/>
      <c r="AB55" s="477"/>
      <c r="AC55" s="477"/>
    </row>
    <row r="56" spans="1:29" hidden="1" x14ac:dyDescent="0.2">
      <c r="A56" s="477"/>
      <c r="B56" s="477"/>
      <c r="C56" s="477"/>
      <c r="D56" s="477"/>
      <c r="E56" s="477"/>
      <c r="F56" s="477"/>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row>
    <row r="57" spans="1:29" hidden="1" x14ac:dyDescent="0.2">
      <c r="A57" s="477"/>
      <c r="B57" s="477"/>
      <c r="C57" s="477"/>
      <c r="D57" s="477"/>
      <c r="E57" s="477"/>
      <c r="F57" s="477"/>
      <c r="G57" s="477"/>
      <c r="H57" s="477"/>
      <c r="I57" s="477"/>
      <c r="J57" s="477"/>
      <c r="K57" s="477"/>
      <c r="L57" s="477"/>
      <c r="M57" s="477"/>
      <c r="N57" s="477"/>
      <c r="O57" s="477"/>
      <c r="P57" s="477"/>
      <c r="Q57" s="477"/>
      <c r="R57" s="477"/>
      <c r="S57" s="477"/>
      <c r="T57" s="477"/>
      <c r="U57" s="477"/>
      <c r="V57" s="477"/>
      <c r="W57" s="477"/>
      <c r="X57" s="477"/>
      <c r="Y57" s="477"/>
      <c r="Z57" s="477"/>
      <c r="AA57" s="477"/>
      <c r="AB57" s="477"/>
      <c r="AC57" s="477"/>
    </row>
    <row r="58" spans="1:29" hidden="1" x14ac:dyDescent="0.2">
      <c r="A58" s="477"/>
      <c r="B58" s="477"/>
      <c r="C58" s="477"/>
      <c r="D58" s="477"/>
      <c r="E58" s="477"/>
      <c r="F58" s="477"/>
      <c r="G58" s="477"/>
      <c r="H58" s="477"/>
      <c r="I58" s="477"/>
      <c r="J58" s="477"/>
      <c r="K58" s="477"/>
      <c r="L58" s="477"/>
      <c r="M58" s="477"/>
      <c r="N58" s="477"/>
      <c r="O58" s="477"/>
      <c r="P58" s="477"/>
      <c r="Q58" s="477"/>
      <c r="R58" s="477"/>
      <c r="S58" s="477"/>
      <c r="T58" s="477"/>
      <c r="U58" s="477"/>
      <c r="V58" s="477"/>
      <c r="W58" s="477"/>
      <c r="X58" s="477"/>
      <c r="Y58" s="477"/>
      <c r="Z58" s="477"/>
      <c r="AA58" s="477"/>
      <c r="AB58" s="477"/>
      <c r="AC58" s="477"/>
    </row>
    <row r="59" spans="1:29" hidden="1" x14ac:dyDescent="0.2">
      <c r="A59" s="477"/>
      <c r="B59" s="477"/>
      <c r="C59" s="477"/>
      <c r="D59" s="477"/>
      <c r="E59" s="477"/>
      <c r="F59" s="477"/>
      <c r="G59" s="477"/>
      <c r="H59" s="477"/>
      <c r="I59" s="477"/>
      <c r="J59" s="477"/>
      <c r="K59" s="477"/>
      <c r="L59" s="477"/>
      <c r="M59" s="477"/>
      <c r="N59" s="477"/>
      <c r="O59" s="477"/>
      <c r="P59" s="477"/>
      <c r="Q59" s="477"/>
      <c r="R59" s="477"/>
      <c r="S59" s="477"/>
      <c r="T59" s="477"/>
      <c r="U59" s="477"/>
      <c r="V59" s="477"/>
      <c r="W59" s="477"/>
      <c r="X59" s="477"/>
      <c r="Y59" s="477"/>
      <c r="Z59" s="477"/>
      <c r="AA59" s="477"/>
      <c r="AB59" s="477"/>
      <c r="AC59" s="477"/>
    </row>
    <row r="60" spans="1:29" hidden="1" x14ac:dyDescent="0.2">
      <c r="A60" s="477"/>
      <c r="B60" s="477"/>
      <c r="C60" s="477"/>
      <c r="D60" s="477"/>
      <c r="E60" s="477"/>
      <c r="F60" s="477"/>
      <c r="G60" s="477"/>
      <c r="H60" s="477"/>
      <c r="I60" s="477"/>
      <c r="J60" s="477"/>
      <c r="K60" s="477"/>
      <c r="L60" s="477"/>
      <c r="M60" s="477"/>
      <c r="N60" s="477"/>
      <c r="O60" s="477"/>
      <c r="P60" s="477"/>
      <c r="Q60" s="477"/>
      <c r="R60" s="477"/>
      <c r="S60" s="477"/>
      <c r="T60" s="477"/>
      <c r="U60" s="477"/>
      <c r="V60" s="477"/>
      <c r="W60" s="477"/>
      <c r="X60" s="477"/>
      <c r="Y60" s="477"/>
      <c r="Z60" s="477"/>
      <c r="AA60" s="477"/>
      <c r="AB60" s="477"/>
      <c r="AC60" s="477"/>
    </row>
    <row r="61" spans="1:29" x14ac:dyDescent="0.2">
      <c r="A61" s="477"/>
      <c r="B61" s="477"/>
      <c r="C61" s="477"/>
      <c r="D61" s="477"/>
      <c r="E61" s="477"/>
      <c r="F61" s="477"/>
      <c r="G61" s="477"/>
      <c r="H61" s="477"/>
      <c r="I61" s="477"/>
      <c r="J61" s="477"/>
      <c r="K61" s="477"/>
      <c r="L61" s="477"/>
      <c r="M61" s="477"/>
      <c r="N61" s="477"/>
      <c r="O61" s="477"/>
      <c r="P61" s="477"/>
      <c r="Q61" s="477"/>
      <c r="R61" s="477"/>
      <c r="S61" s="477"/>
      <c r="T61" s="477"/>
      <c r="U61" s="477"/>
      <c r="V61" s="477"/>
      <c r="W61" s="477"/>
    </row>
    <row r="62" spans="1:29" x14ac:dyDescent="0.2">
      <c r="A62" s="79"/>
      <c r="B62" s="322" t="s">
        <v>171</v>
      </c>
      <c r="C62" s="283" t="s">
        <v>175</v>
      </c>
      <c r="D62" s="445"/>
      <c r="E62" s="79"/>
      <c r="F62" s="62"/>
      <c r="G62" s="79"/>
      <c r="H62" s="79"/>
      <c r="I62" s="79"/>
      <c r="J62" s="79"/>
      <c r="K62" s="62"/>
      <c r="L62" s="79"/>
      <c r="M62" s="62"/>
      <c r="N62" s="79"/>
      <c r="O62" s="299"/>
      <c r="P62" s="62"/>
      <c r="Q62" s="62"/>
      <c r="R62" s="62"/>
      <c r="S62" s="62"/>
      <c r="T62" s="62"/>
      <c r="U62" s="62"/>
    </row>
    <row r="63" spans="1:29" x14ac:dyDescent="0.2">
      <c r="A63" s="79"/>
      <c r="B63" s="322" t="s">
        <v>174</v>
      </c>
      <c r="C63" s="283" t="s">
        <v>191</v>
      </c>
      <c r="D63" s="79"/>
      <c r="E63" s="79"/>
      <c r="F63" s="62"/>
      <c r="G63" s="79"/>
      <c r="H63" s="79"/>
      <c r="I63" s="79"/>
      <c r="J63" s="79"/>
      <c r="K63" s="62"/>
      <c r="L63" s="79"/>
      <c r="M63" s="62"/>
      <c r="N63" s="79"/>
      <c r="O63" s="299"/>
      <c r="P63" s="62"/>
      <c r="Q63" s="62"/>
      <c r="R63" s="62"/>
      <c r="S63" s="62"/>
      <c r="T63" s="62"/>
      <c r="U63" s="62"/>
    </row>
    <row r="64" spans="1:29" x14ac:dyDescent="0.2">
      <c r="A64" s="79"/>
      <c r="B64" s="322" t="s">
        <v>177</v>
      </c>
      <c r="C64" s="283" t="s">
        <v>183</v>
      </c>
      <c r="D64" s="79"/>
      <c r="E64" s="79"/>
      <c r="F64" s="62"/>
      <c r="G64" s="79"/>
      <c r="H64" s="79"/>
      <c r="I64" s="79"/>
      <c r="J64" s="79"/>
      <c r="K64" s="62"/>
      <c r="L64" s="79"/>
      <c r="M64" s="62"/>
      <c r="N64" s="79"/>
      <c r="O64" s="299"/>
      <c r="P64" s="62"/>
      <c r="Q64" s="62"/>
      <c r="R64" s="62"/>
      <c r="S64" s="62"/>
      <c r="T64" s="62"/>
      <c r="U64" s="62"/>
    </row>
    <row r="65" spans="1:21" x14ac:dyDescent="0.2">
      <c r="A65" s="79"/>
      <c r="B65" s="79"/>
      <c r="C65" s="79"/>
      <c r="D65" s="79"/>
      <c r="E65" s="79"/>
      <c r="F65" s="79"/>
      <c r="G65" s="79"/>
      <c r="H65" s="79"/>
      <c r="I65" s="79"/>
      <c r="J65" s="79"/>
      <c r="K65" s="62"/>
      <c r="L65" s="79"/>
      <c r="M65" s="62"/>
      <c r="N65" s="79"/>
      <c r="O65" s="299"/>
      <c r="P65" s="62"/>
      <c r="Q65" s="62"/>
      <c r="R65" s="62"/>
      <c r="S65" s="62"/>
      <c r="T65" s="62"/>
      <c r="U65" s="62"/>
    </row>
    <row r="66" spans="1:21" x14ac:dyDescent="0.2">
      <c r="A66" s="79"/>
      <c r="B66" s="322" t="s">
        <v>171</v>
      </c>
      <c r="C66" s="283" t="s">
        <v>184</v>
      </c>
      <c r="D66" s="283" t="s">
        <v>183</v>
      </c>
      <c r="E66" s="79"/>
      <c r="F66" s="79"/>
      <c r="G66" s="79"/>
      <c r="H66" s="79"/>
      <c r="I66" s="79"/>
      <c r="J66" s="79"/>
      <c r="K66" s="62"/>
      <c r="L66" s="79"/>
      <c r="M66" s="62"/>
      <c r="N66" s="79"/>
      <c r="O66" s="299"/>
      <c r="P66" s="62"/>
      <c r="Q66" s="62"/>
      <c r="R66" s="62"/>
      <c r="S66" s="62"/>
      <c r="T66" s="62"/>
      <c r="U66" s="62"/>
    </row>
    <row r="67" spans="1:21" x14ac:dyDescent="0.2">
      <c r="A67" s="79"/>
      <c r="B67" s="322" t="s">
        <v>174</v>
      </c>
      <c r="C67" s="283" t="s">
        <v>175</v>
      </c>
      <c r="D67" s="283" t="s">
        <v>173</v>
      </c>
      <c r="E67" s="79"/>
      <c r="F67" s="79"/>
      <c r="G67" s="79"/>
      <c r="H67" s="79"/>
      <c r="I67" s="79"/>
      <c r="J67" s="79"/>
      <c r="K67" s="62"/>
      <c r="L67" s="79"/>
      <c r="M67" s="62"/>
      <c r="N67" s="79"/>
      <c r="O67" s="299"/>
      <c r="P67" s="62"/>
      <c r="Q67" s="62"/>
      <c r="R67" s="62"/>
      <c r="S67" s="62"/>
      <c r="T67" s="62"/>
      <c r="U67" s="62"/>
    </row>
    <row r="68" spans="1:21" x14ac:dyDescent="0.2">
      <c r="A68" s="79"/>
      <c r="B68" s="322" t="s">
        <v>177</v>
      </c>
      <c r="C68" s="283" t="s">
        <v>191</v>
      </c>
      <c r="D68" s="283" t="s">
        <v>179</v>
      </c>
      <c r="E68" s="79"/>
      <c r="F68" s="79"/>
      <c r="G68" s="79"/>
      <c r="H68" s="79"/>
      <c r="I68" s="79"/>
      <c r="J68" s="79"/>
      <c r="K68" s="62"/>
      <c r="L68" s="79"/>
      <c r="M68" s="62"/>
      <c r="N68" s="79"/>
      <c r="O68" s="299"/>
      <c r="P68" s="62"/>
      <c r="Q68" s="62"/>
      <c r="R68" s="62"/>
      <c r="S68" s="62"/>
      <c r="T68" s="62"/>
      <c r="U68" s="62"/>
    </row>
    <row r="69" spans="1:21" hidden="1" x14ac:dyDescent="0.2">
      <c r="A69" s="79"/>
      <c r="B69" s="330"/>
      <c r="C69" s="140"/>
      <c r="D69" s="140"/>
      <c r="E69" s="79"/>
      <c r="F69" s="79"/>
      <c r="G69" s="79"/>
      <c r="H69" s="79"/>
      <c r="I69" s="79"/>
      <c r="J69" s="79"/>
      <c r="K69" s="62"/>
      <c r="L69" s="79"/>
      <c r="M69" s="62"/>
      <c r="N69" s="79"/>
      <c r="O69" s="299"/>
      <c r="P69" s="62"/>
      <c r="Q69" s="62"/>
      <c r="R69" s="62"/>
      <c r="S69" s="62"/>
      <c r="T69" s="62"/>
      <c r="U69" s="62"/>
    </row>
    <row r="70" spans="1:21" hidden="1" x14ac:dyDescent="0.2">
      <c r="A70" s="79"/>
      <c r="B70" s="322" t="s">
        <v>171</v>
      </c>
      <c r="C70" s="283" t="s">
        <v>172</v>
      </c>
      <c r="D70" s="283" t="s">
        <v>173</v>
      </c>
      <c r="E70" s="79"/>
      <c r="F70" s="62"/>
      <c r="G70" s="62"/>
      <c r="H70" s="79"/>
      <c r="I70" s="79"/>
      <c r="J70" s="79"/>
      <c r="K70" s="62"/>
      <c r="L70" s="79"/>
      <c r="M70" s="62"/>
      <c r="N70" s="79"/>
      <c r="O70" s="299"/>
      <c r="P70" s="62"/>
      <c r="Q70" s="62"/>
      <c r="R70" s="62"/>
      <c r="S70" s="62"/>
      <c r="T70" s="62"/>
      <c r="U70" s="62"/>
    </row>
    <row r="71" spans="1:21" hidden="1" x14ac:dyDescent="0.2">
      <c r="A71" s="79"/>
      <c r="B71" s="322" t="s">
        <v>174</v>
      </c>
      <c r="C71" s="283" t="s">
        <v>184</v>
      </c>
      <c r="D71" s="283" t="s">
        <v>183</v>
      </c>
      <c r="E71" s="79"/>
      <c r="F71" s="62"/>
      <c r="G71" s="62"/>
      <c r="H71" s="62"/>
      <c r="I71" s="79"/>
      <c r="J71" s="79"/>
      <c r="K71" s="62"/>
      <c r="L71" s="79"/>
      <c r="M71" s="62"/>
      <c r="N71" s="79"/>
      <c r="O71" s="299"/>
      <c r="P71" s="62"/>
      <c r="Q71" s="62"/>
      <c r="R71" s="62"/>
      <c r="S71" s="62"/>
      <c r="T71" s="62"/>
      <c r="U71" s="62"/>
    </row>
    <row r="72" spans="1:21" hidden="1" x14ac:dyDescent="0.2">
      <c r="A72" s="79"/>
      <c r="B72" s="322" t="s">
        <v>177</v>
      </c>
      <c r="C72" s="283" t="s">
        <v>175</v>
      </c>
      <c r="D72" s="283" t="s">
        <v>176</v>
      </c>
      <c r="E72" s="79"/>
      <c r="F72" s="62"/>
      <c r="G72" s="62"/>
      <c r="H72" s="79"/>
      <c r="I72" s="79"/>
      <c r="J72" s="79"/>
      <c r="K72" s="62"/>
      <c r="L72" s="79"/>
      <c r="M72" s="62"/>
      <c r="N72" s="79"/>
      <c r="O72" s="299"/>
      <c r="P72" s="62"/>
      <c r="Q72" s="62"/>
      <c r="R72" s="62"/>
      <c r="S72" s="62"/>
      <c r="T72" s="62"/>
      <c r="U72" s="62"/>
    </row>
    <row r="73" spans="1:21" hidden="1" x14ac:dyDescent="0.2">
      <c r="A73" s="79"/>
      <c r="B73" s="322" t="s">
        <v>180</v>
      </c>
      <c r="C73" s="446" t="s">
        <v>191</v>
      </c>
      <c r="D73" s="283" t="s">
        <v>181</v>
      </c>
      <c r="E73" s="79"/>
      <c r="F73" s="62"/>
      <c r="G73" s="62"/>
      <c r="H73" s="79"/>
      <c r="I73" s="79"/>
      <c r="J73" s="79"/>
      <c r="K73" s="62"/>
      <c r="L73" s="79"/>
      <c r="M73" s="62"/>
      <c r="N73" s="79"/>
      <c r="O73" s="299"/>
      <c r="P73" s="62"/>
      <c r="Q73" s="62"/>
      <c r="R73" s="62"/>
      <c r="S73" s="62"/>
      <c r="T73" s="62"/>
      <c r="U73" s="62"/>
    </row>
    <row r="74" spans="1:21" hidden="1" x14ac:dyDescent="0.2">
      <c r="A74" s="79"/>
      <c r="B74" s="322" t="s">
        <v>182</v>
      </c>
      <c r="C74" s="283" t="s">
        <v>178</v>
      </c>
      <c r="D74" s="283" t="s">
        <v>179</v>
      </c>
      <c r="E74" s="79"/>
      <c r="F74" s="62"/>
      <c r="G74" s="62"/>
      <c r="H74" s="79"/>
      <c r="I74" s="79"/>
      <c r="J74" s="79"/>
      <c r="K74" s="62"/>
      <c r="L74" s="79"/>
      <c r="M74" s="62"/>
      <c r="N74" s="79"/>
      <c r="O74" s="299"/>
      <c r="P74" s="62"/>
      <c r="Q74" s="62"/>
      <c r="R74" s="62"/>
      <c r="S74" s="62"/>
      <c r="T74" s="62"/>
      <c r="U74" s="62"/>
    </row>
    <row r="75" spans="1:21" hidden="1" x14ac:dyDescent="0.2"/>
    <row r="76" spans="1:21" hidden="1" x14ac:dyDescent="0.2"/>
    <row r="77" spans="1:21" hidden="1" x14ac:dyDescent="0.2"/>
    <row r="78" spans="1:21" hidden="1" x14ac:dyDescent="0.2"/>
    <row r="79" spans="1:21" hidden="1" x14ac:dyDescent="0.2"/>
    <row r="80" spans="1:21"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spans="1:9" hidden="1" x14ac:dyDescent="0.2"/>
    <row r="98" spans="1:9" hidden="1" x14ac:dyDescent="0.2"/>
    <row r="100" spans="1:9" x14ac:dyDescent="0.2">
      <c r="A100" s="286" t="s">
        <v>192</v>
      </c>
      <c r="B100" s="287"/>
      <c r="C100" s="288"/>
      <c r="D100" s="288"/>
      <c r="E100" s="288"/>
      <c r="F100" s="285"/>
      <c r="G100" s="283"/>
      <c r="H100" s="269"/>
      <c r="I100" s="151"/>
    </row>
    <row r="101" spans="1:9" x14ac:dyDescent="0.2">
      <c r="A101" s="269"/>
      <c r="B101" s="269"/>
      <c r="C101" s="269"/>
      <c r="D101" s="269"/>
      <c r="E101" s="269"/>
      <c r="F101" s="269"/>
      <c r="G101" s="269"/>
      <c r="H101" s="269"/>
      <c r="I101" s="151"/>
    </row>
    <row r="102" spans="1:9" x14ac:dyDescent="0.2">
      <c r="A102" s="300" t="s">
        <v>193</v>
      </c>
      <c r="B102" s="289" t="str">
        <f>IFERROR(INDEX(B$1:B$100,MATCH(A102,I$1:I$100,0)),"")</f>
        <v>Svetlana Veski</v>
      </c>
      <c r="C102" s="301">
        <v>9</v>
      </c>
      <c r="D102" s="269"/>
      <c r="E102" s="269"/>
      <c r="F102" s="269"/>
      <c r="G102" s="269"/>
      <c r="H102" s="269"/>
      <c r="I102" s="151"/>
    </row>
    <row r="103" spans="1:9" x14ac:dyDescent="0.2">
      <c r="A103" s="302"/>
      <c r="B103" s="449"/>
      <c r="C103" s="303" t="str">
        <f>IF(COUNT(C102,C104)=2,IF(C102&gt;C104,B102,B104),"")</f>
        <v>Boriss Klubov</v>
      </c>
      <c r="D103" s="269"/>
      <c r="E103" s="301">
        <v>4</v>
      </c>
      <c r="F103" s="269"/>
      <c r="G103" s="269"/>
      <c r="H103" s="269"/>
      <c r="I103" s="269"/>
    </row>
    <row r="104" spans="1:9" x14ac:dyDescent="0.2">
      <c r="A104" s="302" t="s">
        <v>194</v>
      </c>
      <c r="B104" s="450" t="str">
        <f>IFERROR(INDEX(B$1:B$100,MATCH(A104,I$1:I$100,0)),"")</f>
        <v>Boriss Klubov</v>
      </c>
      <c r="C104" s="304">
        <v>13</v>
      </c>
      <c r="D104" s="336"/>
      <c r="E104" s="269"/>
      <c r="F104" s="269"/>
      <c r="G104" s="269"/>
      <c r="H104" s="269"/>
      <c r="I104" s="269"/>
    </row>
    <row r="105" spans="1:9" x14ac:dyDescent="0.2">
      <c r="A105" s="302"/>
      <c r="B105" s="292"/>
      <c r="C105" s="269"/>
      <c r="D105" s="305"/>
      <c r="E105" s="303" t="str">
        <f>IF(COUNT(E103,E107)=2,IF(E103&gt;E107,C103,C107),"")</f>
        <v>Ülo Piik</v>
      </c>
      <c r="F105" s="269"/>
      <c r="G105" s="301">
        <v>13</v>
      </c>
      <c r="H105" s="269"/>
      <c r="I105" s="269"/>
    </row>
    <row r="106" spans="1:9" x14ac:dyDescent="0.2">
      <c r="A106" s="302" t="s">
        <v>195</v>
      </c>
      <c r="B106" s="289" t="str">
        <f>IFERROR(INDEX(B$1:B$100,MATCH(A106,I$1:I$100,0)),"")</f>
        <v>Ülo Piik</v>
      </c>
      <c r="C106" s="301">
        <v>13</v>
      </c>
      <c r="D106" s="305"/>
      <c r="E106" s="306"/>
      <c r="F106" s="336"/>
      <c r="G106" s="269"/>
      <c r="H106" s="269"/>
      <c r="I106" s="269"/>
    </row>
    <row r="107" spans="1:9" x14ac:dyDescent="0.2">
      <c r="A107" s="302"/>
      <c r="B107" s="449"/>
      <c r="C107" s="303" t="str">
        <f>IF(COUNT(C106,C108)=2,IF(C106&gt;C108,B106,B108),"")</f>
        <v>Ülo Piik</v>
      </c>
      <c r="D107" s="451"/>
      <c r="E107" s="304">
        <v>13</v>
      </c>
      <c r="F107" s="305"/>
      <c r="G107" s="269"/>
      <c r="H107" s="269"/>
      <c r="I107" s="269"/>
    </row>
    <row r="108" spans="1:9" x14ac:dyDescent="0.2">
      <c r="A108" s="302" t="s">
        <v>196</v>
      </c>
      <c r="B108" s="450" t="str">
        <f>IFERROR(INDEX(B$1:B$100,MATCH(A108,I$1:I$100,0)),"")</f>
        <v>Illar Tõnurist</v>
      </c>
      <c r="C108" s="304">
        <v>4</v>
      </c>
      <c r="D108" s="269"/>
      <c r="E108" s="287"/>
      <c r="F108" s="305"/>
      <c r="G108" s="269"/>
      <c r="H108" s="269"/>
      <c r="I108" s="269"/>
    </row>
    <row r="109" spans="1:9" ht="13.5" thickBot="1" x14ac:dyDescent="0.25">
      <c r="A109" s="268"/>
      <c r="B109" s="292"/>
      <c r="C109" s="269"/>
      <c r="D109" s="269"/>
      <c r="E109" s="287"/>
      <c r="F109" s="305"/>
      <c r="G109" s="269"/>
      <c r="H109" s="452" t="str">
        <f>IF(COUNT(G105,G113)=2,IF(G105&gt;G113,E105,E113),"")</f>
        <v>Ülo Piik</v>
      </c>
      <c r="I109" s="269"/>
    </row>
    <row r="110" spans="1:9" x14ac:dyDescent="0.2">
      <c r="A110" s="300" t="s">
        <v>197</v>
      </c>
      <c r="B110" s="289" t="str">
        <f>IFERROR(INDEX(B$1:B$100,MATCH(A110,I$1:I$100,0)),"")</f>
        <v>Kenneth Muusikus</v>
      </c>
      <c r="C110" s="301">
        <v>13</v>
      </c>
      <c r="D110" s="269"/>
      <c r="E110" s="269"/>
      <c r="F110" s="305"/>
      <c r="G110" s="307"/>
      <c r="H110" s="290" t="s">
        <v>185</v>
      </c>
      <c r="I110" s="453"/>
    </row>
    <row r="111" spans="1:9" x14ac:dyDescent="0.2">
      <c r="A111" s="302"/>
      <c r="B111" s="449"/>
      <c r="C111" s="303" t="str">
        <f>IF(COUNT(C110,C112)=2,IF(C110&gt;C112,B110,B112),"")</f>
        <v>Kenneth Muusikus</v>
      </c>
      <c r="D111" s="269"/>
      <c r="E111" s="301">
        <v>13</v>
      </c>
      <c r="F111" s="305"/>
      <c r="G111" s="287"/>
      <c r="H111" s="269"/>
      <c r="I111" s="269"/>
    </row>
    <row r="112" spans="1:9" x14ac:dyDescent="0.2">
      <c r="A112" s="302" t="s">
        <v>198</v>
      </c>
      <c r="B112" s="450" t="str">
        <f>IFERROR(INDEX(B$1:B$100,MATCH(A112,I$1:I$100,0)),"")</f>
        <v>Urmas Jõeäär</v>
      </c>
      <c r="C112" s="304">
        <v>12</v>
      </c>
      <c r="D112" s="336"/>
      <c r="E112" s="269"/>
      <c r="F112" s="305"/>
      <c r="G112" s="287"/>
      <c r="H112" s="269"/>
      <c r="I112" s="269"/>
    </row>
    <row r="113" spans="1:9" x14ac:dyDescent="0.2">
      <c r="A113" s="302"/>
      <c r="B113" s="292"/>
      <c r="C113" s="269"/>
      <c r="D113" s="305"/>
      <c r="E113" s="303" t="str">
        <f>IF(COUNT(E111,E115)=2,IF(E111&gt;E115,C111,C115),"")</f>
        <v>Kenneth Muusikus</v>
      </c>
      <c r="F113" s="451"/>
      <c r="G113" s="304">
        <v>9</v>
      </c>
      <c r="H113" s="269"/>
      <c r="I113" s="269"/>
    </row>
    <row r="114" spans="1:9" ht="13.5" thickBot="1" x14ac:dyDescent="0.25">
      <c r="A114" s="302" t="s">
        <v>200</v>
      </c>
      <c r="B114" s="289" t="str">
        <f>IFERROR(INDEX(B$1:B$100,MATCH(A114,I$1:I$100,0)),"")</f>
        <v>Kaspar Mänd</v>
      </c>
      <c r="C114" s="301">
        <v>9</v>
      </c>
      <c r="D114" s="305"/>
      <c r="E114" s="306"/>
      <c r="F114" s="287"/>
      <c r="G114" s="287"/>
      <c r="H114" s="452" t="str">
        <f>IF(COUNT(G105,G113)=2,IF(G105&lt;G113,E105,E113),"")</f>
        <v>Kenneth Muusikus</v>
      </c>
      <c r="I114" s="454"/>
    </row>
    <row r="115" spans="1:9" x14ac:dyDescent="0.2">
      <c r="A115" s="302"/>
      <c r="B115" s="449"/>
      <c r="C115" s="303" t="str">
        <f>IF(COUNT(C114,C116)=2,IF(C114&gt;C116,B114,B116),"")</f>
        <v>Jaan Saar</v>
      </c>
      <c r="D115" s="451"/>
      <c r="E115" s="304">
        <v>9</v>
      </c>
      <c r="F115" s="269"/>
      <c r="G115" s="287"/>
      <c r="H115" s="290" t="s">
        <v>186</v>
      </c>
      <c r="I115" s="287"/>
    </row>
    <row r="116" spans="1:9" x14ac:dyDescent="0.2">
      <c r="A116" s="302" t="s">
        <v>199</v>
      </c>
      <c r="B116" s="450" t="str">
        <f>IFERROR(INDEX(B$1:B$100,MATCH(A116,I$1:I$100,0)),"")</f>
        <v>Jaan Saar</v>
      </c>
      <c r="C116" s="698">
        <v>13</v>
      </c>
      <c r="D116" s="269"/>
      <c r="E116" s="287"/>
      <c r="F116" s="287"/>
      <c r="G116" s="287"/>
      <c r="H116" s="269"/>
      <c r="I116" s="269"/>
    </row>
    <row r="117" spans="1:9" x14ac:dyDescent="0.2">
      <c r="A117" s="268"/>
      <c r="B117" s="292"/>
      <c r="C117" s="269"/>
      <c r="D117" s="269"/>
      <c r="E117" s="284" t="str">
        <f>IF(COUNT(E103,E107)=2,IF(E103&lt;E107,C103,C107),"")</f>
        <v>Boriss Klubov</v>
      </c>
      <c r="F117" s="269"/>
      <c r="G117" s="301">
        <v>7</v>
      </c>
      <c r="H117" s="269"/>
      <c r="I117" s="269"/>
    </row>
    <row r="118" spans="1:9" ht="13.5" thickBot="1" x14ac:dyDescent="0.25">
      <c r="A118" s="269"/>
      <c r="B118" s="269"/>
      <c r="C118" s="269"/>
      <c r="D118" s="269"/>
      <c r="E118" s="455"/>
      <c r="F118" s="336"/>
      <c r="G118" s="454"/>
      <c r="H118" s="452" t="str">
        <f>IF(COUNT(G117,G119)=2,IF(G117&gt;G119,E117,E119),"")</f>
        <v>Jaan Saar</v>
      </c>
      <c r="I118" s="454"/>
    </row>
    <row r="119" spans="1:9" x14ac:dyDescent="0.2">
      <c r="A119" s="269"/>
      <c r="B119" s="269"/>
      <c r="C119" s="269"/>
      <c r="D119" s="269"/>
      <c r="E119" s="456" t="str">
        <f>IF(COUNT(E111,E115)=2,IF(E111&lt;E115,C111,C115),"")</f>
        <v>Jaan Saar</v>
      </c>
      <c r="F119" s="451"/>
      <c r="G119" s="304">
        <v>13</v>
      </c>
      <c r="H119" s="296" t="s">
        <v>187</v>
      </c>
      <c r="I119" s="287"/>
    </row>
    <row r="120" spans="1:9" x14ac:dyDescent="0.2">
      <c r="A120" s="269"/>
      <c r="B120" s="269"/>
      <c r="C120" s="269"/>
      <c r="D120" s="269"/>
      <c r="E120" s="269"/>
      <c r="F120" s="269"/>
      <c r="G120" s="269"/>
      <c r="H120" s="287"/>
      <c r="I120" s="287"/>
    </row>
    <row r="121" spans="1:9" ht="13.5" thickBot="1" x14ac:dyDescent="0.25">
      <c r="A121" s="269"/>
      <c r="B121" s="269"/>
      <c r="C121" s="269"/>
      <c r="D121" s="269"/>
      <c r="E121" s="287"/>
      <c r="F121" s="287"/>
      <c r="G121" s="269"/>
      <c r="H121" s="452" t="str">
        <f>IF(COUNT(G117,G119)=2,IF(G117&lt;G119,E117,E119),"")</f>
        <v>Boriss Klubov</v>
      </c>
      <c r="I121" s="454"/>
    </row>
    <row r="122" spans="1:9" x14ac:dyDescent="0.2">
      <c r="A122" s="269"/>
      <c r="B122" s="269"/>
      <c r="C122" s="269"/>
      <c r="D122" s="269"/>
      <c r="E122" s="269"/>
      <c r="F122" s="269"/>
      <c r="G122" s="269"/>
      <c r="H122" s="268" t="s">
        <v>188</v>
      </c>
      <c r="I122" s="269"/>
    </row>
    <row r="123" spans="1:9" x14ac:dyDescent="0.2">
      <c r="A123" s="269"/>
      <c r="B123" s="269"/>
      <c r="C123" s="456" t="str">
        <f>IF(COUNT(C102,C104)=2,IF(C102&lt;C104,B102,B104),"")</f>
        <v>Svetlana Veski</v>
      </c>
      <c r="D123" s="269"/>
      <c r="E123" s="301">
        <v>13</v>
      </c>
      <c r="F123" s="301"/>
      <c r="G123" s="301"/>
      <c r="H123" s="269"/>
      <c r="I123" s="269"/>
    </row>
    <row r="124" spans="1:9" x14ac:dyDescent="0.2">
      <c r="A124" s="269"/>
      <c r="B124" s="269"/>
      <c r="C124" s="457"/>
      <c r="D124" s="337"/>
      <c r="E124" s="303" t="str">
        <f>IF(COUNT(E123,E125)=2,IF(E123&gt;E125,C123,C125),"")</f>
        <v>Svetlana Veski</v>
      </c>
      <c r="F124" s="269"/>
      <c r="G124" s="301">
        <v>13</v>
      </c>
      <c r="H124" s="269"/>
      <c r="I124" s="269"/>
    </row>
    <row r="125" spans="1:9" x14ac:dyDescent="0.2">
      <c r="A125" s="269"/>
      <c r="B125" s="269"/>
      <c r="C125" s="456" t="str">
        <f>IF(COUNT(C106,C108)=2,IF(C106&lt;C108,B106,B108),"")</f>
        <v>Illar Tõnurist</v>
      </c>
      <c r="D125" s="458"/>
      <c r="E125" s="304">
        <v>10</v>
      </c>
      <c r="F125" s="337"/>
      <c r="G125" s="301"/>
      <c r="H125" s="269"/>
      <c r="I125" s="269"/>
    </row>
    <row r="126" spans="1:9" ht="13.5" thickBot="1" x14ac:dyDescent="0.25">
      <c r="A126" s="269"/>
      <c r="B126" s="269"/>
      <c r="C126" s="301"/>
      <c r="D126" s="301"/>
      <c r="E126" s="269"/>
      <c r="F126" s="309"/>
      <c r="G126" s="301"/>
      <c r="H126" s="452" t="str">
        <f>IF(COUNT(G124,G128)=2,IF(G124&gt;G128,E124,E128),"")</f>
        <v>Svetlana Veski</v>
      </c>
      <c r="I126" s="269"/>
    </row>
    <row r="127" spans="1:9" x14ac:dyDescent="0.2">
      <c r="A127" s="269"/>
      <c r="B127" s="269"/>
      <c r="C127" s="456" t="str">
        <f>IF(COUNT(C110,C112)=2,IF(C110&lt;C112,B110,B112),"")</f>
        <v>Urmas Jõeäär</v>
      </c>
      <c r="D127" s="301"/>
      <c r="E127" s="301">
        <v>13</v>
      </c>
      <c r="F127" s="309"/>
      <c r="G127" s="310"/>
      <c r="H127" s="290" t="s">
        <v>189</v>
      </c>
      <c r="I127" s="453"/>
    </row>
    <row r="128" spans="1:9" x14ac:dyDescent="0.2">
      <c r="A128" s="269"/>
      <c r="B128" s="269"/>
      <c r="C128" s="457"/>
      <c r="D128" s="337"/>
      <c r="E128" s="303" t="str">
        <f>IF(COUNT(E127,E129)=2,IF(E127&gt;E129,C127,C129),"")</f>
        <v>Urmas Jõeäär</v>
      </c>
      <c r="F128" s="451"/>
      <c r="G128" s="304">
        <v>10</v>
      </c>
      <c r="H128" s="269"/>
      <c r="I128" s="269"/>
    </row>
    <row r="129" spans="1:14" ht="13.5" thickBot="1" x14ac:dyDescent="0.25">
      <c r="A129" s="269"/>
      <c r="B129" s="269"/>
      <c r="C129" s="456" t="str">
        <f>IF(COUNT(C114,C116)=2,IF(C114&lt;C116,B114,B116),"")</f>
        <v>Kaspar Mänd</v>
      </c>
      <c r="D129" s="458"/>
      <c r="E129" s="304">
        <v>12</v>
      </c>
      <c r="F129" s="301"/>
      <c r="G129" s="308"/>
      <c r="H129" s="452" t="str">
        <f>IF(COUNT(G124,G128)=2,IF(G124&lt;G128,E124,E128),"")</f>
        <v>Urmas Jõeäär</v>
      </c>
      <c r="I129" s="454"/>
    </row>
    <row r="130" spans="1:14" x14ac:dyDescent="0.2">
      <c r="A130" s="269"/>
      <c r="B130" s="269"/>
      <c r="C130" s="301"/>
      <c r="D130" s="301"/>
      <c r="E130" s="301"/>
      <c r="F130" s="301"/>
      <c r="G130" s="308"/>
      <c r="H130" s="290" t="s">
        <v>190</v>
      </c>
      <c r="I130" s="287"/>
    </row>
    <row r="131" spans="1:14" x14ac:dyDescent="0.2">
      <c r="A131" s="269"/>
      <c r="B131" s="269"/>
      <c r="C131" s="301"/>
      <c r="D131" s="308"/>
      <c r="E131" s="284" t="str">
        <f>IF(COUNT(E123,E125)=2,IF(E123&lt;E125,C123,C125),"")</f>
        <v>Illar Tõnurist</v>
      </c>
      <c r="F131" s="269"/>
      <c r="G131" s="301">
        <v>11</v>
      </c>
      <c r="H131" s="287"/>
      <c r="I131" s="287"/>
    </row>
    <row r="132" spans="1:14" ht="13.5" thickBot="1" x14ac:dyDescent="0.25">
      <c r="A132" s="269"/>
      <c r="B132" s="269"/>
      <c r="C132" s="301"/>
      <c r="D132" s="308"/>
      <c r="E132" s="455"/>
      <c r="F132" s="336"/>
      <c r="G132" s="454"/>
      <c r="H132" s="452" t="str">
        <f>IF(COUNT(G131,G133)=2,IF(G131&gt;G133,E131,E133),"")</f>
        <v>Kaspar Mänd</v>
      </c>
      <c r="I132" s="454"/>
    </row>
    <row r="133" spans="1:14" x14ac:dyDescent="0.2">
      <c r="A133" s="269"/>
      <c r="B133" s="269"/>
      <c r="C133" s="301"/>
      <c r="D133" s="308"/>
      <c r="E133" s="456" t="str">
        <f>IF(COUNT(E127,E129)=2,IF(E127&lt;E129,C127,C129),"")</f>
        <v>Kaspar Mänd</v>
      </c>
      <c r="F133" s="451"/>
      <c r="G133" s="304">
        <v>13</v>
      </c>
      <c r="H133" s="290" t="s">
        <v>201</v>
      </c>
      <c r="I133" s="287"/>
    </row>
    <row r="134" spans="1:14" x14ac:dyDescent="0.2">
      <c r="A134" s="269"/>
      <c r="B134" s="269"/>
      <c r="C134" s="269"/>
      <c r="D134" s="287"/>
      <c r="E134" s="269"/>
      <c r="F134" s="269"/>
      <c r="G134" s="269"/>
      <c r="H134" s="287"/>
      <c r="I134" s="287"/>
    </row>
    <row r="135" spans="1:14" ht="13.5" thickBot="1" x14ac:dyDescent="0.25">
      <c r="A135" s="269"/>
      <c r="B135" s="269"/>
      <c r="C135" s="269"/>
      <c r="D135" s="269"/>
      <c r="E135" s="287"/>
      <c r="F135" s="287"/>
      <c r="G135" s="269"/>
      <c r="H135" s="454" t="str">
        <f>IF(COUNT(G131,G133)=2,IF(G131&lt;G133,E131,E133),"")</f>
        <v>Illar Tõnurist</v>
      </c>
      <c r="I135" s="454"/>
    </row>
    <row r="136" spans="1:14" x14ac:dyDescent="0.2">
      <c r="A136" s="80"/>
      <c r="B136" s="140"/>
      <c r="C136" s="285"/>
      <c r="D136" s="285"/>
      <c r="E136" s="285"/>
      <c r="F136" s="285"/>
      <c r="G136" s="323"/>
      <c r="H136" s="290" t="s">
        <v>202</v>
      </c>
      <c r="I136" s="79"/>
    </row>
    <row r="138" spans="1:14" x14ac:dyDescent="0.2">
      <c r="A138" s="286" t="s">
        <v>379</v>
      </c>
      <c r="B138" s="287"/>
      <c r="C138" s="288"/>
      <c r="D138" s="288"/>
      <c r="E138" s="288"/>
      <c r="F138" s="285"/>
      <c r="G138" s="283"/>
      <c r="H138" s="269"/>
      <c r="I138" s="151"/>
    </row>
    <row r="139" spans="1:14" x14ac:dyDescent="0.2">
      <c r="A139" s="269"/>
      <c r="B139" s="269"/>
      <c r="C139" s="269"/>
      <c r="D139" s="269"/>
      <c r="E139" s="269"/>
      <c r="F139" s="269"/>
      <c r="G139" s="269"/>
      <c r="H139" s="269"/>
      <c r="I139" s="151"/>
    </row>
    <row r="140" spans="1:14" x14ac:dyDescent="0.2">
      <c r="A140" s="300" t="s">
        <v>203</v>
      </c>
      <c r="B140" s="289" t="str">
        <f>IFERROR(INDEX(B$1:B$100,MATCH(A140,I$1:I$100,0)),"")</f>
        <v>Enn Tokman</v>
      </c>
      <c r="C140" s="301">
        <v>13</v>
      </c>
      <c r="D140" s="269"/>
      <c r="E140" s="269"/>
      <c r="F140" s="269"/>
      <c r="G140" s="269"/>
      <c r="H140" s="269"/>
      <c r="I140" s="151"/>
      <c r="N140" s="52"/>
    </row>
    <row r="141" spans="1:14" x14ac:dyDescent="0.2">
      <c r="A141" s="302"/>
      <c r="B141" s="449"/>
      <c r="C141" s="303" t="str">
        <f>IF(COUNT(C140,C142)=2,IF(C140&gt;C142,B140,B142),"")</f>
        <v>Enn Tokman</v>
      </c>
      <c r="D141" s="269"/>
      <c r="E141" s="301">
        <v>11</v>
      </c>
      <c r="F141" s="269"/>
      <c r="G141" s="269"/>
      <c r="H141" s="269"/>
      <c r="I141" s="269"/>
    </row>
    <row r="142" spans="1:14" x14ac:dyDescent="0.2">
      <c r="A142" s="302" t="s">
        <v>266</v>
      </c>
      <c r="B142" s="450" t="str">
        <f>IFERROR(INDEX(B$1:B$100,MATCH(A142,I$1:I$100,0)),"")</f>
        <v>Tõnu Kapper</v>
      </c>
      <c r="C142" s="304">
        <v>8</v>
      </c>
      <c r="D142" s="336"/>
      <c r="E142" s="269"/>
      <c r="F142" s="269"/>
      <c r="G142" s="269"/>
      <c r="H142" s="269"/>
      <c r="I142" s="269"/>
    </row>
    <row r="143" spans="1:14" x14ac:dyDescent="0.2">
      <c r="A143" s="302"/>
      <c r="B143" s="292"/>
      <c r="C143" s="269"/>
      <c r="D143" s="305"/>
      <c r="E143" s="303" t="str">
        <f>IF(COUNT(E141,E145)=2,IF(E141&gt;E145,C141,C145),"")</f>
        <v>Vello Vasser</v>
      </c>
      <c r="F143" s="269"/>
      <c r="G143" s="301">
        <v>10</v>
      </c>
      <c r="H143" s="269"/>
      <c r="I143" s="269"/>
    </row>
    <row r="144" spans="1:14" x14ac:dyDescent="0.2">
      <c r="A144" s="302" t="s">
        <v>204</v>
      </c>
      <c r="B144" s="289" t="str">
        <f>IFERROR(INDEX(B$1:B$100,MATCH(A144,I$1:I$100,0)),"")</f>
        <v>Tõnu Piik</v>
      </c>
      <c r="C144" s="301">
        <v>7</v>
      </c>
      <c r="D144" s="305"/>
      <c r="E144" s="306"/>
      <c r="F144" s="336"/>
      <c r="G144" s="269"/>
      <c r="H144" s="269"/>
      <c r="I144" s="269"/>
    </row>
    <row r="145" spans="1:9" x14ac:dyDescent="0.2">
      <c r="A145" s="302"/>
      <c r="B145" s="449"/>
      <c r="C145" s="303" t="str">
        <f>IF(COUNT(C144,C146)=2,IF(C144&gt;C146,B144,B146),"")</f>
        <v>Vello Vasser</v>
      </c>
      <c r="D145" s="451"/>
      <c r="E145" s="304">
        <v>13</v>
      </c>
      <c r="F145" s="305"/>
      <c r="G145" s="269"/>
      <c r="H145" s="269"/>
      <c r="I145" s="269"/>
    </row>
    <row r="146" spans="1:9" x14ac:dyDescent="0.2">
      <c r="A146" s="302" t="s">
        <v>267</v>
      </c>
      <c r="B146" s="450" t="str">
        <f>IFERROR(INDEX(B$1:B$100,MATCH(A146,I$1:I$100,0)),"")</f>
        <v>Vello Vasser</v>
      </c>
      <c r="C146" s="304">
        <v>13</v>
      </c>
      <c r="D146" s="269"/>
      <c r="E146" s="287"/>
      <c r="F146" s="305"/>
      <c r="G146" s="269"/>
      <c r="H146" s="269"/>
      <c r="I146" s="269"/>
    </row>
    <row r="147" spans="1:9" ht="13.5" thickBot="1" x14ac:dyDescent="0.25">
      <c r="A147" s="268"/>
      <c r="B147" s="292"/>
      <c r="C147" s="269"/>
      <c r="D147" s="269"/>
      <c r="E147" s="287"/>
      <c r="F147" s="305"/>
      <c r="G147" s="269"/>
      <c r="H147" s="452" t="str">
        <f>IF(COUNT(G143,G151)=2,IF(G143&gt;G151,E143,E151),"")</f>
        <v>Andres Veski</v>
      </c>
      <c r="I147" s="269"/>
    </row>
    <row r="148" spans="1:9" x14ac:dyDescent="0.2">
      <c r="A148" s="300" t="s">
        <v>206</v>
      </c>
      <c r="B148" s="289" t="str">
        <f>IFERROR(INDEX(B$1:B$100,MATCH(A148,I$1:I$100,0)),"")</f>
        <v>Andres Veski</v>
      </c>
      <c r="C148" s="301">
        <v>13</v>
      </c>
      <c r="D148" s="269"/>
      <c r="E148" s="269"/>
      <c r="F148" s="305"/>
      <c r="G148" s="307"/>
      <c r="H148" s="290" t="s">
        <v>207</v>
      </c>
      <c r="I148" s="453"/>
    </row>
    <row r="149" spans="1:9" x14ac:dyDescent="0.2">
      <c r="A149" s="302"/>
      <c r="B149" s="449"/>
      <c r="C149" s="303" t="str">
        <f>IF(COUNT(C148,C150)=2,IF(C148&gt;C150,B148,B150),"")</f>
        <v>Andres Veski</v>
      </c>
      <c r="D149" s="269"/>
      <c r="E149" s="301">
        <v>13</v>
      </c>
      <c r="F149" s="305"/>
      <c r="G149" s="287"/>
      <c r="H149" s="269"/>
      <c r="I149" s="269"/>
    </row>
    <row r="150" spans="1:9" x14ac:dyDescent="0.2">
      <c r="A150" s="302" t="s">
        <v>268</v>
      </c>
      <c r="B150" s="450" t="str">
        <f>IFERROR(INDEX(B$1:B$100,MATCH(A150,I$1:I$100,0)),"")</f>
        <v>Aurelia Meldre</v>
      </c>
      <c r="C150" s="304">
        <v>10</v>
      </c>
      <c r="D150" s="336"/>
      <c r="E150" s="269"/>
      <c r="F150" s="305"/>
      <c r="G150" s="287"/>
      <c r="H150" s="269"/>
      <c r="I150" s="269"/>
    </row>
    <row r="151" spans="1:9" x14ac:dyDescent="0.2">
      <c r="A151" s="302"/>
      <c r="B151" s="292"/>
      <c r="C151" s="269"/>
      <c r="D151" s="305"/>
      <c r="E151" s="303" t="str">
        <f>IF(COUNT(E149,E153)=2,IF(E149&gt;E153,C149,C153),"")</f>
        <v>Andres Veski</v>
      </c>
      <c r="F151" s="451"/>
      <c r="G151" s="304">
        <v>13</v>
      </c>
      <c r="H151" s="269"/>
      <c r="I151" s="269"/>
    </row>
    <row r="152" spans="1:9" ht="13.5" thickBot="1" x14ac:dyDescent="0.25">
      <c r="A152" s="302" t="s">
        <v>208</v>
      </c>
      <c r="B152" s="289" t="str">
        <f>IFERROR(INDEX(B$1:B$100,MATCH(A152,I$1:I$100,0)),"")</f>
        <v>Klavdia Piik</v>
      </c>
      <c r="C152" s="301">
        <f>IF(B152="-",0,IF(B154="-",13,""))</f>
        <v>13</v>
      </c>
      <c r="D152" s="305"/>
      <c r="E152" s="306"/>
      <c r="F152" s="287"/>
      <c r="G152" s="287"/>
      <c r="H152" s="452" t="str">
        <f>IF(COUNT(G143,G151)=2,IF(G143&lt;G151,E143,E151),"")</f>
        <v>Vello Vasser</v>
      </c>
      <c r="I152" s="454"/>
    </row>
    <row r="153" spans="1:9" x14ac:dyDescent="0.2">
      <c r="A153" s="302"/>
      <c r="B153" s="449"/>
      <c r="C153" s="303" t="str">
        <f>IF(COUNT(C152,C154)=2,IF(C152&gt;C154,B152,B154),"")</f>
        <v>Klavdia Piik</v>
      </c>
      <c r="D153" s="451"/>
      <c r="E153" s="304">
        <v>5</v>
      </c>
      <c r="F153" s="269"/>
      <c r="G153" s="287"/>
      <c r="H153" s="290" t="s">
        <v>209</v>
      </c>
      <c r="I153" s="287"/>
    </row>
    <row r="154" spans="1:9" x14ac:dyDescent="0.2">
      <c r="A154" s="302" t="s">
        <v>269</v>
      </c>
      <c r="B154" s="450" t="s">
        <v>205</v>
      </c>
      <c r="C154" s="304">
        <f>IF(B154="-",0,IF(B152="-",13,""))</f>
        <v>0</v>
      </c>
      <c r="D154" s="269"/>
      <c r="E154" s="287"/>
      <c r="F154" s="287"/>
      <c r="G154" s="287"/>
      <c r="H154" s="269"/>
      <c r="I154" s="269"/>
    </row>
    <row r="155" spans="1:9" x14ac:dyDescent="0.2">
      <c r="A155" s="268"/>
      <c r="B155" s="292"/>
      <c r="C155" s="269"/>
      <c r="D155" s="269"/>
      <c r="E155" s="284" t="str">
        <f>IF(COUNT(E141,E145)=2,IF(E141&lt;E145,C141,C145),"")</f>
        <v>Enn Tokman</v>
      </c>
      <c r="F155" s="269"/>
      <c r="G155" s="301">
        <v>13</v>
      </c>
      <c r="H155" s="269"/>
      <c r="I155" s="269"/>
    </row>
    <row r="156" spans="1:9" ht="13.5" thickBot="1" x14ac:dyDescent="0.25">
      <c r="A156" s="269"/>
      <c r="B156" s="269"/>
      <c r="C156" s="269"/>
      <c r="D156" s="269"/>
      <c r="E156" s="455"/>
      <c r="F156" s="336"/>
      <c r="G156" s="454"/>
      <c r="H156" s="452" t="str">
        <f>IF(COUNT(G155,G157)=2,IF(G155&gt;G157,E155,E157),"")</f>
        <v>Enn Tokman</v>
      </c>
      <c r="I156" s="454"/>
    </row>
    <row r="157" spans="1:9" x14ac:dyDescent="0.2">
      <c r="A157" s="269"/>
      <c r="B157" s="269"/>
      <c r="C157" s="269"/>
      <c r="D157" s="269"/>
      <c r="E157" s="456" t="str">
        <f>IF(COUNT(E149,E153)=2,IF(E149&lt;E153,C149,C153),"")</f>
        <v>Klavdia Piik</v>
      </c>
      <c r="F157" s="451"/>
      <c r="G157" s="304">
        <v>8</v>
      </c>
      <c r="H157" s="296" t="s">
        <v>210</v>
      </c>
      <c r="I157" s="287"/>
    </row>
    <row r="158" spans="1:9" x14ac:dyDescent="0.2">
      <c r="A158" s="269"/>
      <c r="B158" s="269"/>
      <c r="C158" s="269"/>
      <c r="D158" s="269"/>
      <c r="E158" s="269"/>
      <c r="F158" s="269"/>
      <c r="G158" s="269"/>
      <c r="H158" s="287"/>
      <c r="I158" s="287"/>
    </row>
    <row r="159" spans="1:9" ht="13.5" thickBot="1" x14ac:dyDescent="0.25">
      <c r="A159" s="269"/>
      <c r="B159" s="269"/>
      <c r="C159" s="269"/>
      <c r="D159" s="269"/>
      <c r="E159" s="287"/>
      <c r="F159" s="287"/>
      <c r="G159" s="269"/>
      <c r="H159" s="452" t="str">
        <f>IF(COUNT(G155,G157)=2,IF(G155&lt;G157,E155,E157),"")</f>
        <v>Klavdia Piik</v>
      </c>
      <c r="I159" s="454"/>
    </row>
    <row r="160" spans="1:9" x14ac:dyDescent="0.2">
      <c r="A160" s="269"/>
      <c r="B160" s="269"/>
      <c r="C160" s="269"/>
      <c r="D160" s="269"/>
      <c r="E160" s="269"/>
      <c r="F160" s="269"/>
      <c r="G160" s="269"/>
      <c r="H160" s="268" t="s">
        <v>211</v>
      </c>
      <c r="I160" s="269"/>
    </row>
    <row r="161" spans="1:9" x14ac:dyDescent="0.2">
      <c r="A161" s="269"/>
      <c r="B161" s="269"/>
      <c r="C161" s="456" t="str">
        <f>IF(COUNT(C140,C142)=2,IF(C140&lt;C142,B140,B142),"")</f>
        <v>Tõnu Kapper</v>
      </c>
      <c r="D161" s="269"/>
      <c r="E161" s="301">
        <v>13</v>
      </c>
      <c r="F161" s="301"/>
      <c r="G161" s="301"/>
      <c r="H161" s="269"/>
      <c r="I161" s="269"/>
    </row>
    <row r="162" spans="1:9" x14ac:dyDescent="0.2">
      <c r="A162" s="269"/>
      <c r="B162" s="269"/>
      <c r="C162" s="457"/>
      <c r="D162" s="337"/>
      <c r="E162" s="303" t="str">
        <f>IF(COUNT(E161,E163)=2,IF(E161&gt;E163,C161,C163),"")</f>
        <v>Tõnu Kapper</v>
      </c>
      <c r="F162" s="269"/>
      <c r="G162" s="301">
        <v>13</v>
      </c>
      <c r="H162" s="269"/>
      <c r="I162" s="269"/>
    </row>
    <row r="163" spans="1:9" x14ac:dyDescent="0.2">
      <c r="A163" s="269"/>
      <c r="B163" s="269"/>
      <c r="C163" s="456" t="str">
        <f>IF(COUNT(C144,C146)=2,IF(C144&lt;C146,B144,B146),"")</f>
        <v>Tõnu Piik</v>
      </c>
      <c r="D163" s="458"/>
      <c r="E163" s="304">
        <v>7</v>
      </c>
      <c r="F163" s="337"/>
      <c r="G163" s="301"/>
      <c r="H163" s="269"/>
      <c r="I163" s="269"/>
    </row>
    <row r="164" spans="1:9" ht="13.5" thickBot="1" x14ac:dyDescent="0.25">
      <c r="A164" s="269"/>
      <c r="B164" s="269"/>
      <c r="C164" s="301"/>
      <c r="D164" s="301"/>
      <c r="E164" s="269"/>
      <c r="F164" s="309"/>
      <c r="G164" s="301"/>
      <c r="H164" s="452" t="str">
        <f>IF(COUNT(G162,G166)=2,IF(G162&gt;G166,E162,E166),"")</f>
        <v>Tõnu Kapper</v>
      </c>
      <c r="I164" s="269"/>
    </row>
    <row r="165" spans="1:9" x14ac:dyDescent="0.2">
      <c r="A165" s="269"/>
      <c r="B165" s="269"/>
      <c r="C165" s="456" t="str">
        <f>IF(COUNT(C148,C150)=2,IF(C148&lt;C150,B148,B150),"")</f>
        <v>Aurelia Meldre</v>
      </c>
      <c r="D165" s="301"/>
      <c r="E165" s="301">
        <f>IF(C165="-",0,IF(C167="-",13,""))</f>
        <v>13</v>
      </c>
      <c r="F165" s="309"/>
      <c r="G165" s="310"/>
      <c r="H165" s="290" t="s">
        <v>212</v>
      </c>
      <c r="I165" s="453"/>
    </row>
    <row r="166" spans="1:9" x14ac:dyDescent="0.2">
      <c r="A166" s="269"/>
      <c r="B166" s="269"/>
      <c r="C166" s="457"/>
      <c r="D166" s="337"/>
      <c r="E166" s="303" t="str">
        <f>IF(COUNT(E165,E167)=2,IF(E165&gt;E167,C165,C167),"")</f>
        <v>Aurelia Meldre</v>
      </c>
      <c r="F166" s="451"/>
      <c r="G166" s="304">
        <v>11</v>
      </c>
      <c r="H166" s="269"/>
      <c r="I166" s="269"/>
    </row>
    <row r="167" spans="1:9" ht="13.5" thickBot="1" x14ac:dyDescent="0.25">
      <c r="A167" s="269"/>
      <c r="B167" s="269"/>
      <c r="C167" s="456" t="str">
        <f>IF(COUNT(C152,C154)=2,IF(C152&lt;C154,B152,B154),"")</f>
        <v>-</v>
      </c>
      <c r="D167" s="458"/>
      <c r="E167" s="304">
        <f>IF(C167="-",0,IF(C165="-",13,""))</f>
        <v>0</v>
      </c>
      <c r="F167" s="301"/>
      <c r="G167" s="308"/>
      <c r="H167" s="452" t="str">
        <f>IF(COUNT(G162,G166)=2,IF(G162&lt;G166,E162,E166),"")</f>
        <v>Aurelia Meldre</v>
      </c>
      <c r="I167" s="454"/>
    </row>
    <row r="168" spans="1:9" x14ac:dyDescent="0.2">
      <c r="A168" s="269"/>
      <c r="B168" s="269"/>
      <c r="C168" s="301"/>
      <c r="D168" s="301"/>
      <c r="E168" s="301"/>
      <c r="F168" s="301"/>
      <c r="G168" s="308"/>
      <c r="H168" s="290" t="s">
        <v>213</v>
      </c>
      <c r="I168" s="287"/>
    </row>
    <row r="169" spans="1:9" x14ac:dyDescent="0.2">
      <c r="A169" s="269"/>
      <c r="B169" s="269"/>
      <c r="C169" s="301"/>
      <c r="D169" s="308"/>
      <c r="E169" s="284" t="str">
        <f>IF(COUNT(E161,E163)=2,IF(E161&lt;E163,C161,C163),"")</f>
        <v>Tõnu Piik</v>
      </c>
      <c r="F169" s="269"/>
      <c r="G169" s="301">
        <f>IF(E169="-",0,IF(E171="-",13,""))</f>
        <v>13</v>
      </c>
      <c r="H169" s="287"/>
      <c r="I169" s="287"/>
    </row>
    <row r="170" spans="1:9" ht="13.5" thickBot="1" x14ac:dyDescent="0.25">
      <c r="A170" s="269"/>
      <c r="B170" s="269"/>
      <c r="C170" s="301"/>
      <c r="D170" s="308"/>
      <c r="E170" s="455"/>
      <c r="F170" s="336"/>
      <c r="G170" s="454"/>
      <c r="H170" s="452" t="str">
        <f>IF(COUNT(G169,G171)=2,IF(G169&gt;G171,E169,E171),"")</f>
        <v>Tõnu Piik</v>
      </c>
      <c r="I170" s="454"/>
    </row>
    <row r="171" spans="1:9" x14ac:dyDescent="0.2">
      <c r="A171" s="269"/>
      <c r="B171" s="269"/>
      <c r="C171" s="301"/>
      <c r="D171" s="308"/>
      <c r="E171" s="456" t="str">
        <f>IF(COUNT(E165,E167)=2,IF(E165&lt;E167,C165,C167),"")</f>
        <v>-</v>
      </c>
      <c r="F171" s="451"/>
      <c r="G171" s="304">
        <f>IF(E171="-",0,IF(E169="-",13,""))</f>
        <v>0</v>
      </c>
      <c r="H171" s="290" t="s">
        <v>216</v>
      </c>
      <c r="I171" s="287"/>
    </row>
    <row r="172" spans="1:9" x14ac:dyDescent="0.2">
      <c r="A172" s="269"/>
      <c r="B172" s="269"/>
      <c r="C172" s="269"/>
      <c r="D172" s="287"/>
      <c r="E172" s="269"/>
      <c r="F172" s="269"/>
      <c r="G172" s="269"/>
      <c r="H172" s="287"/>
      <c r="I172" s="287"/>
    </row>
    <row r="173" spans="1:9" ht="13.5" thickBot="1" x14ac:dyDescent="0.25">
      <c r="A173" s="269"/>
      <c r="B173" s="269"/>
      <c r="C173" s="269"/>
      <c r="D173" s="269"/>
      <c r="E173" s="287"/>
      <c r="F173" s="287"/>
      <c r="G173" s="269"/>
      <c r="H173" s="454" t="str">
        <f>IF(COUNT(G169,G171)=2,IF(G169&lt;G171,E169,E171),"")</f>
        <v>-</v>
      </c>
      <c r="I173" s="454"/>
    </row>
    <row r="174" spans="1:9" x14ac:dyDescent="0.2">
      <c r="A174" s="80"/>
      <c r="B174" s="140"/>
      <c r="C174" s="285"/>
      <c r="D174" s="285"/>
      <c r="E174" s="285"/>
      <c r="F174" s="285"/>
      <c r="G174" s="323"/>
      <c r="H174" s="290"/>
      <c r="I174" s="79"/>
    </row>
    <row r="175" spans="1:9" hidden="1" x14ac:dyDescent="0.2"/>
    <row r="176" spans="1:9"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3" hidden="1" x14ac:dyDescent="0.2"/>
    <row r="290" spans="1:3" hidden="1" x14ac:dyDescent="0.2"/>
    <row r="291" spans="1:3" hidden="1" x14ac:dyDescent="0.2"/>
    <row r="292" spans="1:3" hidden="1" x14ac:dyDescent="0.2"/>
    <row r="293" spans="1:3" hidden="1" x14ac:dyDescent="0.2"/>
    <row r="294" spans="1:3" hidden="1" x14ac:dyDescent="0.2"/>
    <row r="295" spans="1:3" hidden="1" x14ac:dyDescent="0.2"/>
    <row r="296" spans="1:3" hidden="1" x14ac:dyDescent="0.2"/>
    <row r="297" spans="1:3" hidden="1" x14ac:dyDescent="0.2"/>
    <row r="298" spans="1:3" hidden="1" x14ac:dyDescent="0.2"/>
    <row r="299" spans="1:3" x14ac:dyDescent="0.2">
      <c r="A299" s="271"/>
      <c r="B299" s="271"/>
      <c r="C299" s="401"/>
    </row>
    <row r="300" spans="1:3" x14ac:dyDescent="0.2">
      <c r="A300" s="530">
        <v>1</v>
      </c>
      <c r="B300" s="529" t="str">
        <f t="shared" ref="B300:B314" si="4">IFERROR(INDEX(H$100:H$300,MATCH(A300&amp;". koht",H$101:H$301,0)),"")</f>
        <v>Ülo Piik</v>
      </c>
      <c r="C300" s="499"/>
    </row>
    <row r="301" spans="1:3" x14ac:dyDescent="0.2">
      <c r="A301" s="530">
        <v>2</v>
      </c>
      <c r="B301" s="529" t="str">
        <f t="shared" si="4"/>
        <v>Kenneth Muusikus</v>
      </c>
      <c r="C301" s="499"/>
    </row>
    <row r="302" spans="1:3" x14ac:dyDescent="0.2">
      <c r="A302" s="530">
        <v>3</v>
      </c>
      <c r="B302" s="529" t="str">
        <f t="shared" si="4"/>
        <v>Jaan Saar</v>
      </c>
      <c r="C302" s="499"/>
    </row>
    <row r="303" spans="1:3" x14ac:dyDescent="0.2">
      <c r="A303" s="530">
        <v>4</v>
      </c>
      <c r="B303" s="529" t="str">
        <f t="shared" si="4"/>
        <v>Boriss Klubov</v>
      </c>
      <c r="C303" s="499"/>
    </row>
    <row r="304" spans="1:3" x14ac:dyDescent="0.2">
      <c r="A304" s="530">
        <v>5</v>
      </c>
      <c r="B304" s="529" t="str">
        <f t="shared" si="4"/>
        <v>Svetlana Veski</v>
      </c>
      <c r="C304" s="499"/>
    </row>
    <row r="305" spans="1:22" x14ac:dyDescent="0.2">
      <c r="A305" s="530">
        <v>6</v>
      </c>
      <c r="B305" s="529" t="str">
        <f t="shared" si="4"/>
        <v>Urmas Jõeäär</v>
      </c>
      <c r="C305" s="499"/>
    </row>
    <row r="306" spans="1:22" x14ac:dyDescent="0.2">
      <c r="A306" s="530">
        <v>7</v>
      </c>
      <c r="B306" s="529" t="str">
        <f t="shared" si="4"/>
        <v>Kaspar Mänd</v>
      </c>
      <c r="C306" s="499"/>
    </row>
    <row r="307" spans="1:22" x14ac:dyDescent="0.2">
      <c r="A307" s="530">
        <v>8</v>
      </c>
      <c r="B307" s="529" t="str">
        <f t="shared" si="4"/>
        <v>Illar Tõnurist</v>
      </c>
      <c r="C307" s="499"/>
    </row>
    <row r="308" spans="1:22" x14ac:dyDescent="0.2">
      <c r="A308" s="530">
        <v>9</v>
      </c>
      <c r="B308" s="529" t="str">
        <f t="shared" si="4"/>
        <v>Andres Veski</v>
      </c>
      <c r="C308" s="499"/>
    </row>
    <row r="309" spans="1:22" x14ac:dyDescent="0.2">
      <c r="A309" s="530">
        <v>10</v>
      </c>
      <c r="B309" s="529" t="str">
        <f t="shared" si="4"/>
        <v>Vello Vasser</v>
      </c>
      <c r="C309" s="499"/>
    </row>
    <row r="310" spans="1:22" x14ac:dyDescent="0.2">
      <c r="A310" s="530">
        <v>11</v>
      </c>
      <c r="B310" s="529" t="str">
        <f t="shared" si="4"/>
        <v>Enn Tokman</v>
      </c>
      <c r="C310" s="499"/>
    </row>
    <row r="311" spans="1:22" x14ac:dyDescent="0.2">
      <c r="A311" s="530">
        <v>12</v>
      </c>
      <c r="B311" s="529" t="str">
        <f t="shared" si="4"/>
        <v>Klavdia Piik</v>
      </c>
      <c r="C311" s="499"/>
    </row>
    <row r="312" spans="1:22" x14ac:dyDescent="0.2">
      <c r="A312" s="530">
        <v>13</v>
      </c>
      <c r="B312" s="529" t="str">
        <f t="shared" si="4"/>
        <v>Tõnu Kapper</v>
      </c>
      <c r="C312" s="499"/>
    </row>
    <row r="313" spans="1:22" x14ac:dyDescent="0.2">
      <c r="A313" s="530">
        <v>14</v>
      </c>
      <c r="B313" s="529" t="str">
        <f t="shared" si="4"/>
        <v>Aurelia Meldre</v>
      </c>
      <c r="C313" s="499"/>
    </row>
    <row r="314" spans="1:22" x14ac:dyDescent="0.2">
      <c r="A314" s="530">
        <v>15</v>
      </c>
      <c r="B314" s="529" t="str">
        <f t="shared" si="4"/>
        <v>Tõnu Piik</v>
      </c>
      <c r="C314" s="499"/>
    </row>
    <row r="315" spans="1:22" x14ac:dyDescent="0.2">
      <c r="C315" s="499"/>
    </row>
    <row r="318" spans="1:22" x14ac:dyDescent="0.2">
      <c r="A318" s="944" t="s">
        <v>467</v>
      </c>
    </row>
    <row r="320" spans="1:22" x14ac:dyDescent="0.2">
      <c r="A320" s="311" t="s">
        <v>0</v>
      </c>
      <c r="B320" s="416"/>
      <c r="C320" s="276">
        <v>1</v>
      </c>
      <c r="D320" s="276">
        <v>2</v>
      </c>
      <c r="E320" s="276">
        <v>3</v>
      </c>
      <c r="F320" s="276">
        <v>4</v>
      </c>
      <c r="G320" s="276">
        <v>5</v>
      </c>
      <c r="H320" s="276">
        <v>6</v>
      </c>
      <c r="I320" s="276" t="s">
        <v>168</v>
      </c>
      <c r="J320" s="275" t="s">
        <v>169</v>
      </c>
      <c r="K320" s="417" t="s">
        <v>257</v>
      </c>
      <c r="L320" s="418" t="s">
        <v>258</v>
      </c>
      <c r="M320" s="419" t="s">
        <v>259</v>
      </c>
      <c r="N320" s="419" t="s">
        <v>260</v>
      </c>
      <c r="O320" s="420" t="s">
        <v>170</v>
      </c>
      <c r="P320" s="420" t="s">
        <v>170</v>
      </c>
      <c r="Q320" s="421" t="s">
        <v>261</v>
      </c>
      <c r="R320" s="422" t="s">
        <v>21</v>
      </c>
      <c r="S320" s="439" t="b">
        <f>OR(AND(COUNTA(B321:B326)=3,COUNTA(C321:H326)=6),AND(COUNTA(B321:B326)=4,COUNTA(C321:H326)=12),AND(COUNTA(B321:B326)=5,COUNTA(C321:H326)=20),AND(COUNTA(B321:B326)=6,COUNTA(C321:H326)=30))</f>
        <v>1</v>
      </c>
      <c r="T320" s="423" t="s">
        <v>262</v>
      </c>
      <c r="U320" s="424" t="s">
        <v>263</v>
      </c>
      <c r="V320" s="62"/>
    </row>
    <row r="321" spans="1:22" x14ac:dyDescent="0.2">
      <c r="A321" s="311">
        <v>1</v>
      </c>
      <c r="B321" s="479" t="s">
        <v>137</v>
      </c>
      <c r="C321" s="278"/>
      <c r="D321" s="279">
        <v>4</v>
      </c>
      <c r="E321" s="943">
        <v>13</v>
      </c>
      <c r="F321" s="279">
        <v>7</v>
      </c>
      <c r="G321" s="279">
        <v>13</v>
      </c>
      <c r="H321" s="279">
        <v>13</v>
      </c>
      <c r="I321" s="940" t="str">
        <f>(IF(D321-C322&gt;0,1)+IF(E321-C323&gt;0,1)+IF(F321-C324&gt;0,1)+IF(G321-C325&gt;0,1)+IF(H321-C326&gt;0,1))&amp;"-"&amp;(IF(D321-C322&lt;0,1)+IF(E321-C323&lt;0,1)+IF(F321-C324&lt;0,1)+IF(G321-C325&lt;0,1)+IF(H321-C326&lt;0,1))</f>
        <v>3-2</v>
      </c>
      <c r="J321" s="275" t="str">
        <f t="shared" ref="J321:J326" si="5">IF(AND(B321&lt;&gt;"",S$320=TRUE),A$6&amp;RANK(T321,T$321:T$326,0)," ")</f>
        <v>A2</v>
      </c>
      <c r="K321" s="941">
        <f>IF(AND(R321=1,R322=1,D321&gt;C322),1)+IF(AND(R321=1,R323=1,E321&gt;C323),1)+IF(AND(R321=1,R324=1,F321&gt;C324),1)+IF(AND(R321=1,R325=1,G321&gt;C325),1)+IF(AND(R321=1,R326=1,H321&gt;C326),1)+IF(AND(R321=2,R322=2,D321&gt;C322),1)+IF(AND(R321=2,R323=2,E321&gt;C323),1)+IF(AND(R321=2,R324=2,F321&gt;C324),1)+IF(AND(R321=2,R325=2,G321&gt;C325),1)+IF(AND(R321=2,R326=2,H321&gt;C326),1)+IF(AND(R321=3,R322=3,D321&gt;C322),1)+IF(AND(R321=3,R323=3,E321&gt;C323),1)+IF(AND(R321=3,R324=3,F321&gt;C324),1)+IF(AND(R321=3,R325=3,G321&gt;C325),1)+IF(AND(R321=3,R326=3,H321&gt;C326),1)+IF(AND(R321=4,R322=4,D321&gt;C322),1)+IF(AND(R321=4,R323=4,E321&gt;C323),1)+IF(AND(R321=4,R324=4,F321&gt;C324),1)+IF(AND(R321=4,R325=4,G321&gt;C325),1)+IF(AND(R321=4,R326=4,H321&gt;C326),1)</f>
        <v>1</v>
      </c>
      <c r="L321" s="425">
        <f>SUM(AND(U321=U322,D321&gt;C322),AND(U321=U323,E321&gt;C323),AND(U321=U324,F321&gt;C324),AND(U321=U325,G321&gt;C325),AND(U321=U326,H321&gt;C326))</f>
        <v>0</v>
      </c>
      <c r="M321" s="426">
        <f>IF(AND(R321=1,R322=1),D321-C322)+IF(AND(R321=1,R323=1),E321-C323)+IF(AND(R321=1,R324=1),F321-C324)+IF(AND(R321=1,R325=1),G321-C325)+IF(AND(R321=1,R326=1),H321-C326)+IF(AND(R321=2,R322=2),D321-C322)+IF(AND(R321=2,R323=2),E321-C323)+IF(AND(R321=2,R324=2),F321-C324)+IF(AND(R321=2,R325=2),G321-C325)+IF(AND(R321=2,R326=2),H321-C326)+IF(AND(R321=3,R322=3),D321-C322)+IF(AND(R321=3,R323=3),E321-C323)+IF(AND(R321=3,R324=3),F321-C324)+IF(AND(R321=3,R325=3),G321-C325)+IF(AND(R321=3,R326=3),H321-C326)+IF(AND(R321=4,R322=4),D321-C322)+IF(AND(R321=4,R323=4),E321-C323)+IF(AND(R321=4,R324=4),F321-C324)+IF(AND(R321=4,R325=4),G321-C325)+IF(AND(R321=4,R326=4),H321-C326)</f>
        <v>6</v>
      </c>
      <c r="N321" s="427">
        <f>SUM(AND(S321=S322,D321&gt;C322),AND(S321=S323,E321&gt;C323),AND(S321=S324,F321&gt;C324),AND(S321=S325,G321&gt;C325),AND(S321=S326,H321&gt;C326))</f>
        <v>0</v>
      </c>
      <c r="O321" s="428" t="str">
        <f>SUM(C321:H321)&amp;"-"&amp;SUM(C321:C326)</f>
        <v>50-49</v>
      </c>
      <c r="P321" s="927">
        <f>D321+E321+F321+G321+H321-C322-C323-C324-C325-C326</f>
        <v>1</v>
      </c>
      <c r="Q321" s="429">
        <f>SUM(C321:H321,C321:C326)/SUM(C321:C326)</f>
        <v>2.0204081632653059</v>
      </c>
      <c r="R321" s="430">
        <f t="shared" ref="R321:R326" si="6">VALUE(LEFT(I321,1))</f>
        <v>3</v>
      </c>
      <c r="S321" s="431">
        <f>R321*100000+K321*10000+L321*1000+100+M321</f>
        <v>310106</v>
      </c>
      <c r="T321" s="928">
        <f>S321+N321*0.1+IF(ISNONTEXT(B321),0,0.01)+0.0001*P321</f>
        <v>310106.01010000001</v>
      </c>
      <c r="U321" s="433" t="str">
        <f t="shared" ref="U321:U326" si="7">R321&amp;K321</f>
        <v>31</v>
      </c>
      <c r="V321" s="62" t="b">
        <f>AND(M321&gt;0,IF(COUNTIF(M$7:M$12,M321)&gt;1,TRUE,FALSE))</f>
        <v>0</v>
      </c>
    </row>
    <row r="322" spans="1:22" x14ac:dyDescent="0.2">
      <c r="A322" s="311">
        <v>2</v>
      </c>
      <c r="B322" s="488" t="s">
        <v>136</v>
      </c>
      <c r="C322" s="279">
        <v>13</v>
      </c>
      <c r="D322" s="278"/>
      <c r="E322" s="279">
        <v>11</v>
      </c>
      <c r="F322" s="279">
        <v>9</v>
      </c>
      <c r="G322" s="279">
        <v>5</v>
      </c>
      <c r="H322" s="279">
        <v>13</v>
      </c>
      <c r="I322" s="282" t="str">
        <f>(IF(C322-D321&gt;0,1)+IF(E322-D323&gt;0,1)+IF(F322-D324&gt;0,1)+IF(G322-D325&gt;0,1)+IF(H322-D326&gt;0,1))&amp;"-"&amp;(IF(C322-D321&lt;0,1)+IF(E322-D323&lt;0,1)+IF(F322-D324&lt;0,1)+IF(G322-D325&lt;0,1)+IF(H322-D326&lt;0,1))</f>
        <v>2-3</v>
      </c>
      <c r="J322" s="275" t="str">
        <f t="shared" si="5"/>
        <v>A4</v>
      </c>
      <c r="K322" s="295">
        <f>IF(AND(R322=1,R321=1,C322&gt;D321),1)+IF(AND(R322=1,R323=1,E322&gt;D323),1)+IF(AND(R322=1,R324=1,F322&gt;D324),1)+IF(AND(R322=1,R325=1,G322&gt;D325),1)+IF(AND(R322=1,R326=1,H322&gt;D326),1)+IF(AND(R322=2,R321=2,C322&gt;D321),1)+IF(AND(R322=2,R323=2,E322&gt;D323),1)+IF(AND(R322=2,R324=2,F322&gt;D324),1)+IF(AND(R322=2,R325=2,G322&gt;D325),1)+IF(AND(R322=2,R326=2,H322&gt;D326),1)+IF(AND(R322=3,R321=3,C322&gt;D321),1)+IF(AND(R322=3,R323=3,E322&gt;D323),1)+IF(AND(R322=3,R324=3,F322&gt;D324),1)+IF(AND(R322=3,R325=3,G322&gt;D325),1)+IF(AND(R322=3,R326=3,H322&gt;D326),1)+IF(AND(R322=4,R321=4,C322&gt;D321),1)+IF(AND(R322=4,R323=4,E322&gt;D323),1)+IF(AND(R322=4,R324=4,F322&gt;D324),1)+IF(AND(R322=4,R325=4,G322&gt;D325),1)+IF(AND(R322=4,R326=4,H322&gt;D326),1)</f>
        <v>0</v>
      </c>
      <c r="L322" s="427">
        <f>SUM(AND(U322=U321,C322&gt;D321),AND(U322=U323,E322&gt;D323),AND(U322=U324,F322&gt;D324),AND(U322=U325,G322&gt;D325),AND(U322=U326,H322&gt;D326))</f>
        <v>0</v>
      </c>
      <c r="M322" s="434">
        <f>IF(AND(R322=1,R321=1),C322-D321)+IF(AND(R322=1,R323=1),E322-D323)+IF(AND(R322=1,R324=1),F322-D324)+IF(AND(R322=1,R325=1),G322-D325)+IF(AND(R322=1,R326=1),H322-D326)+IF(AND(R322=2,R321=2),C322-D321)+IF(AND(R322=2,R323=2),E322-D323)+IF(AND(R322=2,R324=2),F322-D324)+IF(AND(R322=2,R325=2),G322-D325)+IF(AND(R322=2,R326=2),H322-D326)+IF(AND(R322=3,R321=3),C322-D321)+IF(AND(R322=3,R323=3),E322-D323)+IF(AND(R322=3,R324=3),F322-D324)+IF(AND(R322=3,R325=3),G322-D325)+IF(AND(R322=3,R326=3),H322-D326)+IF(AND(R322=4,R321=4),C322-D321)+IF(AND(R322=4,R323=4),E322-D323)+IF(AND(R322=4,R324=4),F322-D324)+IF(AND(R322=4,R325=4),G322-D325)+IF(AND(R322=4,R326=4),H322-D326)</f>
        <v>0</v>
      </c>
      <c r="N322" s="427">
        <f>SUM(AND(S322=S321,C322&gt;D321),AND(S322=S323,E322&gt;D323),AND(S322=S324,F322&gt;D324),AND(S322=S325,G322&gt;D325),AND(S322=S326,H322&gt;D326))</f>
        <v>0</v>
      </c>
      <c r="O322" s="428" t="str">
        <f>SUM(C322:H322)&amp;"-"&amp;SUM(D321:D326)</f>
        <v>51-52</v>
      </c>
      <c r="P322" s="927">
        <f>C322+E322+F322+G322+H322-D321-D323-D324-D325-D326</f>
        <v>-1</v>
      </c>
      <c r="Q322" s="429">
        <f>SUM(C322:H322,D321:D326)/SUM(D321:D326)</f>
        <v>1.9807692307692308</v>
      </c>
      <c r="R322" s="293">
        <f t="shared" si="6"/>
        <v>2</v>
      </c>
      <c r="S322" s="431">
        <f t="shared" ref="S322:S326" si="8">R322*100000+K322*10000+L322*1000+100+M322</f>
        <v>200100</v>
      </c>
      <c r="T322" s="928">
        <f>S322+N322*0.1+IF(ISNONTEXT(B322),0,0.01)+0.0001*P322</f>
        <v>200100.0099</v>
      </c>
      <c r="U322" s="433" t="str">
        <f t="shared" si="7"/>
        <v>20</v>
      </c>
      <c r="V322" s="62" t="b">
        <f t="shared" ref="V322:V326" si="9">AND(M322&gt;0,IF(COUNTIF(M$7:M$12,M322)&gt;1,TRUE,FALSE))</f>
        <v>0</v>
      </c>
    </row>
    <row r="323" spans="1:22" x14ac:dyDescent="0.2">
      <c r="A323" s="311">
        <v>3</v>
      </c>
      <c r="B323" s="510" t="s">
        <v>144</v>
      </c>
      <c r="C323" s="943">
        <v>7</v>
      </c>
      <c r="D323" s="281">
        <v>13</v>
      </c>
      <c r="E323" s="278"/>
      <c r="F323" s="279">
        <v>12</v>
      </c>
      <c r="G323" s="279">
        <v>13</v>
      </c>
      <c r="H323" s="279">
        <v>13</v>
      </c>
      <c r="I323" s="940" t="str">
        <f>(IF(C323-E321&gt;0,1)+IF(D323-E322&gt;0,1)+IF(F323-E324&gt;0,1)+IF(G323-E325&gt;0,1)+IF(H323-E326&gt;0,1))&amp;"-"&amp;(IF(C323-E321&lt;0,1)+IF(D323-E322&lt;0,1)+IF(F323-E324&lt;0,1)+IF(G323-E325&lt;0,1)+IF(H323-E326&lt;0,1))</f>
        <v>3-2</v>
      </c>
      <c r="J323" s="275" t="str">
        <f t="shared" si="5"/>
        <v>A3</v>
      </c>
      <c r="K323" s="942">
        <f>IF(AND(R323=1,R321=1,C323&gt;E321),1)+IF(AND(R323=1,R322=1,D323&gt;E322),1)+IF(AND(R323=1,R324=1,F323&gt;E324),1)+IF(AND(R323=1,R325=1,G323&gt;E325),1)+IF(AND(R323=1,R326=1,H323&gt;E326),1)+IF(AND(R323=2,R321=2,C323&gt;E321),1)+IF(AND(R323=2,R322=2,D323&gt;E322),1)+IF(AND(R323=2,R324=2,F323&gt;E324),1)+IF(AND(R323=2,R325=2,G323&gt;E325),1)+IF(AND(R323=2,R326=2,H323&gt;E326),1)+IF(AND(R323=3,R321=3,C323&gt;E321),1)+IF(AND(R323=3,R322=3,D323&gt;E322),1)+IF(AND(R323=3,R324=3,F323&gt;E324),1)+IF(AND(R323=3,R325=3,G323&gt;E325),1)+IF(AND(R323=3,R326=3,H323&gt;E326),1)+IF(AND(R323=4,R321=4,C323&gt;E321),1)+IF(AND(R323=4,R322=4,D323&gt;E322),1)+IF(AND(R323=4,R324=4,F323&gt;E324),1)+IF(AND(R323=4,R325=4,G323&gt;E325),1)+IF(AND(R323=4,R326=4,H323&gt;E326),1)</f>
        <v>0</v>
      </c>
      <c r="L323" s="427">
        <f>SUM(AND(U323=U321,C323&gt;E321),AND(U323=U322,D323&gt;E322),AND(U323=U324,F323&gt;E324),AND(U323=U325,G323&gt;E325),AND(U323=U326,H323&gt;E326))</f>
        <v>0</v>
      </c>
      <c r="M323" s="434">
        <f>IF(AND(R323=1,R321=1),C323-E321)+IF(AND(R323=1,R322=1),D323-E322)+IF(AND(R323=1,R324=1),F323-E324)+IF(AND(R323=1,R325=1),G323-E325)+IF(AND(R323=1,R326=1),H323-E326)+IF(AND(R323=2,R321=2),C323-E321)+IF(AND(R323=2,R322=2),D323-E322)+IF(AND(R323=2,R324=2),F323-E324)+IF(AND(R323=2,R325=2),G323-E325)+IF(AND(R323=2,R326=2),H323-E326)+IF(AND(R323=3,R321=3),C323-E321)+IF(AND(R323=3,R322=3),D323-E322)+IF(AND(R323=3,R324=3),F323-E324)+IF(AND(R323=3,R325=3),G323-E325)+IF(AND(R323=3,R326=3),H323-E326)+IF(AND(R323=4,R321=4),C323-E321)+IF(AND(R323=4,R322=4),D323-E322)+IF(AND(R323=4,R324=4),F323-E324)+IF(AND(R323=4,R325=4),G323-E325)+IF(AND(R323=4,R326=4),H323-E326)</f>
        <v>-6</v>
      </c>
      <c r="N323" s="427">
        <f>SUM(AND(S323=S321,C323&gt;E321),AND(S323=S322,D323&gt;E322),AND(S323=S324,F323&gt;E324),AND(S323=S325,G323&gt;E325),AND(S323=S326,H323&gt;E326))</f>
        <v>0</v>
      </c>
      <c r="O323" s="428" t="str">
        <f>SUM(C323:H323)&amp;"-"&amp;SUM(E321:E326)</f>
        <v>58-58</v>
      </c>
      <c r="P323" s="927">
        <f>C323+D323+F323+G323+H323-E321-E322-E324-E325-E326</f>
        <v>0</v>
      </c>
      <c r="Q323" s="429">
        <f>SUM(C323:H323,E321:E326)/SUM(E321:E326)</f>
        <v>2</v>
      </c>
      <c r="R323" s="293">
        <f t="shared" si="6"/>
        <v>3</v>
      </c>
      <c r="S323" s="431">
        <f t="shared" si="8"/>
        <v>300094</v>
      </c>
      <c r="T323" s="928">
        <f t="shared" ref="T323:T326" si="10">S323+N323*0.1+IF(ISNONTEXT(B323),0,0.01)+0.0001*P323</f>
        <v>300094.01</v>
      </c>
      <c r="U323" s="433" t="str">
        <f t="shared" si="7"/>
        <v>30</v>
      </c>
      <c r="V323" s="62" t="b">
        <f t="shared" si="9"/>
        <v>0</v>
      </c>
    </row>
    <row r="324" spans="1:22" x14ac:dyDescent="0.2">
      <c r="A324" s="311">
        <v>4</v>
      </c>
      <c r="B324" s="479" t="s">
        <v>85</v>
      </c>
      <c r="C324" s="279">
        <v>13</v>
      </c>
      <c r="D324" s="281">
        <v>13</v>
      </c>
      <c r="E324" s="279">
        <v>13</v>
      </c>
      <c r="F324" s="278"/>
      <c r="G324" s="279">
        <v>13</v>
      </c>
      <c r="H324" s="279">
        <v>13</v>
      </c>
      <c r="I324" s="282" t="str">
        <f>(IF(C324-F321&gt;0,1)+IF(D324-F322&gt;0,1)+IF(E324-F323&gt;0,1)+IF(G324-F325&gt;0,1)+IF(H324-F326&gt;0,1))&amp;"-"&amp;(IF(C324-F321&lt;0,1)+IF(D324-F322&lt;0,1)+IF(E324-F323&lt;0,1)+IF(G324-F325&lt;0,1)+IF(H324-F326&lt;0,1))</f>
        <v>5-0</v>
      </c>
      <c r="J324" s="275" t="str">
        <f t="shared" si="5"/>
        <v>A1</v>
      </c>
      <c r="K324" s="295">
        <f>IF(AND(R324=1,R321=1,C324&gt;F321),1)+IF(AND(R324=1,R322=1,D324&gt;F322),1)+IF(AND(R324=1,R323=1,E324&gt;F323),1)+IF(AND(R324=1,R325=1,G324&gt;F325),1)+IF(AND(R324=1,R326=1,H324&gt;F326),1)+IF(AND(R324=2,R321=2,C324&gt;F321),1)+IF(AND(R324=2,R322=2,D324&gt;F322),1)+IF(AND(R324=2,R323=2,E324&gt;F323),1)+IF(AND(R324=2,R325=2,G324&gt;F325),1)+IF(AND(R324=2,R326=2,H324&gt;F326),1)+IF(AND(R324=3,R321=3,C324&gt;F321),1)+IF(AND(R324=3,R322=3,D324&gt;F322),1)+IF(AND(R324=3,R323=3,E324&gt;F323),1)+IF(AND(R324=3,R325=3,G324&gt;F325),1)+IF(AND(R324=3,R326=3,H324&gt;F326),1)+IF(AND(R324=4,R321=4,C324&gt;F321),1)+IF(AND(R324=4,R322=4,D324&gt;F322),1)+IF(AND(R324=4,R323=4,E324&gt;F323),1)+IF(AND(R324=4,R325=4,G324&gt;F325),1)+IF(AND(R324=4,R326=4,H324&gt;F326),1)</f>
        <v>0</v>
      </c>
      <c r="L324" s="427">
        <f>SUM(AND(U324=U321,C324&gt;F321),AND(U324=U322,D324&gt;F322),AND(U324=U323,E324&gt;F323),AND(U324=U325,G324&gt;F325),AND(U324=U326,H324&gt;F326))</f>
        <v>0</v>
      </c>
      <c r="M324" s="434">
        <f>IF(AND(R324=1,R321=1),C324-F321)+IF(AND(R324=1,R322=1),D324-F322)+IF(AND(R324=1,R323=1),E324-F323)+IF(AND(R324=1,R325=1),G324-F325)+IF(AND(R324=1,R326=1),H324-F326)+IF(AND(R324=2,R321=2),C324-F321)+IF(AND(R324=2,R322=2),D324-F322)+IF(AND(R324=2,R323=2),E324-F323)+IF(AND(R324=2,R325=2),G324-F325)+IF(AND(R324=2,R326=2),H324-F326)+IF(AND(R324=3,R321=3),C324-F321)+IF(AND(R324=3,R322=3),D324-F322)+IF(AND(R324=3,R323=3),E324-F323)+IF(AND(R324=3,R325=3),G324-F325)+IF(AND(R324=3,R326=3),H324-F326)+IF(AND(R324=4,R321=4),C324-F321)+IF(AND(R324=4,R322=4),D324-F322)+IF(AND(R324=4,R323=4),E324-F323)+IF(AND(R324=4,R325=4),G324-F325)+IF(AND(R324=4,R326=4),H324-F326)</f>
        <v>0</v>
      </c>
      <c r="N324" s="427">
        <f>SUM(AND(S324=S321,C324&gt;F321),AND(S324=S322,D324&gt;F322),AND(S324=S323,E324&gt;F323),AND(S324=S325,G324&gt;F325),AND(S324=S326,H324&gt;F326))</f>
        <v>0</v>
      </c>
      <c r="O324" s="428" t="str">
        <f>SUM(C324:H324)&amp;"-"&amp;SUM(F321:F326)</f>
        <v>65-42</v>
      </c>
      <c r="P324" s="927">
        <f>C324+D324+E324+G324+H324-F321-F322-F323-F325-F326</f>
        <v>23</v>
      </c>
      <c r="Q324" s="429">
        <f>SUM(C324:H324,F321:F326)/SUM(F321:F326)</f>
        <v>2.5476190476190474</v>
      </c>
      <c r="R324" s="293">
        <f t="shared" si="6"/>
        <v>5</v>
      </c>
      <c r="S324" s="431">
        <f t="shared" si="8"/>
        <v>500100</v>
      </c>
      <c r="T324" s="928">
        <f t="shared" si="10"/>
        <v>500100.0123</v>
      </c>
      <c r="U324" s="433" t="str">
        <f t="shared" si="7"/>
        <v>50</v>
      </c>
      <c r="V324" s="62" t="b">
        <f t="shared" si="9"/>
        <v>0</v>
      </c>
    </row>
    <row r="325" spans="1:22" x14ac:dyDescent="0.2">
      <c r="A325" s="311">
        <v>5</v>
      </c>
      <c r="B325" s="488" t="s">
        <v>133</v>
      </c>
      <c r="C325" s="279">
        <v>9</v>
      </c>
      <c r="D325" s="279">
        <v>13</v>
      </c>
      <c r="E325" s="279">
        <v>9</v>
      </c>
      <c r="F325" s="279">
        <v>2</v>
      </c>
      <c r="G325" s="278"/>
      <c r="H325" s="938">
        <v>11</v>
      </c>
      <c r="I325" s="934" t="str">
        <f>(IF(C325-G321&gt;0,1)+IF(D325-G322&gt;0,1)+IF(E325-G323&gt;0,1)+IF(F325-G324&gt;0,1)+IF(H325-G326&gt;0,1))&amp;"-"&amp;(IF(C325-G321&lt;0,1)+IF(D325-G322&lt;0,1)+IF(E325-G323&lt;0,1)+IF(F325-G324&lt;0,1)+IF(H325-G326&lt;0,1))</f>
        <v>1-4</v>
      </c>
      <c r="J325" s="275" t="str">
        <f t="shared" si="5"/>
        <v>A6</v>
      </c>
      <c r="K325" s="936">
        <f>IF(AND(R325=1,R321=1,C325&gt;G321),1)+IF(AND(R325=1,R322=1,D325&gt;G322),1)+IF(AND(R325=1,R323=1,E325&gt;G323),1)+IF(AND(R325=1,R324=1,F325&gt;G324),1)+IF(AND(R325=1,R326=1,H325&gt;G326),1)+IF(AND(R325=2,R321=2,C325&gt;G321),1)+IF(AND(R325=2,R322=2,D325&gt;G322),1)+IF(AND(R325=2,R323=2,E325&gt;G323),1)+IF(AND(R325=2,R324=2,F325&gt;G324),1)+IF(AND(R325=2,R326=2,H325&gt;G326),1)+IF(AND(R325=3,R321=3,C325&gt;G321),1)+IF(AND(R325=3,R322=3,D325&gt;G322),1)+IF(AND(R325=3,R323=3,E325&gt;G323),1)+IF(AND(R325=3,R324=3,F325&gt;G324),1)+IF(AND(R325=3,R326=3,H325&gt;G326),1)+IF(AND(R325=4,R321=4,C325&gt;G321),1)+IF(AND(R325=4,R322=4,D325&gt;G322),1)+IF(AND(R325=4,R323=4,E325&gt;G323),1)+IF(AND(R325=4,R324=4,F325&gt;G324),1)+IF(AND(R325=4,R326=4,H325&gt;G326),1)</f>
        <v>0</v>
      </c>
      <c r="L325" s="427">
        <f>SUM(AND(U325=U321,C325&gt;G321),AND(U325=U322,D325&gt;G322),AND(U325=U323,E325&gt;G323),AND(U325=U324,F325&gt;G324),AND(U325=U326,H325&gt;G326))</f>
        <v>0</v>
      </c>
      <c r="M325" s="434">
        <f>IF(AND(R325=1,R321=1),C325-G321)+IF(AND(R325=1,R322=1),D325-G322)+IF(AND(R325=1,R323=1),E325-G323)+IF(AND(R325=1,R324=1),F325-G324)+IF(AND(R325=1,R326=1),H325-G326)+IF(AND(R325=2,R321=2),C325-G321)+IF(AND(R325=2,R322=2),D325-G322)+IF(AND(R325=2,R323=2),E325-G323)+IF(AND(R325=2,R324=2),F325-G324)+IF(AND(R325=2,R326=2),H325-G326)+IF(AND(R325=3,R321=3),C325-G321)+IF(AND(R325=3,R322=3),D325-G322)+IF(AND(R325=3,R323=3),E325-G323)+IF(AND(R325=3,R324=3),F325-G324)+IF(AND(R325=3,R326=3),H325-G326)+IF(AND(R325=4,R321=4),C325-G321)+IF(AND(R325=4,R322=4),D325-G322)+IF(AND(R325=4,R323=4),E325-G323)+IF(AND(R325=4,R324=4),F325-G324)+IF(AND(R325=4,R326=4),H325-G326)</f>
        <v>-2</v>
      </c>
      <c r="N325" s="427">
        <f>SUM(AND(S325=S321,C325&gt;G321),AND(S325=S322,D325&gt;G322),AND(S325=S323,E325&gt;G323),AND(S325=S324,F325&gt;G324),AND(S325=S326,H325&gt;G326))</f>
        <v>0</v>
      </c>
      <c r="O325" s="428" t="str">
        <f>SUM(C325:H325)&amp;"-"&amp;SUM(G321:G326)</f>
        <v>44-57</v>
      </c>
      <c r="P325" s="927">
        <f>C325+D325+E325+F325+H325-G321-G322-G323-G324-G326</f>
        <v>-13</v>
      </c>
      <c r="Q325" s="429">
        <f>SUM(C325:H325,G321:G326)/SUM(G321:G326)</f>
        <v>1.7719298245614035</v>
      </c>
      <c r="R325" s="293">
        <f t="shared" si="6"/>
        <v>1</v>
      </c>
      <c r="S325" s="431">
        <f t="shared" si="8"/>
        <v>100098</v>
      </c>
      <c r="T325" s="928">
        <f t="shared" si="10"/>
        <v>100098.00869999999</v>
      </c>
      <c r="U325" s="433" t="str">
        <f t="shared" si="7"/>
        <v>10</v>
      </c>
      <c r="V325" s="62" t="b">
        <f t="shared" si="9"/>
        <v>0</v>
      </c>
    </row>
    <row r="326" spans="1:22" x14ac:dyDescent="0.2">
      <c r="A326" s="611">
        <v>6</v>
      </c>
      <c r="B326" s="518" t="s">
        <v>153</v>
      </c>
      <c r="C326" s="929">
        <v>7</v>
      </c>
      <c r="D326" s="930">
        <v>9</v>
      </c>
      <c r="E326" s="929">
        <v>12</v>
      </c>
      <c r="F326" s="929">
        <v>12</v>
      </c>
      <c r="G326" s="939">
        <v>13</v>
      </c>
      <c r="H326" s="931"/>
      <c r="I326" s="935" t="str">
        <f>(IF(C326-H321&gt;0,1)+IF(D326-H322&gt;0,1)+IF(E326-H323&gt;0,1)+IF(F326-H324&gt;0,1)+IF(G326-H325&gt;0,1))&amp;"-"&amp;(IF(C326-H321&lt;0,1)+IF(D326-H322&lt;0,1)+IF(E326-H323&lt;0,1)+IF(F326-H324&lt;0,1)+IF(G326-H325&lt;0,1))</f>
        <v>1-4</v>
      </c>
      <c r="J326" s="275" t="str">
        <f t="shared" si="5"/>
        <v>A5</v>
      </c>
      <c r="K326" s="937">
        <f>IF(AND(R326=1,R321=1,C326&gt;H321),1)+IF(AND(R326=1,R322=1,D326&gt;H322),1)+IF(AND(R326=1,R323=1,E326&gt;H323),1)+IF(AND(R326=1,R324=1,F326&gt;H324),1)+IF(AND(R326=1,R325=1,G326&gt;H325),1)+IF(AND(R326=2,R321=2,C326&gt;H321),1)+IF(AND(R326=2,R322=2,D326&gt;H322),1)+IF(AND(R326=2,R323=2,E326&gt;H323),1)+IF(AND(R326=2,R324=2,F326&gt;H324),1)+IF(AND(R326=2,R325=2,G326&gt;H325),1)+IF(AND(R326=3,R321=3,C326&gt;H321),1)+IF(AND(R326=3,R322=3,D326&gt;H322),1)+IF(AND(R326=3,R323=3,E326&gt;H323),1)+IF(AND(R326=3,R324=3,F326&gt;H324),1)+IF(AND(R326=3,R325=3,G326&gt;H325),1)+IF(AND(R326=4,R321=4,C326&gt;H321),1)+IF(AND(R326=4,R322=4,D326&gt;H322),1)+IF(AND(R326=4,R323=4,E326&gt;H323),1)+IF(AND(R326=4,R324=4,F326&gt;H324),1)+IF(AND(R326=4,R325=4,G326&gt;H325),1)</f>
        <v>1</v>
      </c>
      <c r="L326" s="932">
        <f>SUM(AND(U326=U321,C326&gt;H321),AND(U326=U322,D326&gt;H322),AND(U326=U323,E326&gt;H323),AND(U326=U324,F326&gt;H324),AND(U326=U325,G326&gt;H325))</f>
        <v>0</v>
      </c>
      <c r="M326" s="933">
        <f>IF(AND(R326=1,R321=1),C326-H321)+IF(AND(R326=1,R322=1),D326-H322)+IF(AND(R326=1,R323=1),E326-H323)+IF(AND(R326=1,R324=1),F326-H324)+IF(AND(R326=1,R325=1),G326-H325)+IF(AND(R326=2,R321=2),C326-H321)+IF(AND(R326=2,R322=2),D326-H322)+IF(AND(R326=2,R323=2),E326-H323)+IF(AND(R326=2,R324=2),F326-H324)+IF(AND(R326=2,R325=2),G326-H325)+IF(AND(R326=3,R321=3),C326-H321)+IF(AND(R326=3,R322=3),D326-H322)+IF(AND(R326=3,R323=3),E326-H323)+IF(AND(R326=3,R324=3),F326-H324)+IF(AND(R326=3,R325=3),G326-H325)+IF(AND(R326=4,R321=4),C326-H321)+IF(AND(R326=4,R322=4),D326-H322)+IF(AND(R326=4,R323=4),E326-H323)+IF(AND(R326=4,R324=4),F326-H324)+IF(AND(R326=4,R325=4),G326-H325)</f>
        <v>2</v>
      </c>
      <c r="N326" s="427">
        <f>SUM(AND(S326=S321,C326&gt;H321),AND(S326=S322,D326&gt;H322),AND(S326=S323,E326&gt;H323),AND(S326=S324,F326&gt;H324),AND(S326=S325,G326&gt;H325))</f>
        <v>0</v>
      </c>
      <c r="O326" s="428" t="str">
        <f>SUM(C326:H326)&amp;"-"&amp;SUM(H321:H326)</f>
        <v>53-63</v>
      </c>
      <c r="P326" s="927">
        <f>C326+D326+E326+F326+G326-H321-H322-H323-H324-H325</f>
        <v>-10</v>
      </c>
      <c r="Q326" s="429">
        <f>SUM(C326:H326,H321:H326)/SUM(H321:H326)</f>
        <v>1.8412698412698412</v>
      </c>
      <c r="R326" s="293">
        <f t="shared" si="6"/>
        <v>1</v>
      </c>
      <c r="S326" s="431">
        <f t="shared" si="8"/>
        <v>110102</v>
      </c>
      <c r="T326" s="928">
        <f t="shared" si="10"/>
        <v>110102.00899999999</v>
      </c>
      <c r="U326" s="433" t="str">
        <f t="shared" si="7"/>
        <v>11</v>
      </c>
      <c r="V326" s="62" t="b">
        <f t="shared" si="9"/>
        <v>0</v>
      </c>
    </row>
    <row r="329" spans="1:22" x14ac:dyDescent="0.2">
      <c r="A329" s="311">
        <v>1</v>
      </c>
      <c r="B329" s="529" t="s">
        <v>85</v>
      </c>
    </row>
    <row r="330" spans="1:22" x14ac:dyDescent="0.2">
      <c r="A330" s="311">
        <v>2</v>
      </c>
      <c r="B330" s="529" t="s">
        <v>137</v>
      </c>
    </row>
    <row r="331" spans="1:22" x14ac:dyDescent="0.2">
      <c r="A331" s="311">
        <v>3</v>
      </c>
      <c r="B331" s="529" t="s">
        <v>144</v>
      </c>
    </row>
    <row r="332" spans="1:22" x14ac:dyDescent="0.2">
      <c r="A332" s="311">
        <v>4</v>
      </c>
      <c r="B332" s="488" t="s">
        <v>136</v>
      </c>
    </row>
    <row r="333" spans="1:22" x14ac:dyDescent="0.2">
      <c r="A333" s="311">
        <v>5</v>
      </c>
      <c r="B333" s="518" t="s">
        <v>153</v>
      </c>
    </row>
    <row r="334" spans="1:22" x14ac:dyDescent="0.2">
      <c r="A334" s="611">
        <v>6</v>
      </c>
      <c r="B334" s="488" t="s">
        <v>133</v>
      </c>
    </row>
  </sheetData>
  <conditionalFormatting sqref="A102:A116">
    <cfRule type="cellIs" dxfId="2981" priority="572" operator="equal">
      <formula>"-"</formula>
    </cfRule>
    <cfRule type="duplicateValues" dxfId="2980" priority="573"/>
  </conditionalFormatting>
  <conditionalFormatting sqref="A140:A154">
    <cfRule type="cellIs" dxfId="2979" priority="570" operator="equal">
      <formula>"-"</formula>
    </cfRule>
    <cfRule type="duplicateValues" dxfId="2978" priority="571"/>
  </conditionalFormatting>
  <conditionalFormatting sqref="G124 G128 G131 G133">
    <cfRule type="containsBlanks" dxfId="2977" priority="567">
      <formula>LEN(TRIM(G124))=0</formula>
    </cfRule>
  </conditionalFormatting>
  <conditionalFormatting sqref="E123 E125">
    <cfRule type="containsBlanks" dxfId="2976" priority="565">
      <formula>LEN(TRIM(E123))=0</formula>
    </cfRule>
  </conditionalFormatting>
  <conditionalFormatting sqref="E127 E129">
    <cfRule type="containsBlanks" dxfId="2975" priority="563">
      <formula>LEN(TRIM(E127))=0</formula>
    </cfRule>
  </conditionalFormatting>
  <conditionalFormatting sqref="G124 G128">
    <cfRule type="aboveAverage" dxfId="2974" priority="569"/>
  </conditionalFormatting>
  <conditionalFormatting sqref="G131 G133">
    <cfRule type="aboveAverage" dxfId="2973" priority="568"/>
  </conditionalFormatting>
  <conditionalFormatting sqref="E123 E125">
    <cfRule type="aboveAverage" dxfId="2972" priority="566"/>
  </conditionalFormatting>
  <conditionalFormatting sqref="E127 E129">
    <cfRule type="aboveAverage" dxfId="2971" priority="564"/>
  </conditionalFormatting>
  <conditionalFormatting sqref="G117 G119">
    <cfRule type="aboveAverage" dxfId="2970" priority="562"/>
  </conditionalFormatting>
  <conditionalFormatting sqref="G117 G119">
    <cfRule type="containsBlanks" dxfId="2969" priority="561">
      <formula>LEN(TRIM(G117))=0</formula>
    </cfRule>
  </conditionalFormatting>
  <conditionalFormatting sqref="E103 E107">
    <cfRule type="containsBlanks" dxfId="2968" priority="559">
      <formula>LEN(TRIM(E103))=0</formula>
    </cfRule>
    <cfRule type="aboveAverage" dxfId="2967" priority="560"/>
  </conditionalFormatting>
  <conditionalFormatting sqref="C106 C108">
    <cfRule type="aboveAverage" dxfId="2966" priority="558"/>
  </conditionalFormatting>
  <conditionalFormatting sqref="C110 C112">
    <cfRule type="aboveAverage" dxfId="2965" priority="557"/>
  </conditionalFormatting>
  <conditionalFormatting sqref="C114 C116">
    <cfRule type="aboveAverage" dxfId="2964" priority="556"/>
  </conditionalFormatting>
  <conditionalFormatting sqref="C106 C108 C110 C112 C114 C116">
    <cfRule type="containsBlanks" dxfId="2963" priority="555">
      <formula>LEN(TRIM(C106))=0</formula>
    </cfRule>
  </conditionalFormatting>
  <conditionalFormatting sqref="C102 C104">
    <cfRule type="aboveAverage" dxfId="2962" priority="554"/>
  </conditionalFormatting>
  <conditionalFormatting sqref="C102 C104">
    <cfRule type="containsBlanks" dxfId="2961" priority="553">
      <formula>LEN(TRIM(C102))=0</formula>
    </cfRule>
  </conditionalFormatting>
  <conditionalFormatting sqref="E111 E115">
    <cfRule type="containsBlanks" dxfId="2960" priority="551">
      <formula>LEN(TRIM(E111))=0</formula>
    </cfRule>
    <cfRule type="aboveAverage" dxfId="2959" priority="552"/>
  </conditionalFormatting>
  <conditionalFormatting sqref="G105 G113">
    <cfRule type="containsBlanks" dxfId="2958" priority="549">
      <formula>LEN(TRIM(G105))=0</formula>
    </cfRule>
    <cfRule type="aboveAverage" dxfId="2957" priority="550"/>
  </conditionalFormatting>
  <conditionalFormatting sqref="G162 G166 G169 G171">
    <cfRule type="containsBlanks" dxfId="2956" priority="546">
      <formula>LEN(TRIM(G162))=0</formula>
    </cfRule>
  </conditionalFormatting>
  <conditionalFormatting sqref="E161 E163">
    <cfRule type="containsBlanks" dxfId="2955" priority="544">
      <formula>LEN(TRIM(E161))=0</formula>
    </cfRule>
  </conditionalFormatting>
  <conditionalFormatting sqref="E165 E167">
    <cfRule type="containsBlanks" dxfId="2954" priority="542">
      <formula>LEN(TRIM(E165))=0</formula>
    </cfRule>
  </conditionalFormatting>
  <conditionalFormatting sqref="G162 G166">
    <cfRule type="aboveAverage" dxfId="2953" priority="548"/>
  </conditionalFormatting>
  <conditionalFormatting sqref="G169 G171">
    <cfRule type="aboveAverage" dxfId="2952" priority="547"/>
  </conditionalFormatting>
  <conditionalFormatting sqref="E161 E163">
    <cfRule type="aboveAverage" dxfId="2951" priority="545"/>
  </conditionalFormatting>
  <conditionalFormatting sqref="E165 E167">
    <cfRule type="aboveAverage" dxfId="2950" priority="543"/>
  </conditionalFormatting>
  <conditionalFormatting sqref="G155 G157">
    <cfRule type="aboveAverage" dxfId="2949" priority="541"/>
  </conditionalFormatting>
  <conditionalFormatting sqref="G155 G157">
    <cfRule type="containsBlanks" dxfId="2948" priority="540">
      <formula>LEN(TRIM(G155))=0</formula>
    </cfRule>
  </conditionalFormatting>
  <conditionalFormatting sqref="E141 E145">
    <cfRule type="containsBlanks" dxfId="2947" priority="538">
      <formula>LEN(TRIM(E141))=0</formula>
    </cfRule>
    <cfRule type="aboveAverage" dxfId="2946" priority="539"/>
  </conditionalFormatting>
  <conditionalFormatting sqref="C144 C146">
    <cfRule type="aboveAverage" dxfId="2945" priority="537"/>
  </conditionalFormatting>
  <conditionalFormatting sqref="C148 C150">
    <cfRule type="aboveAverage" dxfId="2944" priority="536"/>
  </conditionalFormatting>
  <conditionalFormatting sqref="C152 C154">
    <cfRule type="aboveAverage" dxfId="2943" priority="535"/>
  </conditionalFormatting>
  <conditionalFormatting sqref="C144 C146 C148 C150 C152 C154">
    <cfRule type="containsBlanks" dxfId="2942" priority="534">
      <formula>LEN(TRIM(C144))=0</formula>
    </cfRule>
  </conditionalFormatting>
  <conditionalFormatting sqref="C140 C142">
    <cfRule type="aboveAverage" dxfId="2941" priority="533"/>
  </conditionalFormatting>
  <conditionalFormatting sqref="C140 C142">
    <cfRule type="containsBlanks" dxfId="2940" priority="532">
      <formula>LEN(TRIM(C140))=0</formula>
    </cfRule>
  </conditionalFormatting>
  <conditionalFormatting sqref="E149 E153">
    <cfRule type="containsBlanks" dxfId="2939" priority="530">
      <formula>LEN(TRIM(E149))=0</formula>
    </cfRule>
    <cfRule type="aboveAverage" dxfId="2938" priority="531"/>
  </conditionalFormatting>
  <conditionalFormatting sqref="G143 G151">
    <cfRule type="containsBlanks" dxfId="2937" priority="528">
      <formula>LEN(TRIM(G143))=0</formula>
    </cfRule>
    <cfRule type="aboveAverage" dxfId="2936" priority="529"/>
  </conditionalFormatting>
  <conditionalFormatting sqref="D7 C8">
    <cfRule type="aboveAverage" dxfId="2935" priority="512"/>
  </conditionalFormatting>
  <conditionalFormatting sqref="E7 C9">
    <cfRule type="aboveAverage" dxfId="2934" priority="511"/>
  </conditionalFormatting>
  <conditionalFormatting sqref="F7 C10">
    <cfRule type="aboveAverage" dxfId="2933" priority="510"/>
  </conditionalFormatting>
  <conditionalFormatting sqref="E8 D9">
    <cfRule type="aboveAverage" dxfId="2932" priority="509"/>
  </conditionalFormatting>
  <conditionalFormatting sqref="G7 C11">
    <cfRule type="aboveAverage" dxfId="2931" priority="508"/>
  </conditionalFormatting>
  <conditionalFormatting sqref="F8 D10">
    <cfRule type="aboveAverage" dxfId="2930" priority="507"/>
  </conditionalFormatting>
  <conditionalFormatting sqref="G8 D11">
    <cfRule type="aboveAverage" dxfId="2929" priority="506"/>
  </conditionalFormatting>
  <conditionalFormatting sqref="F9 E10">
    <cfRule type="aboveAverage" dxfId="2928" priority="505"/>
  </conditionalFormatting>
  <conditionalFormatting sqref="G9 E11">
    <cfRule type="aboveAverage" dxfId="2927" priority="504"/>
  </conditionalFormatting>
  <conditionalFormatting sqref="F11 G10">
    <cfRule type="aboveAverage" dxfId="2926" priority="503"/>
  </conditionalFormatting>
  <conditionalFormatting sqref="D14 C15">
    <cfRule type="aboveAverage" dxfId="2925" priority="502"/>
  </conditionalFormatting>
  <conditionalFormatting sqref="E14 C16">
    <cfRule type="aboveAverage" dxfId="2924" priority="501"/>
  </conditionalFormatting>
  <conditionalFormatting sqref="F14 C17">
    <cfRule type="aboveAverage" dxfId="2923" priority="500"/>
  </conditionalFormatting>
  <conditionalFormatting sqref="E15 D16">
    <cfRule type="aboveAverage" dxfId="2922" priority="499"/>
  </conditionalFormatting>
  <conditionalFormatting sqref="G14 C18">
    <cfRule type="aboveAverage" dxfId="2921" priority="498"/>
  </conditionalFormatting>
  <conditionalFormatting sqref="F15 D17">
    <cfRule type="aboveAverage" dxfId="2920" priority="497"/>
  </conditionalFormatting>
  <conditionalFormatting sqref="G15 D18">
    <cfRule type="aboveAverage" dxfId="2919" priority="496"/>
  </conditionalFormatting>
  <conditionalFormatting sqref="F16 E17">
    <cfRule type="aboveAverage" dxfId="2918" priority="495"/>
  </conditionalFormatting>
  <conditionalFormatting sqref="G16 E18">
    <cfRule type="aboveAverage" dxfId="2917" priority="494"/>
  </conditionalFormatting>
  <conditionalFormatting sqref="F18 G17">
    <cfRule type="aboveAverage" dxfId="2916" priority="493"/>
  </conditionalFormatting>
  <conditionalFormatting sqref="D21 C22">
    <cfRule type="aboveAverage" dxfId="2915" priority="492"/>
  </conditionalFormatting>
  <conditionalFormatting sqref="E21 C23">
    <cfRule type="aboveAverage" dxfId="2914" priority="491"/>
  </conditionalFormatting>
  <conditionalFormatting sqref="F21 C24">
    <cfRule type="aboveAverage" dxfId="2913" priority="490"/>
  </conditionalFormatting>
  <conditionalFormatting sqref="E22 D23">
    <cfRule type="aboveAverage" dxfId="2912" priority="489"/>
  </conditionalFormatting>
  <conditionalFormatting sqref="G21 C25">
    <cfRule type="aboveAverage" dxfId="2911" priority="488"/>
  </conditionalFormatting>
  <conditionalFormatting sqref="F22 D24">
    <cfRule type="aboveAverage" dxfId="2910" priority="487"/>
  </conditionalFormatting>
  <conditionalFormatting sqref="G22 D25">
    <cfRule type="aboveAverage" dxfId="2909" priority="486"/>
  </conditionalFormatting>
  <conditionalFormatting sqref="F23 E24">
    <cfRule type="aboveAverage" dxfId="2908" priority="485"/>
  </conditionalFormatting>
  <conditionalFormatting sqref="G23 E25">
    <cfRule type="aboveAverage" dxfId="2907" priority="484"/>
  </conditionalFormatting>
  <conditionalFormatting sqref="F25 G24">
    <cfRule type="aboveAverage" dxfId="2906" priority="483"/>
  </conditionalFormatting>
  <conditionalFormatting sqref="D28 C29">
    <cfRule type="aboveAverage" dxfId="2905" priority="482"/>
  </conditionalFormatting>
  <conditionalFormatting sqref="E28 C30">
    <cfRule type="aboveAverage" dxfId="2904" priority="481"/>
  </conditionalFormatting>
  <conditionalFormatting sqref="F28 C31">
    <cfRule type="aboveAverage" dxfId="2903" priority="480"/>
  </conditionalFormatting>
  <conditionalFormatting sqref="E29 D30">
    <cfRule type="aboveAverage" dxfId="2902" priority="479"/>
  </conditionalFormatting>
  <conditionalFormatting sqref="G28 C32">
    <cfRule type="aboveAverage" dxfId="2901" priority="478"/>
  </conditionalFormatting>
  <conditionalFormatting sqref="F29 D31">
    <cfRule type="aboveAverage" dxfId="2900" priority="477"/>
  </conditionalFormatting>
  <conditionalFormatting sqref="G29 D32">
    <cfRule type="aboveAverage" dxfId="2899" priority="476"/>
  </conditionalFormatting>
  <conditionalFormatting sqref="F30 E31">
    <cfRule type="aboveAverage" dxfId="2898" priority="475"/>
  </conditionalFormatting>
  <conditionalFormatting sqref="G30 E32">
    <cfRule type="aboveAverage" dxfId="2897" priority="474"/>
  </conditionalFormatting>
  <conditionalFormatting sqref="F32 G31">
    <cfRule type="aboveAverage" dxfId="2896" priority="473"/>
  </conditionalFormatting>
  <conditionalFormatting sqref="H14:H18">
    <cfRule type="expression" dxfId="2895" priority="363">
      <formula>AND(Q14=4,IF(COUNTIF(Q$14:Q$18,"=4")&gt;=2,TRUE))</formula>
    </cfRule>
    <cfRule type="expression" dxfId="2894" priority="513">
      <formula>AND(Q14=3,IF(COUNTIF(Q$14:Q$18,"=3")&gt;=2,TRUE))</formula>
    </cfRule>
    <cfRule type="expression" dxfId="2893" priority="514">
      <formula>AND(Q14=2,IF(COUNTIF(Q$14:Q$18,"=2")&gt;=2,TRUE))</formula>
    </cfRule>
    <cfRule type="expression" dxfId="2892" priority="515">
      <formula>AND(Q14=1,IF(COUNTIF(Q$14:Q$18,"=1")&gt;=2,TRUE))</formula>
    </cfRule>
  </conditionalFormatting>
  <conditionalFormatting sqref="B7:B33">
    <cfRule type="duplicateValues" dxfId="2891" priority="418"/>
  </conditionalFormatting>
  <conditionalFormatting sqref="L7:L11">
    <cfRule type="expression" dxfId="2890" priority="401">
      <formula>K7=0</formula>
    </cfRule>
    <cfRule type="expression" dxfId="2889" priority="410">
      <formula>IF(COUNTIF(J$7:J$11,"=2")=2,TRUE)</formula>
    </cfRule>
    <cfRule type="expression" dxfId="2888" priority="411">
      <formula>IF(COUNTIF(J$7:J$11,"=1")=2,TRUE)</formula>
    </cfRule>
    <cfRule type="expression" dxfId="2887" priority="412">
      <formula>AND(IF(COUNTIF(Q$7:Q$11,"=1")=2,TRUE),IF(COUNTIF(Q$7:Q$11,"=2")=2,TRUE))</formula>
    </cfRule>
    <cfRule type="expression" dxfId="2886" priority="413">
      <formula>AND(Q7=4,IF(COUNTIF(Q$7:Q$11,"=4")=1,TRUE))</formula>
    </cfRule>
    <cfRule type="expression" dxfId="2885" priority="414">
      <formula>AND(Q7=3,IF(COUNTIF(Q$7:Q$11,"=3")=1,TRUE))</formula>
    </cfRule>
    <cfRule type="expression" dxfId="2884" priority="415">
      <formula>AND(Q7=2,IF(COUNTIF(Q$7:Q$11,"=2")=1,TRUE))</formula>
    </cfRule>
    <cfRule type="expression" dxfId="2883" priority="416">
      <formula>AND(Q7=1,IF(COUNTIF(Q$7:Q$11,"=1")=1,TRUE))</formula>
    </cfRule>
    <cfRule type="expression" dxfId="2882" priority="417">
      <formula>OR(Q7=0,Q7=5)</formula>
    </cfRule>
  </conditionalFormatting>
  <conditionalFormatting sqref="O7:O11">
    <cfRule type="expression" dxfId="2881" priority="409">
      <formula>OR(AND(J7=1,K7=1,L7=0,M7=1),AND(J7=2,K7=2,L7=0,M7=2))</formula>
    </cfRule>
  </conditionalFormatting>
  <conditionalFormatting sqref="M7:M11">
    <cfRule type="expression" dxfId="2880" priority="402">
      <formula>AND(L7&gt;0,IF(COUNTIF(L$7:L$11,L7)&gt;1,TRUE,FALSE))</formula>
    </cfRule>
    <cfRule type="expression" dxfId="2879" priority="403">
      <formula>AND(IF(COUNTIF(R$7:R$11,"=1")=2,TRUE),IF(COUNTIF(R$7:R$11,"=2")=2,TRUE))</formula>
    </cfRule>
    <cfRule type="expression" dxfId="2878" priority="404">
      <formula>AND(R7=4,IF(COUNTIF(R$7:R$11,"=4")=1,TRUE))</formula>
    </cfRule>
    <cfRule type="expression" dxfId="2877" priority="405">
      <formula>AND(R7=3,IF(COUNTIF(R$7:R$11,"=3")=1,TRUE))</formula>
    </cfRule>
    <cfRule type="expression" dxfId="2876" priority="406">
      <formula>AND(R7=2,IF(COUNTIF(R$7:R$11,"=2")=1,TRUE))</formula>
    </cfRule>
    <cfRule type="expression" dxfId="2875" priority="407">
      <formula>AND(R7=1,IF(COUNTIF(R$7:R$11,"=1")=1,TRUE))</formula>
    </cfRule>
    <cfRule type="expression" dxfId="2874" priority="408">
      <formula>OR(R7=0,R7=5)</formula>
    </cfRule>
  </conditionalFormatting>
  <conditionalFormatting sqref="J7:J11">
    <cfRule type="expression" dxfId="2873" priority="397">
      <formula>AND(Q7=4,IF(COUNTIF(Q$7:Q$11,"=4")&gt;=2,TRUE))</formula>
    </cfRule>
    <cfRule type="expression" dxfId="2872" priority="398">
      <formula>AND(Q7=3,IF(COUNTIF(Q$7:Q$11,"=3")&gt;=2,TRUE))</formula>
    </cfRule>
    <cfRule type="expression" dxfId="2871" priority="399">
      <formula>AND(Q7=2,IF(COUNTIF(Q$7:Q$11,"=2")&gt;=2,TRUE))</formula>
    </cfRule>
    <cfRule type="expression" dxfId="2870" priority="400">
      <formula>AND(Q7=1,IF(COUNTIF(Q$7:Q$11,"=1")&gt;=2,TRUE))</formula>
    </cfRule>
  </conditionalFormatting>
  <conditionalFormatting sqref="H7:H11">
    <cfRule type="expression" dxfId="2869" priority="364">
      <formula>AND(Q7=4,IF(COUNTIF(Q$7:Q$11,"=4")&gt;=2,TRUE))</formula>
    </cfRule>
    <cfRule type="expression" dxfId="2868" priority="516">
      <formula>AND(Q7=3,IF(COUNTIF(Q$7:Q$11,"=3")&gt;=2,TRUE))</formula>
    </cfRule>
    <cfRule type="expression" dxfId="2867" priority="517">
      <formula>AND(Q7=2,IF(COUNTIF(Q$7:Q$11,"=2")&gt;=2,TRUE))</formula>
    </cfRule>
    <cfRule type="expression" dxfId="2866" priority="518">
      <formula>AND(Q7=1,IF(COUNTIF(Q$7:Q$11,"=1")&gt;=2,TRUE))</formula>
    </cfRule>
  </conditionalFormatting>
  <conditionalFormatting sqref="K7:K11">
    <cfRule type="expression" dxfId="2865" priority="519">
      <formula>AND(J7&gt;0,IF(COUNTIF(J$7:J$11,"=1")=2,TRUE),IF(COUNTIF(J$7:J$11,"=2")=2,TRUE))</formula>
    </cfRule>
    <cfRule type="expression" dxfId="2864" priority="520">
      <formula>IF(COUNTIF(L$7:L$11,"=2")=2,TRUE)</formula>
    </cfRule>
    <cfRule type="expression" dxfId="2863" priority="521">
      <formula>IF(COUNTIF(L$7:L$11,"=1")=2,TRUE)</formula>
    </cfRule>
    <cfRule type="expression" dxfId="2862" priority="522">
      <formula>AND(IF(COUNTIF(R$7:R$11,"=1")=2,TRUE),IF(COUNTIF(S$7:S$11,"=2")=2,TRUE))</formula>
    </cfRule>
    <cfRule type="expression" dxfId="2861" priority="523">
      <formula>AND(R7=4,IF(COUNTIF(R$7:R$11,"=4")=1,TRUE))</formula>
    </cfRule>
    <cfRule type="expression" dxfId="2860" priority="524">
      <formula>AND(R7=3,IF(COUNTIF(R$7:R$11,"=3")=1,TRUE))</formula>
    </cfRule>
    <cfRule type="expression" dxfId="2859" priority="525">
      <formula>AND(R7=2,IF(COUNTIF(R$7:R$11,"=2")=1,TRUE))</formula>
    </cfRule>
    <cfRule type="expression" dxfId="2858" priority="526">
      <formula>AND(R7=1,IF(COUNTIF(R$7:R$11,"=1")=1,TRUE))</formula>
    </cfRule>
    <cfRule type="expression" dxfId="2857" priority="527">
      <formula>OR(R7=0,R7=5)</formula>
    </cfRule>
  </conditionalFormatting>
  <conditionalFormatting sqref="L14:L18">
    <cfRule type="expression" dxfId="2856" priority="369">
      <formula>K14=0</formula>
    </cfRule>
    <cfRule type="expression" dxfId="2855" priority="378">
      <formula>IF(COUNTIF(J$14:J$18,"=2")=2,TRUE)</formula>
    </cfRule>
    <cfRule type="expression" dxfId="2854" priority="379">
      <formula>IF(COUNTIF(J$14:J$18,"=1")=2,TRUE)</formula>
    </cfRule>
    <cfRule type="expression" dxfId="2853" priority="380">
      <formula>AND(IF(COUNTIF(Q$14:Q$18,"=1")=2,TRUE),IF(COUNTIF(Q$14:Q$18,"=2")=2,TRUE))</formula>
    </cfRule>
    <cfRule type="expression" dxfId="2852" priority="381">
      <formula>AND(Q14=4,IF(COUNTIF(Q$14:Q$18,"=4")=1,TRUE))</formula>
    </cfRule>
    <cfRule type="expression" dxfId="2851" priority="382">
      <formula>AND(Q14=3,IF(COUNTIF(Q$14:Q$18,"=3")=1,TRUE))</formula>
    </cfRule>
    <cfRule type="expression" dxfId="2850" priority="383">
      <formula>AND(Q14=2,IF(COUNTIF(Q$14:Q$18,"=2")=1,TRUE))</formula>
    </cfRule>
    <cfRule type="expression" dxfId="2849" priority="384">
      <formula>AND(Q14=1,IF(COUNTIF(Q$14:Q$18,"=1")=1,TRUE))</formula>
    </cfRule>
    <cfRule type="expression" dxfId="2848" priority="385">
      <formula>OR(Q14=0,Q14=5)</formula>
    </cfRule>
  </conditionalFormatting>
  <conditionalFormatting sqref="O14:O18">
    <cfRule type="expression" dxfId="2847" priority="377">
      <formula>OR(AND(J14=1,K14=1,L14=0,M14=1),AND(J14=2,K14=2,L14=0,M14=2))</formula>
    </cfRule>
  </conditionalFormatting>
  <conditionalFormatting sqref="M14:M18">
    <cfRule type="expression" dxfId="2846" priority="370">
      <formula>AND(L14&gt;0,IF(COUNTIF(L$14:L$18,L14)&gt;1,TRUE,FALSE))</formula>
    </cfRule>
    <cfRule type="expression" dxfId="2845" priority="371">
      <formula>AND(IF(COUNTIF(R$14:R$18,"=1")=2,TRUE),IF(COUNTIF(R$14:R$18,"=2")=2,TRUE))</formula>
    </cfRule>
    <cfRule type="expression" dxfId="2844" priority="372">
      <formula>AND(R14=4,IF(COUNTIF(R$14:R$18,"=4")=1,TRUE))</formula>
    </cfRule>
    <cfRule type="expression" dxfId="2843" priority="373">
      <formula>AND(R14=3,IF(COUNTIF(R$14:R$18,"=3")=1,TRUE))</formula>
    </cfRule>
    <cfRule type="expression" dxfId="2842" priority="374">
      <formula>AND(R14=2,IF(COUNTIF(R$14:R$18,"=2")=1,TRUE))</formula>
    </cfRule>
    <cfRule type="expression" dxfId="2841" priority="375">
      <formula>AND(R14=1,IF(COUNTIF(R$14:R$18,"=1")=1,TRUE))</formula>
    </cfRule>
    <cfRule type="expression" dxfId="2840" priority="376">
      <formula>OR(R14=0,R14=5)</formula>
    </cfRule>
  </conditionalFormatting>
  <conditionalFormatting sqref="J14:J18">
    <cfRule type="expression" dxfId="2839" priority="365">
      <formula>AND(Q14=4,IF(COUNTIF(Q$14:Q$18,"=4")&gt;=2,TRUE))</formula>
    </cfRule>
    <cfRule type="expression" dxfId="2838" priority="366">
      <formula>AND(Q14=3,IF(COUNTIF(Q$14:Q$18,"=3")&gt;=2,TRUE))</formula>
    </cfRule>
    <cfRule type="expression" dxfId="2837" priority="367">
      <formula>AND(Q14=2,IF(COUNTIF(Q$14:Q$18,"=2")&gt;=2,TRUE))</formula>
    </cfRule>
    <cfRule type="expression" dxfId="2836" priority="368">
      <formula>AND(Q14=1,IF(COUNTIF(Q$14:Q$18,"=1")&gt;=2,TRUE))</formula>
    </cfRule>
  </conditionalFormatting>
  <conditionalFormatting sqref="K14:K18">
    <cfRule type="expression" dxfId="2835" priority="388">
      <formula>AND(J14&gt;0,IF(COUNTIF(J$14:J$18,"=1")=2,TRUE),IF(COUNTIF(J$14:J$18,"=2")=2,TRUE))</formula>
    </cfRule>
    <cfRule type="expression" dxfId="2834" priority="389">
      <formula>IF(COUNTIF(L$14:L$18,"=2")=2,TRUE)</formula>
    </cfRule>
    <cfRule type="expression" dxfId="2833" priority="390">
      <formula>IF(COUNTIF(L$14:L$18,"=1")=2,TRUE)</formula>
    </cfRule>
    <cfRule type="expression" dxfId="2832" priority="391">
      <formula>AND(IF(COUNTIF(R$14:R$18,"=1")=2,TRUE),IF(COUNTIF(S$14:S$18,"=2")=2,TRUE))</formula>
    </cfRule>
    <cfRule type="expression" dxfId="2831" priority="392">
      <formula>AND(R14=4,IF(COUNTIF(R$14:R$18,"=4")=1,TRUE))</formula>
    </cfRule>
    <cfRule type="expression" dxfId="2830" priority="393">
      <formula>AND(R14=3,IF(COUNTIF(R$14:R$18,"=3")=1,TRUE))</formula>
    </cfRule>
    <cfRule type="expression" dxfId="2829" priority="394">
      <formula>AND(R14=2,IF(COUNTIF(R$14:R$18,"=2")=1,TRUE))</formula>
    </cfRule>
    <cfRule type="expression" dxfId="2828" priority="395">
      <formula>AND(R14=1,IF(COUNTIF(R$14:R$18,"=1")=1,TRUE))</formula>
    </cfRule>
    <cfRule type="expression" dxfId="2827" priority="396">
      <formula>OR(R14=0,R14=5)</formula>
    </cfRule>
  </conditionalFormatting>
  <conditionalFormatting sqref="L21:L25">
    <cfRule type="expression" dxfId="2826" priority="337">
      <formula>K21=0</formula>
    </cfRule>
    <cfRule type="expression" dxfId="2825" priority="346">
      <formula>IF(COUNTIF(J$21:J$25,"=2")=2,TRUE)</formula>
    </cfRule>
    <cfRule type="expression" dxfId="2824" priority="347">
      <formula>IF(COUNTIF(J$21:J$25,"=1")=2,TRUE)</formula>
    </cfRule>
    <cfRule type="expression" dxfId="2823" priority="348">
      <formula>AND(IF(COUNTIF(Q$21:Q$25,"=1")=2,TRUE),IF(COUNTIF(Q$21:Q$25,"=2")=2,TRUE))</formula>
    </cfRule>
    <cfRule type="expression" dxfId="2822" priority="349">
      <formula>AND(Q21=4,IF(COUNTIF(Q$21:Q$25,"=4")=1,TRUE))</formula>
    </cfRule>
    <cfRule type="expression" dxfId="2821" priority="350">
      <formula>AND(Q21=3,IF(COUNTIF(Q$21:Q$25,"=3")=1,TRUE))</formula>
    </cfRule>
    <cfRule type="expression" dxfId="2820" priority="351">
      <formula>AND(Q21=2,IF(COUNTIF(Q$21:Q$25,"=2")=1,TRUE))</formula>
    </cfRule>
    <cfRule type="expression" dxfId="2819" priority="352">
      <formula>AND(Q21=1,IF(COUNTIF(Q$21:Q$25,"=1")=1,TRUE))</formula>
    </cfRule>
    <cfRule type="expression" dxfId="2818" priority="353">
      <formula>OR(Q21=0,Q21=5)</formula>
    </cfRule>
  </conditionalFormatting>
  <conditionalFormatting sqref="O21:O25">
    <cfRule type="expression" dxfId="2817" priority="345">
      <formula>OR(AND(J21=1,K21=1,L21=0,M21=1),AND(J21=2,K21=2,L21=0,M21=2))</formula>
    </cfRule>
  </conditionalFormatting>
  <conditionalFormatting sqref="M21:M25">
    <cfRule type="expression" dxfId="2816" priority="338">
      <formula>AND(L21&gt;0,IF(COUNTIF(L$21:L$25,L21)&gt;1,TRUE,FALSE))</formula>
    </cfRule>
    <cfRule type="expression" dxfId="2815" priority="339">
      <formula>AND(IF(COUNTIF(R$21:R$25,"=1")=2,TRUE),IF(COUNTIF(R$21:R$25,"=2")=2,TRUE))</formula>
    </cfRule>
    <cfRule type="expression" dxfId="2814" priority="340">
      <formula>AND(R21=4,IF(COUNTIF(R$21:R$25,"=4")=1,TRUE))</formula>
    </cfRule>
    <cfRule type="expression" dxfId="2813" priority="341">
      <formula>AND(R21=3,IF(COUNTIF(R$21:R$25,"=3")=1,TRUE))</formula>
    </cfRule>
    <cfRule type="expression" dxfId="2812" priority="342">
      <formula>AND(R21=2,IF(COUNTIF(R$21:R$25,"=2")=1,TRUE))</formula>
    </cfRule>
    <cfRule type="expression" dxfId="2811" priority="343">
      <formula>AND(R21=1,IF(COUNTIF(R$21:R$25,"=1")=1,TRUE))</formula>
    </cfRule>
    <cfRule type="expression" dxfId="2810" priority="344">
      <formula>OR(R21=0,R21=5)</formula>
    </cfRule>
  </conditionalFormatting>
  <conditionalFormatting sqref="J21:J25">
    <cfRule type="expression" dxfId="2809" priority="333">
      <formula>AND(Q21=4,IF(COUNTIF(Q$21:Q$25,"=4")&gt;=2,TRUE))</formula>
    </cfRule>
    <cfRule type="expression" dxfId="2808" priority="334">
      <formula>AND(Q21=3,IF(COUNTIF(Q$21:Q$25,"=3")&gt;=2,TRUE))</formula>
    </cfRule>
    <cfRule type="expression" dxfId="2807" priority="335">
      <formula>AND(Q21=2,IF(COUNTIF(Q$21:Q$25,"=2")&gt;=2,TRUE))</formula>
    </cfRule>
    <cfRule type="expression" dxfId="2806" priority="336">
      <formula>AND(Q21=1,IF(COUNTIF(Q$21:Q$25,"=1")&gt;=2,TRUE))</formula>
    </cfRule>
  </conditionalFormatting>
  <conditionalFormatting sqref="K21:K25">
    <cfRule type="expression" dxfId="2805" priority="354">
      <formula>AND(J21&gt;0,IF(COUNTIF(J$21:J$25,"=1")=2,TRUE),IF(COUNTIF(J$21:J$25,"=2")=2,TRUE))</formula>
    </cfRule>
    <cfRule type="expression" dxfId="2804" priority="355">
      <formula>IF(COUNTIF(L$21:L$25,"=2")=2,TRUE)</formula>
    </cfRule>
    <cfRule type="expression" dxfId="2803" priority="356">
      <formula>IF(COUNTIF(L$21:L$25,"=1")=2,TRUE)</formula>
    </cfRule>
    <cfRule type="expression" dxfId="2802" priority="357">
      <formula>AND(IF(COUNTIF(R$21:R$25,"=1")=2,TRUE),IF(COUNTIF(S$21:S$25,"=2")=2,TRUE))</formula>
    </cfRule>
    <cfRule type="expression" dxfId="2801" priority="358">
      <formula>AND(R21=4,IF(COUNTIF(R$21:R$25,"=4")=1,TRUE))</formula>
    </cfRule>
    <cfRule type="expression" dxfId="2800" priority="359">
      <formula>AND(R21=3,IF(COUNTIF(R$21:R$25,"=3")=1,TRUE))</formula>
    </cfRule>
    <cfRule type="expression" dxfId="2799" priority="360">
      <formula>AND(R21=2,IF(COUNTIF(R$21:R$25,"=2")=1,TRUE))</formula>
    </cfRule>
    <cfRule type="expression" dxfId="2798" priority="361">
      <formula>AND(R21=1,IF(COUNTIF(R$21:R$25,"=1")=1,TRUE))</formula>
    </cfRule>
    <cfRule type="expression" dxfId="2797" priority="362">
      <formula>OR(R21=0,R21=5)</formula>
    </cfRule>
  </conditionalFormatting>
  <conditionalFormatting sqref="H21:H25">
    <cfRule type="expression" dxfId="2796" priority="329">
      <formula>AND(Q21=4,IF(COUNTIF(Q$21:Q$25,"=4")&gt;=2,TRUE))</formula>
    </cfRule>
    <cfRule type="expression" dxfId="2795" priority="330">
      <formula>AND(Q21=3,IF(COUNTIF(Q$21:Q$25,"=3")&gt;=2,TRUE))</formula>
    </cfRule>
    <cfRule type="expression" dxfId="2794" priority="331">
      <formula>AND(Q21=2,IF(COUNTIF(Q$21:Q$25,"=2")&gt;=2,TRUE))</formula>
    </cfRule>
    <cfRule type="expression" dxfId="2793" priority="332">
      <formula>AND(Q21=1,IF(COUNTIF(Q$21:Q$25,"=1")&gt;=2,TRUE))</formula>
    </cfRule>
  </conditionalFormatting>
  <conditionalFormatting sqref="L28:L32">
    <cfRule type="expression" dxfId="2792" priority="303">
      <formula>K28=0</formula>
    </cfRule>
    <cfRule type="expression" dxfId="2791" priority="312">
      <formula>IF(COUNTIF(J$28:J$32,"=2")=2,TRUE)</formula>
    </cfRule>
    <cfRule type="expression" dxfId="2790" priority="313">
      <formula>IF(COUNTIF(J$28:J$32,"=1")=2,TRUE)</formula>
    </cfRule>
    <cfRule type="expression" dxfId="2789" priority="314">
      <formula>AND(IF(COUNTIF(Q$28:Q$32,"=1")=2,TRUE),IF(COUNTIF(Q$28:Q$32,"=2")=2,TRUE))</formula>
    </cfRule>
    <cfRule type="expression" dxfId="2788" priority="315">
      <formula>AND(Q28=4,IF(COUNTIF(Q$28:Q$32,"=4")=1,TRUE))</formula>
    </cfRule>
    <cfRule type="expression" dxfId="2787" priority="316">
      <formula>AND(Q28=3,IF(COUNTIF(Q$28:Q$32,"=3")=1,TRUE))</formula>
    </cfRule>
    <cfRule type="expression" dxfId="2786" priority="317">
      <formula>AND(Q28=2,IF(COUNTIF(Q$28:Q$32,"=2")=1,TRUE))</formula>
    </cfRule>
    <cfRule type="expression" dxfId="2785" priority="318">
      <formula>AND(Q28=1,IF(COUNTIF(Q$28:Q$32,"=1")=1,TRUE))</formula>
    </cfRule>
    <cfRule type="expression" dxfId="2784" priority="319">
      <formula>OR(Q28=0,Q28=5)</formula>
    </cfRule>
  </conditionalFormatting>
  <conditionalFormatting sqref="O28:O32">
    <cfRule type="expression" dxfId="2783" priority="311">
      <formula>OR(AND(J28=1,K28=1,L28=0,M28=1),AND(J28=2,K28=2,L28=0,M28=2))</formula>
    </cfRule>
  </conditionalFormatting>
  <conditionalFormatting sqref="M28:M32">
    <cfRule type="expression" dxfId="2782" priority="304">
      <formula>AND(L28&gt;0,IF(COUNTIF(L$28:L$32,L28)&gt;1,TRUE,FALSE))</formula>
    </cfRule>
    <cfRule type="expression" dxfId="2781" priority="305">
      <formula>AND(IF(COUNTIF(R$28:R$32,"=1")=2,TRUE),IF(COUNTIF(R$28:R$32,"=2")=2,TRUE))</formula>
    </cfRule>
    <cfRule type="expression" dxfId="2780" priority="306">
      <formula>AND(R28=4,IF(COUNTIF(R$28:R$32,"=4")=1,TRUE))</formula>
    </cfRule>
    <cfRule type="expression" dxfId="2779" priority="307">
      <formula>AND(R28=3,IF(COUNTIF(R$28:R$32,"=3")=1,TRUE))</formula>
    </cfRule>
    <cfRule type="expression" dxfId="2778" priority="308">
      <formula>AND(R28=2,IF(COUNTIF(R$28:R$32,"=2")=1,TRUE))</formula>
    </cfRule>
    <cfRule type="expression" dxfId="2777" priority="309">
      <formula>AND(R28=1,IF(COUNTIF(R$28:R$32,"=1")=1,TRUE))</formula>
    </cfRule>
    <cfRule type="expression" dxfId="2776" priority="310">
      <formula>OR(R28=0,R28=5)</formula>
    </cfRule>
  </conditionalFormatting>
  <conditionalFormatting sqref="J28:J32">
    <cfRule type="expression" dxfId="2775" priority="299">
      <formula>AND(Q28=4,IF(COUNTIF(Q$28:Q$32,"=4")&gt;=2,TRUE))</formula>
    </cfRule>
    <cfRule type="expression" dxfId="2774" priority="300">
      <formula>AND(Q28=3,IF(COUNTIF(Q$28:Q$32,"=3")&gt;=2,TRUE))</formula>
    </cfRule>
    <cfRule type="expression" dxfId="2773" priority="301">
      <formula>AND(Q28=2,IF(COUNTIF(Q$28:Q$32,"=2")&gt;=2,TRUE))</formula>
    </cfRule>
    <cfRule type="expression" dxfId="2772" priority="302">
      <formula>AND(Q28=1,IF(COUNTIF(Q$28:Q$32,"=1")&gt;=2,TRUE))</formula>
    </cfRule>
  </conditionalFormatting>
  <conditionalFormatting sqref="K28:K32">
    <cfRule type="expression" dxfId="2771" priority="320">
      <formula>AND(J28&gt;0,IF(COUNTIF(J$28:J$32,"=1")=2,TRUE),IF(COUNTIF(J$28:J$32,"=2")=2,TRUE))</formula>
    </cfRule>
    <cfRule type="expression" dxfId="2770" priority="321">
      <formula>IF(COUNTIF(L$28:L$32,"=2")=2,TRUE)</formula>
    </cfRule>
    <cfRule type="expression" dxfId="2769" priority="322">
      <formula>IF(COUNTIF(L$28:L$32,"=1")=2,TRUE)</formula>
    </cfRule>
    <cfRule type="expression" dxfId="2768" priority="323">
      <formula>AND(IF(COUNTIF(R$28:R$32,"=1")=2,TRUE),IF(COUNTIF(S$28:S$32,"=2")=2,TRUE))</formula>
    </cfRule>
    <cfRule type="expression" dxfId="2767" priority="324">
      <formula>AND(R28=4,IF(COUNTIF(R$28:R$32,"=4")=1,TRUE))</formula>
    </cfRule>
    <cfRule type="expression" dxfId="2766" priority="325">
      <formula>AND(R28=3,IF(COUNTIF(R$28:R$32,"=3")=1,TRUE))</formula>
    </cfRule>
    <cfRule type="expression" dxfId="2765" priority="326">
      <formula>AND(R28=2,IF(COUNTIF(R$28:R$32,"=2")=1,TRUE))</formula>
    </cfRule>
    <cfRule type="expression" dxfId="2764" priority="327">
      <formula>AND(R28=1,IF(COUNTIF(R$28:R$32,"=1")=1,TRUE))</formula>
    </cfRule>
    <cfRule type="expression" dxfId="2763" priority="328">
      <formula>OR(R28=0,R28=5)</formula>
    </cfRule>
  </conditionalFormatting>
  <conditionalFormatting sqref="H28:H32">
    <cfRule type="expression" dxfId="2762" priority="295">
      <formula>AND(Q28=4,IF(COUNTIF(Q$28:Q$32,"=4")&gt;=2,TRUE))</formula>
    </cfRule>
    <cfRule type="expression" dxfId="2761" priority="296">
      <formula>AND(Q28=3,IF(COUNTIF(Q$28:Q$32,"=3")&gt;=2,TRUE))</formula>
    </cfRule>
    <cfRule type="expression" dxfId="2760" priority="297">
      <formula>AND(Q28=2,IF(COUNTIF(Q$28:Q$32,"=2")&gt;=2,TRUE))</formula>
    </cfRule>
    <cfRule type="expression" dxfId="2759" priority="298">
      <formula>AND(Q28=1,IF(COUNTIF(Q$28:Q$32,"=1")&gt;=2,TRUE))</formula>
    </cfRule>
  </conditionalFormatting>
  <conditionalFormatting sqref="AF7:AF31">
    <cfRule type="expression" dxfId="2758" priority="156">
      <formula>AND(AE7="",COUNTIF(AF7,"*,*")=0)</formula>
    </cfRule>
  </conditionalFormatting>
  <conditionalFormatting sqref="J321:J326">
    <cfRule type="duplicateValues" dxfId="2757" priority="90"/>
  </conditionalFormatting>
  <conditionalFormatting sqref="I321:I326">
    <cfRule type="expression" dxfId="2756" priority="86">
      <formula>AND(R321=4,IF(COUNTIF(R$7:R$12,"=4")&gt;=2,TRUE))</formula>
    </cfRule>
    <cfRule type="expression" dxfId="2755" priority="87">
      <formula>AND(R321=3,IF(COUNTIF(R$7:R$12,"=3")&gt;=2,TRUE))</formula>
    </cfRule>
    <cfRule type="expression" dxfId="2754" priority="88">
      <formula>AND(R321=2,IF(COUNTIF(R$7:R$12,"=2")&gt;=2,TRUE))</formula>
    </cfRule>
    <cfRule type="expression" dxfId="2753" priority="89">
      <formula>AND(R321=1,IF(COUNTIF(R$7:R$12,"=1")&gt;=2,TRUE))</formula>
    </cfRule>
  </conditionalFormatting>
  <conditionalFormatting sqref="M321:M326">
    <cfRule type="expression" dxfId="2752" priority="53">
      <formula>L321=0</formula>
    </cfRule>
    <cfRule type="expression" dxfId="2751" priority="91">
      <formula>IF(COUNTIF(K$7:K$12,"=2")=2,TRUE)</formula>
    </cfRule>
    <cfRule type="expression" dxfId="2750" priority="92">
      <formula>IF(COUNTIF(K$7:K$12,"=1")=2,TRUE)</formula>
    </cfRule>
    <cfRule type="expression" dxfId="2749" priority="93">
      <formula>AND(IF(COUNTIF(R$7:R$12,"=1")=2,TRUE),IF(COUNTIF(R$7:R$12,"=2")=2,TRUE))</formula>
    </cfRule>
    <cfRule type="expression" dxfId="2748" priority="94">
      <formula>AND(R321=4,IF(COUNTIF(R$7:R$12,"=4")=1,TRUE))</formula>
    </cfRule>
    <cfRule type="expression" dxfId="2747" priority="95">
      <formula>AND(R321=3,IF(COUNTIF(R$7:R$12,"=3")=1,TRUE))</formula>
    </cfRule>
    <cfRule type="expression" dxfId="2746" priority="96">
      <formula>AND(R321=2,IF(COUNTIF(R$7:R$12,"=2")=1,TRUE))</formula>
    </cfRule>
    <cfRule type="expression" dxfId="2745" priority="97">
      <formula>AND(R321=1,IF(COUNTIF(R$7:R$12,"=1")=1,TRUE))</formula>
    </cfRule>
    <cfRule type="expression" dxfId="2744" priority="98">
      <formula>OR(R321=0,R321=5)</formula>
    </cfRule>
  </conditionalFormatting>
  <conditionalFormatting sqref="C322 D321">
    <cfRule type="aboveAverage" dxfId="2743" priority="85"/>
  </conditionalFormatting>
  <conditionalFormatting sqref="C323 E321">
    <cfRule type="aboveAverage" dxfId="2742" priority="84"/>
  </conditionalFormatting>
  <conditionalFormatting sqref="D323 E322">
    <cfRule type="aboveAverage" dxfId="2741" priority="83"/>
  </conditionalFormatting>
  <conditionalFormatting sqref="D324 F322">
    <cfRule type="aboveAverage" dxfId="2740" priority="81"/>
  </conditionalFormatting>
  <conditionalFormatting sqref="C325 G321">
    <cfRule type="aboveAverage" dxfId="2739" priority="79"/>
  </conditionalFormatting>
  <conditionalFormatting sqref="E324 F323">
    <cfRule type="aboveAverage" dxfId="2738" priority="80"/>
  </conditionalFormatting>
  <conditionalFormatting sqref="D325 G322">
    <cfRule type="aboveAverage" dxfId="2737" priority="78"/>
  </conditionalFormatting>
  <conditionalFormatting sqref="G323 E325">
    <cfRule type="aboveAverage" dxfId="2736" priority="77"/>
  </conditionalFormatting>
  <conditionalFormatting sqref="F325 G324">
    <cfRule type="aboveAverage" dxfId="2735" priority="76"/>
  </conditionalFormatting>
  <conditionalFormatting sqref="C326 H321">
    <cfRule type="aboveAverage" dxfId="2734" priority="75"/>
  </conditionalFormatting>
  <conditionalFormatting sqref="D326 H322">
    <cfRule type="aboveAverage" dxfId="2733" priority="74"/>
  </conditionalFormatting>
  <conditionalFormatting sqref="E326 H323">
    <cfRule type="aboveAverage" dxfId="2732" priority="73"/>
  </conditionalFormatting>
  <conditionalFormatting sqref="F326 H324">
    <cfRule type="aboveAverage" dxfId="2731" priority="72"/>
  </conditionalFormatting>
  <conditionalFormatting sqref="G326 H325">
    <cfRule type="aboveAverage" dxfId="2730" priority="71"/>
  </conditionalFormatting>
  <conditionalFormatting sqref="C324 F321">
    <cfRule type="aboveAverage" dxfId="2729" priority="82"/>
  </conditionalFormatting>
  <conditionalFormatting sqref="P321:P326">
    <cfRule type="expression" dxfId="2728" priority="70">
      <formula>OR(AND(K321=1,L321=1,M321=0,N321=1),AND(K321=2,L321=2,M321=0,N321=2))</formula>
    </cfRule>
  </conditionalFormatting>
  <conditionalFormatting sqref="N321:N326">
    <cfRule type="expression" dxfId="2727" priority="63">
      <formula>AND(M321&gt;0,IF(COUNTIF(M$7:M$12,M321)&gt;1,TRUE,FALSE))</formula>
    </cfRule>
    <cfRule type="expression" dxfId="2726" priority="64">
      <formula>AND(IF(COUNTIF(S$7:S$12,"=1")=2,TRUE),IF(COUNTIF(S$7:S$12,"=2")=2,TRUE))</formula>
    </cfRule>
    <cfRule type="expression" dxfId="2725" priority="65">
      <formula>AND(S321=4,IF(COUNTIF(S$7:S$12,"=4")=1,TRUE))</formula>
    </cfRule>
    <cfRule type="expression" dxfId="2724" priority="66">
      <formula>AND(S321=3,IF(COUNTIF(S$7:S$12,"=3")=1,TRUE))</formula>
    </cfRule>
    <cfRule type="expression" dxfId="2723" priority="67">
      <formula>AND(S321=2,IF(COUNTIF(S$7:S$12,"=2")=1,TRUE))</formula>
    </cfRule>
    <cfRule type="expression" dxfId="2722" priority="68">
      <formula>AND(S321=1,IF(COUNTIF(S$7:S$12,"=1")=1,TRUE))</formula>
    </cfRule>
    <cfRule type="expression" dxfId="2721" priority="69">
      <formula>OR(S321=0,S321=5)</formula>
    </cfRule>
  </conditionalFormatting>
  <conditionalFormatting sqref="L321:L326">
    <cfRule type="expression" dxfId="2720" priority="54">
      <formula>AND(K321&gt;0,IF(COUNTIF(K$7:K$12,"=1")=2,TRUE),IF(COUNTIF(K$7:K$12,"=2")=2,TRUE))</formula>
    </cfRule>
    <cfRule type="expression" dxfId="2719" priority="55">
      <formula>IF(COUNTIF(M$7:M$12,"=2")=2,TRUE)</formula>
    </cfRule>
    <cfRule type="expression" dxfId="2718" priority="56">
      <formula>IF(COUNTIF(M$7:M$12,"=1")=2,TRUE)</formula>
    </cfRule>
    <cfRule type="expression" dxfId="2717" priority="57">
      <formula>AND(IF(COUNTIF(S$7:S$12,"=1")=2,TRUE),IF(COUNTIF(S$7:S$12,"=2")=2,TRUE))</formula>
    </cfRule>
    <cfRule type="expression" dxfId="2716" priority="58">
      <formula>AND(S321=4,IF(COUNTIF(S$7:S$12,"=4")=1,TRUE))</formula>
    </cfRule>
    <cfRule type="expression" dxfId="2715" priority="59">
      <formula>AND(S321=3,IF(COUNTIF(S$7:S$12,"=3")=1,TRUE))</formula>
    </cfRule>
    <cfRule type="expression" dxfId="2714" priority="60">
      <formula>AND(S321=2,IF(COUNTIF(S$7:S$12,"=2")=1,TRUE))</formula>
    </cfRule>
    <cfRule type="expression" dxfId="2713" priority="61">
      <formula>AND(S321=1,IF(COUNTIF(S$7:S$12,"=1")=1,TRUE))</formula>
    </cfRule>
    <cfRule type="expression" dxfId="2712" priority="62">
      <formula>OR(S321=0,S321=5)</formula>
    </cfRule>
  </conditionalFormatting>
  <conditionalFormatting sqref="K321:K326">
    <cfRule type="expression" dxfId="2711" priority="49">
      <formula>AND(R321=4,IF(COUNTIF(R$7:R$12,"=4")&gt;=2,TRUE))</formula>
    </cfRule>
    <cfRule type="expression" dxfId="2710" priority="50">
      <formula>AND(R321=3,IF(COUNTIF(R$7:R$12,"=3")&gt;=2,TRUE))</formula>
    </cfRule>
    <cfRule type="expression" dxfId="2709" priority="51">
      <formula>AND(R321=2,IF(COUNTIF(R$7:R$12,"=2")&gt;=2,TRUE))</formula>
    </cfRule>
    <cfRule type="expression" dxfId="2708" priority="52">
      <formula>AND(R321=1,IF(COUNTIF(R$7:R$12,"=1")&gt;=2,TRUE))</formula>
    </cfRule>
  </conditionalFormatting>
  <conditionalFormatting sqref="B321">
    <cfRule type="duplicateValues" dxfId="2707" priority="48"/>
  </conditionalFormatting>
  <conditionalFormatting sqref="B322">
    <cfRule type="duplicateValues" dxfId="2706" priority="47"/>
  </conditionalFormatting>
  <conditionalFormatting sqref="B323">
    <cfRule type="duplicateValues" dxfId="2705" priority="46"/>
  </conditionalFormatting>
  <conditionalFormatting sqref="B324">
    <cfRule type="duplicateValues" dxfId="2704" priority="45"/>
  </conditionalFormatting>
  <conditionalFormatting sqref="B325">
    <cfRule type="duplicateValues" dxfId="2703" priority="44"/>
  </conditionalFormatting>
  <conditionalFormatting sqref="B326">
    <cfRule type="duplicateValues" dxfId="2702" priority="43"/>
  </conditionalFormatting>
  <conditionalFormatting sqref="B329:B334">
    <cfRule type="expression" dxfId="2701" priority="26">
      <formula>A329=3</formula>
    </cfRule>
    <cfRule type="expression" dxfId="2700" priority="27">
      <formula>A329=2</formula>
    </cfRule>
    <cfRule type="expression" dxfId="2699" priority="28">
      <formula>A329=1</formula>
    </cfRule>
    <cfRule type="containsBlanks" dxfId="2698" priority="29">
      <formula>LEN(TRIM(B329))=0</formula>
    </cfRule>
    <cfRule type="duplicateValues" dxfId="2697" priority="30"/>
  </conditionalFormatting>
  <conditionalFormatting sqref="B300:B314">
    <cfRule type="expression" dxfId="2696" priority="997">
      <formula>A300=3</formula>
    </cfRule>
    <cfRule type="expression" dxfId="2695" priority="998">
      <formula>A300=2</formula>
    </cfRule>
    <cfRule type="expression" dxfId="2694" priority="999">
      <formula>A300=1</formula>
    </cfRule>
    <cfRule type="containsBlanks" dxfId="2693" priority="1000">
      <formula>LEN(TRIM(B300))=0</formula>
    </cfRule>
    <cfRule type="duplicateValues" dxfId="2692" priority="1001"/>
  </conditionalFormatting>
  <conditionalFormatting sqref="AD32:AF60">
    <cfRule type="expression" dxfId="2691" priority="9">
      <formula>AND(AC32="",COUNTIF(AD32,"*,*")=0)</formula>
    </cfRule>
  </conditionalFormatting>
  <conditionalFormatting sqref="I28:I32">
    <cfRule type="expression" dxfId="2690" priority="3">
      <formula>FIND(2,I28,1)</formula>
    </cfRule>
    <cfRule type="expression" dxfId="2689" priority="4">
      <formula>FIND(1,I28,1)</formula>
    </cfRule>
  </conditionalFormatting>
  <conditionalFormatting sqref="I21:I25">
    <cfRule type="expression" dxfId="2688" priority="5">
      <formula>FIND(2,I21,1)</formula>
    </cfRule>
    <cfRule type="expression" dxfId="2687" priority="6">
      <formula>FIND(1,I21,1)</formula>
    </cfRule>
  </conditionalFormatting>
  <conditionalFormatting sqref="I7:I11">
    <cfRule type="expression" dxfId="2686" priority="7">
      <formula>FIND(2,I7,1)</formula>
    </cfRule>
    <cfRule type="expression" dxfId="2685" priority="8">
      <formula>FIND(1,I7,1)</formula>
    </cfRule>
  </conditionalFormatting>
  <conditionalFormatting sqref="I14:I18">
    <cfRule type="expression" dxfId="2684" priority="1">
      <formula>FIND(2,I14,1)</formula>
    </cfRule>
    <cfRule type="expression" dxfId="2683" priority="2">
      <formula>FIND(1,I14,1)</formula>
    </cfRule>
  </conditionalFormatting>
  <pageMargins left="0.78740157480314965" right="0.39370078740157483" top="0.78740157480314965" bottom="0.39370078740157483" header="0.78740157480314965" footer="0"/>
  <pageSetup paperSize="9" fitToHeight="0" orientation="landscape" verticalDpi="1200" r:id="rId1"/>
  <headerFooter>
    <oddHeader>&amp;R&amp;P. leht &amp;N&amp; -st</oddHeader>
  </headerFooter>
  <rowBreaks count="3" manualBreakCount="3">
    <brk id="98" max="16383" man="1"/>
    <brk id="136" max="16383" man="1"/>
    <brk id="297" max="16383"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FF99"/>
    <pageSetUpPr fitToPage="1"/>
  </sheetPr>
  <dimension ref="A1:AP304"/>
  <sheetViews>
    <sheetView showGridLines="0" showRowColHeaders="0" workbookViewId="0">
      <pane ySplit="1" topLeftCell="A2" activePane="bottomLeft" state="frozen"/>
      <selection pane="bottomLeft" activeCell="A5" sqref="A5"/>
    </sheetView>
  </sheetViews>
  <sheetFormatPr defaultRowHeight="12.75" x14ac:dyDescent="0.2"/>
  <cols>
    <col min="1" max="1" width="3.28515625" style="1" customWidth="1"/>
    <col min="2" max="2" width="44.7109375" style="1" bestFit="1" customWidth="1"/>
    <col min="3" max="7" width="7.7109375" style="1" customWidth="1"/>
    <col min="8" max="9" width="6.7109375" style="1" customWidth="1"/>
    <col min="10" max="15" width="5.5703125" style="1" customWidth="1"/>
    <col min="16" max="20" width="0" style="1" hidden="1" customWidth="1"/>
    <col min="21" max="21" width="9.140625" style="1"/>
    <col min="22" max="28" width="0" style="1" hidden="1" customWidth="1"/>
    <col min="29" max="29" width="9.140625" style="1"/>
    <col min="30" max="31" width="9.140625" style="1" hidden="1" customWidth="1"/>
    <col min="32" max="32" width="12.85546875" style="1" hidden="1" customWidth="1"/>
    <col min="33" max="33" width="9.140625" style="1" hidden="1" customWidth="1"/>
    <col min="34" max="34" width="32" style="1" hidden="1" customWidth="1"/>
    <col min="35" max="35" width="9.140625" style="1" hidden="1" customWidth="1"/>
    <col min="36" max="36" width="17.28515625" style="1" hidden="1" customWidth="1"/>
    <col min="37" max="37" width="9.140625" style="1" hidden="1" customWidth="1"/>
    <col min="38" max="38" width="14.85546875" style="1" hidden="1" customWidth="1"/>
    <col min="39" max="39" width="9.140625" style="1" hidden="1" customWidth="1"/>
    <col min="40" max="40" width="17.28515625" style="1" hidden="1" customWidth="1"/>
    <col min="41" max="41" width="9.140625" style="1" hidden="1" customWidth="1"/>
    <col min="42" max="42" width="13.85546875" style="1" hidden="1" customWidth="1"/>
    <col min="43" max="16384" width="9.140625" style="1"/>
  </cols>
  <sheetData>
    <row r="1" spans="1:42" x14ac:dyDescent="0.2">
      <c r="A1" s="400" t="str">
        <f>UPPER((Kalend!E20)&amp;" - "&amp;(Kalend!C20))&amp;" - "&amp;LOWER(Kalend!D20)&amp;" - "&amp;(Kalend!A20)&amp;" kell "&amp;(Kalend!B20)&amp;" - "&amp;(Kalend!F20)</f>
        <v>VI-T - VIRU SK LIIKMETE SISE-MV - loositrio - P, 12.01.2020 kell 11:00 - Voka petangihall</v>
      </c>
      <c r="C1" s="271"/>
      <c r="D1" s="271"/>
      <c r="E1" s="271"/>
      <c r="F1" s="271"/>
      <c r="G1" s="408"/>
      <c r="L1" s="70"/>
      <c r="M1" s="543"/>
      <c r="N1" s="543"/>
      <c r="P1" s="447" t="s">
        <v>94</v>
      </c>
      <c r="Q1" s="448"/>
      <c r="R1" s="448"/>
      <c r="S1" s="448"/>
      <c r="T1" s="448"/>
      <c r="U1" s="70"/>
      <c r="V1" s="70"/>
      <c r="W1" s="271"/>
      <c r="X1" s="291"/>
      <c r="Y1" s="271"/>
      <c r="Z1" s="271"/>
      <c r="AA1" s="271"/>
      <c r="AD1" s="152" t="s">
        <v>94</v>
      </c>
      <c r="AE1" s="402"/>
      <c r="AF1" s="402"/>
      <c r="AG1" s="402"/>
      <c r="AH1" s="402"/>
      <c r="AI1" s="402"/>
      <c r="AJ1" s="402"/>
      <c r="AK1" s="402"/>
      <c r="AL1" s="402"/>
      <c r="AM1" s="402"/>
      <c r="AN1" s="402"/>
      <c r="AO1" s="532"/>
      <c r="AP1" s="532"/>
    </row>
    <row r="2" spans="1:42" hidden="1" x14ac:dyDescent="0.2">
      <c r="A2" s="271"/>
      <c r="B2" s="271"/>
      <c r="C2" s="271"/>
      <c r="D2" s="271"/>
      <c r="E2" s="271"/>
      <c r="F2" s="271"/>
      <c r="G2" s="271"/>
      <c r="H2" s="271"/>
      <c r="I2" s="271"/>
      <c r="K2" s="415"/>
      <c r="M2" s="409"/>
      <c r="N2" s="409"/>
      <c r="O2" s="271"/>
      <c r="P2" s="271"/>
      <c r="Q2" s="271"/>
      <c r="R2" s="271"/>
      <c r="S2" s="271"/>
      <c r="T2" s="409"/>
      <c r="U2" s="409"/>
      <c r="V2" s="409"/>
      <c r="W2" s="271"/>
      <c r="X2" s="271"/>
      <c r="Y2" s="271"/>
      <c r="Z2" s="271"/>
      <c r="AD2" s="271"/>
      <c r="AE2" s="271"/>
      <c r="AF2" s="271"/>
      <c r="AG2" s="271"/>
      <c r="AH2" s="271"/>
      <c r="AI2" s="271"/>
      <c r="AJ2" s="412"/>
      <c r="AK2" s="271"/>
      <c r="AL2" s="271"/>
      <c r="AM2" s="271"/>
      <c r="AN2" s="271"/>
    </row>
    <row r="3" spans="1:42" hidden="1" x14ac:dyDescent="0.2">
      <c r="A3" s="271"/>
      <c r="B3" s="271"/>
      <c r="C3" s="271"/>
      <c r="D3" s="271"/>
      <c r="E3" s="271"/>
      <c r="F3" s="271"/>
      <c r="G3" s="271"/>
      <c r="H3" s="271"/>
      <c r="I3" s="271"/>
      <c r="J3" s="141"/>
      <c r="K3" s="415"/>
      <c r="L3" s="70"/>
      <c r="M3" s="409"/>
      <c r="N3" s="409"/>
      <c r="O3" s="271"/>
      <c r="P3" s="271"/>
      <c r="Q3" s="271"/>
      <c r="R3" s="271"/>
      <c r="S3" s="271"/>
      <c r="T3" s="409"/>
      <c r="U3" s="409"/>
      <c r="V3" s="409"/>
      <c r="W3" s="271"/>
      <c r="X3" s="271"/>
      <c r="Y3" s="271"/>
      <c r="Z3" s="271"/>
      <c r="AA3" s="271"/>
      <c r="AE3" s="271"/>
      <c r="AG3" s="271"/>
      <c r="AH3" s="271"/>
      <c r="AI3" s="271"/>
      <c r="AJ3" s="271"/>
      <c r="AK3" s="271"/>
      <c r="AL3" s="271"/>
      <c r="AM3" s="271"/>
      <c r="AN3" s="271"/>
    </row>
    <row r="4" spans="1:42" hidden="1" x14ac:dyDescent="0.2">
      <c r="A4" s="271"/>
      <c r="B4" s="271"/>
      <c r="C4" s="271"/>
      <c r="D4" s="271"/>
      <c r="E4" s="271"/>
      <c r="F4" s="271"/>
      <c r="G4" s="271"/>
      <c r="H4" s="271"/>
      <c r="I4" s="271"/>
      <c r="J4" s="141"/>
      <c r="K4" s="415"/>
      <c r="L4" s="312"/>
      <c r="M4" s="271"/>
      <c r="N4" s="271"/>
      <c r="O4" s="271"/>
      <c r="P4" s="271"/>
      <c r="Q4" s="271"/>
      <c r="R4" s="271"/>
      <c r="S4" s="271"/>
      <c r="T4" s="271"/>
      <c r="U4" s="271"/>
      <c r="V4" s="271"/>
      <c r="W4" s="271"/>
      <c r="X4" s="271"/>
      <c r="Y4" s="271"/>
      <c r="Z4" s="271"/>
      <c r="AA4" s="271"/>
      <c r="AE4" s="409"/>
      <c r="AF4" s="409"/>
      <c r="AG4" s="409"/>
      <c r="AH4" s="376"/>
      <c r="AI4" s="409"/>
      <c r="AJ4" s="409"/>
      <c r="AK4" s="409"/>
      <c r="AL4" s="409"/>
      <c r="AM4" s="409"/>
      <c r="AN4" s="409"/>
      <c r="AO4" s="409"/>
      <c r="AP4" s="409"/>
    </row>
    <row r="5" spans="1:42" x14ac:dyDescent="0.2">
      <c r="F5" s="271"/>
      <c r="G5" s="53"/>
      <c r="H5" s="53"/>
      <c r="I5" s="53"/>
      <c r="J5" s="53"/>
      <c r="K5" s="53"/>
      <c r="L5" s="312"/>
      <c r="M5" s="271"/>
      <c r="N5" s="967" t="s">
        <v>476</v>
      </c>
      <c r="O5" s="271"/>
      <c r="P5" s="271"/>
      <c r="Q5" s="271"/>
      <c r="R5" s="271"/>
      <c r="S5" s="271"/>
      <c r="T5" s="271"/>
      <c r="U5" s="271"/>
      <c r="V5" s="271"/>
      <c r="W5" s="271"/>
      <c r="X5" s="271"/>
      <c r="Y5" s="271"/>
      <c r="Z5" s="271"/>
      <c r="AA5" s="271"/>
      <c r="AC5" s="271"/>
      <c r="AD5" s="964" t="s">
        <v>214</v>
      </c>
    </row>
    <row r="6" spans="1:42" x14ac:dyDescent="0.2">
      <c r="A6" s="316"/>
      <c r="B6" s="466"/>
      <c r="C6" s="467">
        <v>1</v>
      </c>
      <c r="D6" s="467">
        <v>2</v>
      </c>
      <c r="E6" s="467">
        <v>3</v>
      </c>
      <c r="F6" s="467">
        <v>4</v>
      </c>
      <c r="G6" s="467">
        <v>5</v>
      </c>
      <c r="H6" s="467" t="s">
        <v>168</v>
      </c>
      <c r="I6" s="275" t="s">
        <v>169</v>
      </c>
      <c r="J6" s="469" t="s">
        <v>257</v>
      </c>
      <c r="K6" s="470" t="s">
        <v>258</v>
      </c>
      <c r="L6" s="471" t="s">
        <v>259</v>
      </c>
      <c r="M6" s="471" t="s">
        <v>260</v>
      </c>
      <c r="N6" s="472" t="s">
        <v>170</v>
      </c>
      <c r="O6" s="472" t="s">
        <v>170</v>
      </c>
      <c r="P6" s="473" t="s">
        <v>261</v>
      </c>
      <c r="Q6" s="474" t="s">
        <v>21</v>
      </c>
      <c r="R6" s="474" t="b">
        <f>OR(AND(COUNTA(B7:B11)=3,COUNTA(C7:G11)=6),AND(COUNTA(B7:B11)=4,COUNTA(C7:G11)=12),AND(COUNTA(B7:B11)=5,COUNTA(C7:G11)=20))</f>
        <v>1</v>
      </c>
      <c r="S6" s="475" t="s">
        <v>262</v>
      </c>
      <c r="T6" s="476" t="s">
        <v>263</v>
      </c>
      <c r="U6" s="477"/>
      <c r="V6" s="477"/>
      <c r="W6" s="477"/>
      <c r="X6" s="477"/>
      <c r="Y6" s="477"/>
      <c r="Z6" s="477"/>
      <c r="AA6" s="477"/>
      <c r="AB6" s="477"/>
      <c r="AC6" s="478"/>
      <c r="AD6" s="272" t="s">
        <v>370</v>
      </c>
      <c r="AE6" s="273"/>
      <c r="AF6" s="273" t="s">
        <v>249</v>
      </c>
      <c r="AG6" s="273"/>
      <c r="AH6" s="403" t="s">
        <v>250</v>
      </c>
      <c r="AI6" s="273"/>
      <c r="AJ6" s="273" t="s">
        <v>251</v>
      </c>
      <c r="AK6" s="274"/>
      <c r="AL6" s="273" t="s">
        <v>252</v>
      </c>
      <c r="AM6" s="274"/>
      <c r="AN6" s="274" t="s">
        <v>472</v>
      </c>
      <c r="AO6" s="945"/>
      <c r="AP6" s="274" t="s">
        <v>473</v>
      </c>
    </row>
    <row r="7" spans="1:42" x14ac:dyDescent="0.2">
      <c r="A7" s="316">
        <v>1</v>
      </c>
      <c r="B7" s="479" t="s">
        <v>468</v>
      </c>
      <c r="C7" s="319"/>
      <c r="D7" s="318">
        <v>5</v>
      </c>
      <c r="E7" s="318">
        <v>2</v>
      </c>
      <c r="F7" s="318">
        <v>13</v>
      </c>
      <c r="G7" s="534">
        <v>13</v>
      </c>
      <c r="H7" s="317" t="str">
        <f>(IF(D7-C8&gt;0,1)+IF(E7-C9&gt;0,1)+IF(F7-C10&gt;0,1)+IF(G7-C11&gt;0,1))&amp;"-"&amp;(IF(D7-C8&lt;0,1)+IF(E7-C9&lt;0,1)+IF(F7-C10&lt;0,1)+IF(G7-C11&lt;0,1))</f>
        <v>2-2</v>
      </c>
      <c r="I7" s="318" t="str">
        <f>IF(AND(B7&lt;&gt;"",R$6=TRUE),A$6&amp;RANK(S7,S$7:S$11,0)," ")</f>
        <v>3</v>
      </c>
      <c r="J7" s="480">
        <f>IF(AND(Q7=1,Q8=1,D7&gt;C8),1)+IF(AND(Q7=1,Q9=1,E7&gt;C9),1)+IF(AND(Q7=1,Q10=1,F7&gt;C10),1)+IF(AND(Q7=1,Q11=1,G7&gt;C11),1)+IF(AND(Q7=2,Q8=2,D7&gt;C8),1)+IF(AND(Q7=2,Q9=2,E7&gt;C9),1)+IF(AND(Q7=2,Q10=2,F7&gt;C10),1)+IF(AND(Q7=2,Q11=2,G7&gt;C11),1)+IF(AND(Q7=3,Q8=3,D7&gt;C8),1)+IF(AND(Q7=3,Q9=3,E7&gt;C9),1)+IF(AND(Q7=3,Q10=3,F7&gt;C10),1)+IF(AND(Q7=3,Q11=3,G7&gt;C11),1)</f>
        <v>1</v>
      </c>
      <c r="K7" s="481">
        <f>SUM(AND(T7=T8,D7&gt;C8),AND(T7=T9,E7&gt;C9),AND(T7=T10,F7&gt;C10),AND(T7=T11,G7&gt;C11))</f>
        <v>0</v>
      </c>
      <c r="L7" s="482">
        <f>IF(AND(Q7=1,Q8=1),D7-C8)+IF(AND(Q7=1,Q9=1),E7-C9)+IF(AND(Q7=1,Q10=1),F7-C10)+IF(AND(Q7=1,Q11=1),G7-C11)+IF(AND(Q7=2,Q8=2),D7-C8)+IF(AND(Q7=2,Q9=2),E7-C9)+IF(AND(Q7=2,Q10=2),F7-C10)+IF(AND(Q7=2,Q11=2),G7-C11)+IF(AND(Q7=3,Q8=3),D7-C8)+IF(AND(Q7=3,Q9=3),E7-C9)+IF(AND(Q7=3,Q10=3),F7-C10)+IF(AND(Q7=3,Q11=3),G7-C11)+IF(AND(Q7=4,Q8=4),D7-C8)+IF(AND(Q7=4,Q9=4),E7-C9)+IF(AND(Q7=4,Q10=4),F7-C10)+IF(AND(Q7=4,Q11=4),G7-C11)</f>
        <v>11</v>
      </c>
      <c r="M7" s="483">
        <f>SUM(AND(R7=R8,D7&gt;C8),AND(R7=R9,E7&gt;C9),AND(R7=R10,F7&gt;C10),AND(R7=R11,G7&gt;C11))</f>
        <v>0</v>
      </c>
      <c r="N7" s="537" t="str">
        <f>SUM(C7:G7)&amp;"-"&amp;SUM(C7:C11)</f>
        <v>33-39</v>
      </c>
      <c r="O7" s="538">
        <f>D7+E7+F7+G7-C8-C9-C10-C11</f>
        <v>-6</v>
      </c>
      <c r="P7" s="485">
        <f>SUM(C7:G7,C7:C11)/SUM(C7:C11)</f>
        <v>1.8461538461538463</v>
      </c>
      <c r="Q7" s="320">
        <f>VALUE(LEFT(H7,1))</f>
        <v>2</v>
      </c>
      <c r="R7" s="321">
        <f>Q7*100000+J7*10000+K7*1000+100*L7</f>
        <v>211100</v>
      </c>
      <c r="S7" s="486">
        <f>R7+M7*0.1+IF(ISNONTEXT(B7),0,0.01)+0.0001*O7</f>
        <v>211100.00940000001</v>
      </c>
      <c r="T7" s="487" t="str">
        <f>Q7&amp;J7</f>
        <v>21</v>
      </c>
      <c r="U7" s="477"/>
      <c r="V7" s="477"/>
      <c r="W7" s="477"/>
      <c r="X7" s="477"/>
      <c r="Y7" s="477"/>
      <c r="Z7" s="477"/>
      <c r="AA7" s="477"/>
      <c r="AB7" s="477"/>
      <c r="AC7" s="477"/>
      <c r="AD7" s="405">
        <f>SUM(AE7:AP7)</f>
        <v>403</v>
      </c>
      <c r="AE7" s="406">
        <f>IFERROR(INDEX(V!$R:$R,MATCH(AF7,V!$L:$L,0)),"")</f>
        <v>104</v>
      </c>
      <c r="AF7" s="407" t="str">
        <f>IFERROR(LEFT($B7,(FIND(",",$B7,1)-1)),"")</f>
        <v>Andres Veski</v>
      </c>
      <c r="AG7" s="406" t="str">
        <f>IFERROR(INDEX(V!$R:$R,MATCH(AH7,V!$L:$L,0)),"")</f>
        <v/>
      </c>
      <c r="AH7" s="407" t="str">
        <f>IFERROR(MID($B7,FIND(", ",$B7)+2,256),"")</f>
        <v>Kenneth Muusikus, Ljudmila Varendi</v>
      </c>
      <c r="AI7" s="406">
        <f>IFERROR(INDEX(V!$R:$R,MATCH(AJ7,V!$L:$L,0)),"")</f>
        <v>187</v>
      </c>
      <c r="AJ7" s="407" t="str">
        <f>IFERROR(MID($B7,FIND("^",SUBSTITUTE($B7,", ","^",1))+2,FIND("^",SUBSTITUTE($B7,", ","^",2))-FIND("^",SUBSTITUTE($B7,", ","^",1))-2),"")</f>
        <v>Kenneth Muusikus</v>
      </c>
      <c r="AK7" s="406">
        <f>IFERROR(INDEX(V!$R:$R,MATCH(AL7,V!$L:$L,0)),"")</f>
        <v>112</v>
      </c>
      <c r="AL7" s="407" t="str">
        <f>IFERROR(MID($B7,FIND(", ",$B7,FIND(", ",$B7,FIND(", ",$B7))+1)+2,30000),"")</f>
        <v>Ljudmila Varendi</v>
      </c>
      <c r="AM7" s="406" t="str">
        <f>IFERROR(INDEX(V!$R:$R,MATCH(AN7,V!$L:$L,0)),"")</f>
        <v/>
      </c>
      <c r="AN7" s="407" t="str">
        <f>IFERROR(MID($B7,FIND(", ",$B7,FIND(", ",$B7)+1)+2,FIND(", ",$B7,FIND(", ",$B7,FIND(", ",$B7)+1)+1)-FIND(", ",$B7,FIND(", ",$B7)+1)-2),"")</f>
        <v/>
      </c>
      <c r="AO7" s="406" t="str">
        <f>IFERROR(INDEX(V!$R:$R,MATCH(AP7,V!$L:$L,0)),"")</f>
        <v/>
      </c>
      <c r="AP7" s="407" t="str">
        <f>IFERROR(MID($B7,FIND(", ",$B7,FIND(", ",$B7,FIND(", ",$B7)+1)+1)+2,30000),"")</f>
        <v/>
      </c>
    </row>
    <row r="8" spans="1:42" x14ac:dyDescent="0.2">
      <c r="A8" s="316">
        <v>2</v>
      </c>
      <c r="B8" s="488" t="s">
        <v>469</v>
      </c>
      <c r="C8" s="318">
        <v>13</v>
      </c>
      <c r="D8" s="319"/>
      <c r="E8" s="545">
        <v>13</v>
      </c>
      <c r="F8" s="318">
        <v>13</v>
      </c>
      <c r="G8" s="318">
        <v>9</v>
      </c>
      <c r="H8" s="317" t="str">
        <f>(IF(C8-D7&gt;0,1)+IF(E8-D9&gt;0,1)+IF(F8-D10&gt;0,1)+IF(G8-D11&gt;0,1))&amp;"-"&amp;(IF(C8-D7&lt;0,1)+IF(E8-D9&lt;0,1)+IF(F8-D10&lt;0,1)+IF(G8-D11&lt;0,1))</f>
        <v>3-1</v>
      </c>
      <c r="I8" s="318" t="str">
        <f>IF(AND(B8&lt;&gt;"",R$6=TRUE),A$6&amp;RANK(S8,S$7:S$11,0)," ")</f>
        <v>1</v>
      </c>
      <c r="J8" s="489">
        <f>IF(AND(Q8=1,Q7=1,C8&gt;D7),1)+IF(AND(Q8=1,Q9=1,E8&gt;D9),1)+IF(AND(Q8=1,Q10=1,F8&gt;D10),1)+IF(AND(Q8=1,Q11=1,G8&gt;D11),1)+IF(AND(Q8=2,Q7=2,C8&gt;D7),1)+IF(AND(Q8=2,Q9=2,E8&gt;D9),1)+IF(AND(Q8=2,Q10=2,F8&gt;D10),1)+IF(AND(Q8=2,Q11=2,G8&gt;D11),1)+IF(AND(Q8=3,Q7=3,C8&gt;D7),1)+IF(AND(Q8=3,Q9=3,E8&gt;D9),1)+IF(AND(Q8=3,Q10=3,F8&gt;D10),1)+IF(AND(Q8=3,Q11=3,G8&gt;D11),1)</f>
        <v>1</v>
      </c>
      <c r="K8" s="483">
        <f>SUM(AND(T8=T7,C8&gt;D7),AND(T8=T9,E8&gt;D9),AND(T8=T10,F8&gt;D10),AND(T8=T11,G8&gt;D11))</f>
        <v>0</v>
      </c>
      <c r="L8" s="490">
        <f>IF(AND(Q8=1,Q7=1),C8-D7)+IF(AND(Q8=1,Q9=1),E8-D9)+IF(AND(Q8=1,Q10=1),F8-D10)+IF(AND(Q8=1,Q11=1),G8-D11)+IF(AND(Q8=2,Q7=2),C8-D7)+IF(AND(Q8=2,Q9=2),E8-D9)+IF(AND(Q8=2,Q10=2),F8-D10)+IF(AND(Q8=2,Q11=2),G8-D11)+IF(AND(Q8=3,Q7=3),C8-D7)+IF(AND(Q8=3,Q9=3),E8-D9)+IF(AND(Q8=3,Q10=3),F8-D10)+IF(AND(Q8=3,Q11=3),G8-D11)+IF(AND(Q8=4,Q7=4),C8-D7)+IF(AND(Q8=4,Q9=4),E8-D9)+IF(AND(Q8=4,Q10=4),F8-D10)+IF(AND(Q8=4,Q11=4),G8-D11)</f>
        <v>1</v>
      </c>
      <c r="M8" s="483">
        <f>SUM(AND(R8=R7,C8&gt;D7),AND(R8=R9,E8&gt;D9),AND(R8=R10,F8&gt;D10),AND(R8=R11,G8&gt;D11))</f>
        <v>0</v>
      </c>
      <c r="N8" s="537" t="str">
        <f>SUM(C8:G8)&amp;"-"&amp;SUM(D7:D11)</f>
        <v>48-39</v>
      </c>
      <c r="O8" s="538">
        <f>C8+E8+F8+G8-D7-D9-D10-D11</f>
        <v>9</v>
      </c>
      <c r="P8" s="485">
        <f>SUM(C8:G8,D7:D11)/SUM(D7:D11)</f>
        <v>2.2307692307692308</v>
      </c>
      <c r="Q8" s="491">
        <f>VALUE(LEFT(H8,1))</f>
        <v>3</v>
      </c>
      <c r="R8" s="321">
        <f>Q8*100000+J8*10000+K8*1000+100*L8</f>
        <v>310100</v>
      </c>
      <c r="S8" s="486">
        <f>R8+M8*0.1+IF(ISNONTEXT(B8),0,0.01)+0.0001*O8</f>
        <v>310100.01089999999</v>
      </c>
      <c r="T8" s="487" t="str">
        <f>Q8&amp;J8</f>
        <v>31</v>
      </c>
      <c r="U8" s="477"/>
      <c r="V8" s="477"/>
      <c r="W8" s="477"/>
      <c r="X8" s="477"/>
      <c r="Y8" s="477"/>
      <c r="Z8" s="477"/>
      <c r="AA8" s="477"/>
      <c r="AB8" s="477"/>
      <c r="AC8" s="485"/>
      <c r="AD8" s="405">
        <f t="shared" ref="AD8:AD11" si="0">SUM(AE8:AL8)</f>
        <v>298</v>
      </c>
      <c r="AE8" s="406">
        <f>IFERROR(INDEX(V!$R:$R,MATCH(AF8,V!$L:$L,0)),"")</f>
        <v>53</v>
      </c>
      <c r="AF8" s="407" t="str">
        <f t="shared" ref="AF8:AF11" si="1">IFERROR(LEFT($B8,(FIND(",",$B8,1)-1)),"")</f>
        <v>Aurelia Meldre</v>
      </c>
      <c r="AG8" s="406" t="str">
        <f>IFERROR(INDEX(V!$R:$R,MATCH(AH8,V!$L:$L,0)),"")</f>
        <v/>
      </c>
      <c r="AH8" s="407" t="str">
        <f t="shared" ref="AH8:AH11" si="2">IFERROR(MID($B8,FIND(", ",$B8)+2,256),"")</f>
        <v>Tõnu Piik, Ülo Piik</v>
      </c>
      <c r="AI8" s="406">
        <f>IFERROR(INDEX(V!$R:$R,MATCH(AJ8,V!$L:$L,0)),"")</f>
        <v>133.5</v>
      </c>
      <c r="AJ8" s="407" t="str">
        <f t="shared" ref="AJ8:AJ11" si="3">IFERROR(MID($B8,FIND("^",SUBSTITUTE($B8,", ","^",1))+2,FIND("^",SUBSTITUTE($B8,", ","^",2))-FIND("^",SUBSTITUTE($B8,", ","^",1))-2),"")</f>
        <v>Tõnu Piik</v>
      </c>
      <c r="AK8" s="406">
        <f>IFERROR(INDEX(V!$R:$R,MATCH(AL8,V!$L:$L,0)),"")</f>
        <v>111.5</v>
      </c>
      <c r="AL8" s="407" t="str">
        <f t="shared" ref="AL8:AL11" si="4">IFERROR(MID($B8,FIND(", ",$B8,FIND(", ",$B8,FIND(", ",$B8))+1)+2,30000),"")</f>
        <v>Ülo Piik</v>
      </c>
      <c r="AM8" s="406" t="str">
        <f>IFERROR(INDEX(V!$R:$R,MATCH(AN8,V!$L:$L,0)),"")</f>
        <v/>
      </c>
      <c r="AN8" s="407" t="str">
        <f t="shared" ref="AN8:AN11" si="5">IFERROR(MID($B8,FIND(", ",$B8,FIND(", ",$B8)+1)+2,FIND(", ",$B8,FIND(", ",$B8,FIND(", ",$B8)+1)+1)-FIND(", ",$B8,FIND(", ",$B8)+1)-2),"")</f>
        <v/>
      </c>
      <c r="AO8" s="406" t="str">
        <f>IFERROR(INDEX(V!$R:$R,MATCH(AP8,V!$L:$L,0)),"")</f>
        <v/>
      </c>
      <c r="AP8" s="407" t="str">
        <f t="shared" ref="AP8:AP11" si="6">IFERROR(MID($B8,FIND(", ",$B8,FIND(", ",$B8,FIND(", ",$B8)+1)+1)+2,30000),"")</f>
        <v/>
      </c>
    </row>
    <row r="9" spans="1:42" x14ac:dyDescent="0.2">
      <c r="A9" s="316">
        <v>3</v>
      </c>
      <c r="B9" s="488" t="s">
        <v>474</v>
      </c>
      <c r="C9" s="318">
        <v>13</v>
      </c>
      <c r="D9" s="946">
        <v>12</v>
      </c>
      <c r="E9" s="319"/>
      <c r="F9" s="318">
        <v>13</v>
      </c>
      <c r="G9" s="318">
        <v>13</v>
      </c>
      <c r="H9" s="317" t="str">
        <f>(IF(C9-E7&gt;0,1)+IF(D9-E8&gt;0,1)+IF(F9-E10&gt;0,1)+IF(G9-E11&gt;0,1))&amp;"-"&amp;(IF(C9-E7&lt;0,1)+IF(D9-E8&lt;0,1)+IF(F9-E10&lt;0,1)+IF(G9-E11&lt;0,1))</f>
        <v>3-1</v>
      </c>
      <c r="I9" s="318" t="str">
        <f>IF(AND(B9&lt;&gt;"",R$6=TRUE),A$6&amp;RANK(S9,S$7:S$11,0)," ")</f>
        <v>2</v>
      </c>
      <c r="J9" s="489">
        <f>IF(AND(Q9=1,Q7=1,C9&gt;E7),1)+IF(AND(Q9=1,Q8=1,D9&gt;E8),1)+IF(AND(Q9=1,Q10=1,F9&gt;E10),1)+IF(AND(Q9=1,Q11=1,G9&gt;E11),1)+IF(AND(Q9=2,Q7=2,C9&gt;E7),1)+IF(AND(Q9=2,Q8=2,D9&gt;E8),1)+IF(AND(Q9=2,Q10=2,F9&gt;E10),1)+IF(AND(Q9=2,Q11=2,G9&gt;E11),1)+IF(AND(Q9=3,Q7=3,C9&gt;E7),1)+IF(AND(Q9=3,Q8=3,D9&gt;E8),1)+IF(AND(Q9=3,Q10=3,F9&gt;E10),1)+IF(AND(Q9=3,Q11=3,G9&gt;E11),1)</f>
        <v>0</v>
      </c>
      <c r="K9" s="483">
        <f>SUM(AND(T9=T7,C9&gt;E7),AND(T9=T8,D9&gt;E8),AND(T9=T10,F9&gt;E10),AND(T9=T11,G9&gt;E11))</f>
        <v>0</v>
      </c>
      <c r="L9" s="490">
        <f>IF(AND(Q9=1,Q7=1),C9-E7)+IF(AND(Q9=1,Q8=1),D9-E8)+IF(AND(Q9=1,Q10=1),F9-E10)+IF(AND(Q9=1,Q11=1),G9-E11)+IF(AND(Q9=2,Q7=2),C9-E7)+IF(AND(Q9=2,Q8=2),D9-E8)+IF(AND(Q9=2,Q10=2),F9-E10)+IF(AND(Q9=2,Q11=2),G9-E11)+IF(AND(Q9=3,Q7=3),C9-E7)+IF(AND(Q9=3,Q8=3),D9-E8)+IF(AND(Q9=3,Q10=3),F9-E10)+IF(AND(Q9=3,Q11=3),G9-E11)+IF(AND(Q9=4,Q7=4),C9-E7)+IF(AND(Q9=4,Q8=4),D9-E8)+IF(AND(Q9=4,Q10=4),F9-E10)+IF(AND(Q9=4,Q11=4),G9-E11)</f>
        <v>-1</v>
      </c>
      <c r="M9" s="483">
        <f>SUM(AND(R9=R7,C9&gt;E7),AND(R9=R8,D9&gt;E8),AND(R9=R10,F9&gt;E10),AND(R9=R11,G9&gt;E11))</f>
        <v>0</v>
      </c>
      <c r="N9" s="537" t="str">
        <f>SUM(C9:G9)&amp;"-"&amp;SUM(E7:E11)</f>
        <v>51-26</v>
      </c>
      <c r="O9" s="538">
        <f>C9+D9+F9+G9-E7-E8-E10-E11</f>
        <v>25</v>
      </c>
      <c r="P9" s="485">
        <f>SUM(C9:G9,E7:E11)/SUM(E7:E11)</f>
        <v>2.9615384615384617</v>
      </c>
      <c r="Q9" s="491">
        <f>VALUE(LEFT(H9,1))</f>
        <v>3</v>
      </c>
      <c r="R9" s="321">
        <f>Q9*100000+J9*10000+K9*1000+100*L9</f>
        <v>299900</v>
      </c>
      <c r="S9" s="486">
        <f>R9+M9*0.1+IF(ISNONTEXT(B9),0,0.01)+0.0001*O9</f>
        <v>299900.01250000001</v>
      </c>
      <c r="T9" s="487" t="str">
        <f>Q9&amp;J9</f>
        <v>30</v>
      </c>
      <c r="U9" s="477"/>
      <c r="V9" s="477"/>
      <c r="W9" s="477"/>
      <c r="X9" s="477"/>
      <c r="Y9" s="477"/>
      <c r="Z9" s="477"/>
      <c r="AA9" s="477"/>
      <c r="AB9" s="477"/>
      <c r="AC9" s="485"/>
      <c r="AD9" s="405">
        <f t="shared" si="0"/>
        <v>312</v>
      </c>
      <c r="AE9" s="406">
        <f>IFERROR(INDEX(V!$R:$R,MATCH(AF9,V!$L:$L,0)),"")</f>
        <v>81</v>
      </c>
      <c r="AF9" s="407" t="str">
        <f t="shared" si="1"/>
        <v>Jaan Saar</v>
      </c>
      <c r="AG9" s="406" t="str">
        <f>IFERROR(INDEX(V!$R:$R,MATCH(AH9,V!$L:$L,0)),"")</f>
        <v/>
      </c>
      <c r="AH9" s="407" t="str">
        <f t="shared" si="2"/>
        <v>Kaspar Mänd, Svetlana Veski</v>
      </c>
      <c r="AI9" s="406">
        <f>IFERROR(INDEX(V!$R:$R,MATCH(AJ9,V!$L:$L,0)),"")</f>
        <v>164</v>
      </c>
      <c r="AJ9" s="407" t="str">
        <f t="shared" si="3"/>
        <v>Kaspar Mänd</v>
      </c>
      <c r="AK9" s="406">
        <f>IFERROR(INDEX(V!$R:$R,MATCH(AL9,V!$L:$L,0)),"")</f>
        <v>67</v>
      </c>
      <c r="AL9" s="407" t="str">
        <f t="shared" si="4"/>
        <v>Svetlana Veski</v>
      </c>
      <c r="AM9" s="406" t="str">
        <f>IFERROR(INDEX(V!$R:$R,MATCH(AN9,V!$L:$L,0)),"")</f>
        <v/>
      </c>
      <c r="AN9" s="407" t="str">
        <f t="shared" si="5"/>
        <v/>
      </c>
      <c r="AO9" s="406" t="str">
        <f>IFERROR(INDEX(V!$R:$R,MATCH(AP9,V!$L:$L,0)),"")</f>
        <v/>
      </c>
      <c r="AP9" s="407" t="str">
        <f t="shared" si="6"/>
        <v/>
      </c>
    </row>
    <row r="10" spans="1:42" x14ac:dyDescent="0.2">
      <c r="A10" s="316">
        <v>4</v>
      </c>
      <c r="B10" s="493" t="s">
        <v>470</v>
      </c>
      <c r="C10" s="318">
        <v>11</v>
      </c>
      <c r="D10" s="492">
        <v>9</v>
      </c>
      <c r="E10" s="318">
        <v>8</v>
      </c>
      <c r="F10" s="319"/>
      <c r="G10" s="318">
        <v>4</v>
      </c>
      <c r="H10" s="317" t="str">
        <f>(IF(C10-F7&gt;0,1)+IF(D10-F8&gt;0,1)+IF(E10-F9&gt;0,1)+IF(G10-F11&gt;0,1))&amp;"-"&amp;(IF(C10-F7&lt;0,1)+IF(D10-F8&lt;0,1)+IF(E10-F9&lt;0,1)+IF(G10-F11&lt;0,1))</f>
        <v>0-4</v>
      </c>
      <c r="I10" s="318" t="str">
        <f>IF(AND(B10&lt;&gt;"",R$6=TRUE),A$6&amp;RANK(S10,S$7:S$11,0)," ")</f>
        <v>5</v>
      </c>
      <c r="J10" s="489">
        <f>IF(AND(Q10=1,Q7=1,C10&gt;F7),1)+IF(AND(Q10=1,Q8=1,D10&gt;F8),1)+IF(AND(Q10=1,Q9=1,E10&gt;F9),1)+IF(AND(Q10=1,Q11=1,G10&gt;F11),1)+IF(AND(Q10=2,Q7=2,C10&gt;F7),1)+IF(AND(Q10=2,Q8=2,D10&gt;F8),1)+IF(AND(Q10=2,Q9=2,E10&gt;F9),1)+IF(AND(Q10=2,Q11=2,G10&gt;F11),1)+IF(AND(Q10=3,Q7=3,C10&gt;F7),1)+IF(AND(Q10=3,Q8=3,D10&gt;F8),1)+IF(AND(Q10=3,Q9=3,E10&gt;F9),1)+IF(AND(Q10=3,Q11=3,G10&gt;F11),1)</f>
        <v>0</v>
      </c>
      <c r="K10" s="483">
        <f>SUM(AND(T10=T7,C10&gt;F7),AND(T10=T8,D10&gt;F8),AND(T10=T9,E10&gt;F9),AND(T10=T11,G10&gt;F11))</f>
        <v>0</v>
      </c>
      <c r="L10" s="490">
        <f>IF(AND(Q10=1,Q7=1),C10-F7)+IF(AND(Q10=1,Q8=1),D10-F8)+IF(AND(Q10=1,Q9=1),E10-F9)+IF(AND(Q10=1,Q11=1),G10-F11)+IF(AND(Q10=2,Q7=2),C10-F7)+IF(AND(Q10=2,Q8=2),D10-F8)+IF(AND(Q10=2,Q9=2),E10-F9)+IF(AND(Q10=2,Q11=2),G10-F11)+IF(AND(Q10=3,Q7=3),C10-F7)+IF(AND(Q10=3,Q8=3),D10-F8)+IF(AND(Q10=3,Q9=3),E10-F9)+IF(AND(Q10=3,Q11=3),G10-F11)+IF(AND(Q10=4,Q7=4),C10-F7)+IF(AND(Q10=4,Q8=4),D10-F8)+IF(AND(Q10=4,Q9=4),E10-F9)+IF(AND(Q10=4,Q11=4),G10-F11)</f>
        <v>0</v>
      </c>
      <c r="M10" s="483">
        <f>SUM(AND(R10=R7,C10&gt;F7),AND(R10=R8,D10&gt;F8),AND(R10=R9,E10&gt;F9),AND(R10=R11,G10&gt;F11))</f>
        <v>0</v>
      </c>
      <c r="N10" s="537" t="str">
        <f>SUM(C10:G10)&amp;"-"&amp;SUM(F7:F11)</f>
        <v>32-52</v>
      </c>
      <c r="O10" s="538">
        <f>C10+D10+E10+G10-F7-F8-F9-F11</f>
        <v>-20</v>
      </c>
      <c r="P10" s="485">
        <f>SUM(C10:G10,F7:F11)/SUM(F7:F11)</f>
        <v>1.6153846153846154</v>
      </c>
      <c r="Q10" s="491">
        <f>VALUE(LEFT(H10,1))</f>
        <v>0</v>
      </c>
      <c r="R10" s="321">
        <f>Q10*100000+J10*10000+K10*1000+100*L10</f>
        <v>0</v>
      </c>
      <c r="S10" s="486">
        <f>R10+M10*0.1+IF(ISNONTEXT(B10),0,0.01)+0.0001*O10</f>
        <v>8.0000000000000002E-3</v>
      </c>
      <c r="T10" s="487" t="str">
        <f>Q10&amp;J10</f>
        <v>00</v>
      </c>
      <c r="U10" s="477"/>
      <c r="V10" s="477"/>
      <c r="W10" s="477"/>
      <c r="X10" s="477"/>
      <c r="Y10" s="477"/>
      <c r="Z10" s="477"/>
      <c r="AA10" s="477"/>
      <c r="AB10" s="477"/>
      <c r="AC10" s="485"/>
      <c r="AD10" s="405">
        <f t="shared" si="0"/>
        <v>388</v>
      </c>
      <c r="AE10" s="406">
        <f>IFERROR(INDEX(V!$R:$R,MATCH(AF10,V!$L:$L,0)),"")</f>
        <v>150.5</v>
      </c>
      <c r="AF10" s="407" t="str">
        <f t="shared" si="1"/>
        <v>Karla Purgats</v>
      </c>
      <c r="AG10" s="406" t="str">
        <f>IFERROR(INDEX(V!$R:$R,MATCH(AH10,V!$L:$L,0)),"")</f>
        <v/>
      </c>
      <c r="AH10" s="407" t="str">
        <f t="shared" si="2"/>
        <v>Lemmit Toomra, Viktor Švarõgin</v>
      </c>
      <c r="AI10" s="406">
        <f>IFERROR(INDEX(V!$R:$R,MATCH(AJ10,V!$L:$L,0)),"")</f>
        <v>125.5</v>
      </c>
      <c r="AJ10" s="407" t="str">
        <f t="shared" si="3"/>
        <v>Lemmit Toomra</v>
      </c>
      <c r="AK10" s="406">
        <f>IFERROR(INDEX(V!$R:$R,MATCH(AL10,V!$L:$L,0)),"")</f>
        <v>112</v>
      </c>
      <c r="AL10" s="407" t="str">
        <f t="shared" si="4"/>
        <v>Viktor Švarõgin</v>
      </c>
      <c r="AM10" s="406" t="str">
        <f>IFERROR(INDEX(V!$R:$R,MATCH(AN10,V!$L:$L,0)),"")</f>
        <v/>
      </c>
      <c r="AN10" s="407" t="str">
        <f t="shared" si="5"/>
        <v/>
      </c>
      <c r="AO10" s="406" t="str">
        <f>IFERROR(INDEX(V!$R:$R,MATCH(AP10,V!$L:$L,0)),"")</f>
        <v/>
      </c>
      <c r="AP10" s="407" t="str">
        <f t="shared" si="6"/>
        <v/>
      </c>
    </row>
    <row r="11" spans="1:42" x14ac:dyDescent="0.2">
      <c r="A11" s="316">
        <v>5</v>
      </c>
      <c r="B11" s="493" t="s">
        <v>471</v>
      </c>
      <c r="C11" s="534">
        <v>2</v>
      </c>
      <c r="D11" s="318">
        <v>13</v>
      </c>
      <c r="E11" s="318">
        <v>3</v>
      </c>
      <c r="F11" s="318">
        <v>13</v>
      </c>
      <c r="G11" s="319"/>
      <c r="H11" s="317" t="str">
        <f>(IF(C11-G7&gt;0,1)+IF(D11-G8&gt;0,1)+IF(E11-G9&gt;0,1)+IF(F11-G10&gt;0,1))&amp;"-"&amp;(IF(C11-G7&lt;0,1)+IF(D11-G8&lt;0,1)+IF(E11-G9&lt;0,1)+IF(F11-G10&lt;0,1))</f>
        <v>2-2</v>
      </c>
      <c r="I11" s="318" t="str">
        <f>IF(AND(B11&lt;&gt;"",R$6=TRUE),A$6&amp;RANK(S11,S$7:S$11,0)," ")</f>
        <v>4</v>
      </c>
      <c r="J11" s="489">
        <f>IF(AND(Q11=1,Q7=1,C11&gt;G7),1)+IF(AND(Q11=1,Q8=1,D11&gt;G8),1)+IF(AND(Q11=1,Q9=1,E11&gt;G9),1)+IF(AND(Q11=1,Q10=1,F11&gt;G10),1)+IF(AND(Q11=2,Q7=2,C11&gt;G7),1)+IF(AND(Q11=2,Q8=2,D11&gt;G8),1)+IF(AND(Q11=2,Q9=2,E11&gt;G9),1)+IF(AND(Q11=2,Q10=2,F11&gt;G10),1)+IF(AND(Q11=3,Q7=3,C11&gt;G7),1)+IF(AND(Q11=3,Q8=3,D11&gt;G8),1)+IF(AND(Q11=3,Q9=3,E11&gt;G9),1)+IF(AND(Q11=3,Q10=3,F11&gt;G10),1)</f>
        <v>0</v>
      </c>
      <c r="K11" s="483">
        <f>SUM(AND(T11=T7,C11&gt;G7),AND(T11=T8,D11&gt;G8),AND(T11=T9,E11&gt;G9),AND(T11=T10,F11&gt;G10))</f>
        <v>0</v>
      </c>
      <c r="L11" s="490">
        <f>IF(AND(Q11=1,Q7=1),C11-G7)+IF(AND(Q11=1,Q8=1),D11-G8)+IF(AND(Q11=1,Q9=1),E11-G9)+IF(AND(Q11=1,Q10=1),F11-G10)+IF(AND(Q11=2,Q7=2),C11-G7)+IF(AND(Q11=2,Q8=2),D11-G8)+IF(AND(Q11=2,Q9=2),E11-G9)+IF(AND(Q11=2,Q10=2),F11-G10)+IF(AND(Q11=3,Q7=3),C11-G7)+IF(AND(Q11=3,Q8=3),D11-G8)+IF(AND(Q11=3,Q9=3),E11-G9)+IF(AND(Q11=3,Q10=3),F11-G10)+IF(AND(Q11=4,Q7=4),C11-G7)+IF(AND(Q11=4,Q8=4),D11-G8)+IF(AND(Q11=4,Q9=4),E11-G9)+IF(AND(Q11=4,Q10=4),F11-G10)</f>
        <v>-11</v>
      </c>
      <c r="M11" s="483">
        <f>SUM(AND(R11=R7,C11&gt;G7),AND(R11=R8,D11&gt;G8),AND(R11=R9,E11&gt;G9),AND(R11=R10,F11&gt;G10))</f>
        <v>0</v>
      </c>
      <c r="N11" s="537" t="str">
        <f>SUM(C11:G11)&amp;"-"&amp;SUM(G7:G11)</f>
        <v>31-39</v>
      </c>
      <c r="O11" s="538">
        <f>C11+D11+E11+F11-G7-G8-G9-G10</f>
        <v>-8</v>
      </c>
      <c r="P11" s="485">
        <f>SUM(C11:G11,G7:G11)/SUM(G7:G11)</f>
        <v>1.7948717948717949</v>
      </c>
      <c r="Q11" s="491">
        <f>VALUE(LEFT(H11,1))</f>
        <v>2</v>
      </c>
      <c r="R11" s="321">
        <f>Q11*100000+J11*10000+K11*1000+100*L11</f>
        <v>198900</v>
      </c>
      <c r="S11" s="486">
        <f>R11+M11*0.1+IF(ISNONTEXT(B11),0,0.01)+0.0001*O11</f>
        <v>198900.0092</v>
      </c>
      <c r="T11" s="487" t="str">
        <f>Q11&amp;J11</f>
        <v>20</v>
      </c>
      <c r="U11" s="477"/>
      <c r="V11" s="477"/>
      <c r="W11" s="477"/>
      <c r="X11" s="477"/>
      <c r="Y11" s="477"/>
      <c r="Z11" s="477"/>
      <c r="AA11" s="477"/>
      <c r="AB11" s="477"/>
      <c r="AC11" s="485"/>
      <c r="AD11" s="405">
        <f t="shared" si="0"/>
        <v>309</v>
      </c>
      <c r="AE11" s="406">
        <f>IFERROR(INDEX(V!$R:$R,MATCH(AF11,V!$L:$L,0)),"")</f>
        <v>118</v>
      </c>
      <c r="AF11" s="407" t="str">
        <f t="shared" si="1"/>
        <v>Enn Tokman</v>
      </c>
      <c r="AG11" s="406" t="str">
        <f>IFERROR(INDEX(V!$R:$R,MATCH(AH11,V!$L:$L,0)),"")</f>
        <v/>
      </c>
      <c r="AH11" s="407" t="str">
        <f t="shared" si="2"/>
        <v>Illar Tõnurist, Oleg Rõndenkov</v>
      </c>
      <c r="AI11" s="406">
        <f>IFERROR(INDEX(V!$R:$R,MATCH(AJ11,V!$L:$L,0)),"")</f>
        <v>65</v>
      </c>
      <c r="AJ11" s="407" t="str">
        <f t="shared" si="3"/>
        <v>Illar Tõnurist</v>
      </c>
      <c r="AK11" s="406">
        <f>IFERROR(INDEX(V!$R:$R,MATCH(AL11,V!$L:$L,0)),"")</f>
        <v>126</v>
      </c>
      <c r="AL11" s="407" t="str">
        <f t="shared" si="4"/>
        <v>Oleg Rõndenkov</v>
      </c>
      <c r="AM11" s="406" t="str">
        <f>IFERROR(INDEX(V!$R:$R,MATCH(AN11,V!$L:$L,0)),"")</f>
        <v/>
      </c>
      <c r="AN11" s="407" t="str">
        <f t="shared" si="5"/>
        <v/>
      </c>
      <c r="AO11" s="406" t="str">
        <f>IFERROR(INDEX(V!$R:$R,MATCH(AP11,V!$L:$L,0)),"")</f>
        <v/>
      </c>
      <c r="AP11" s="407" t="str">
        <f t="shared" si="6"/>
        <v/>
      </c>
    </row>
    <row r="12" spans="1:42" hidden="1" x14ac:dyDescent="0.2">
      <c r="A12" s="494"/>
      <c r="B12" s="495"/>
      <c r="C12" s="496"/>
      <c r="D12" s="497"/>
      <c r="E12" s="498"/>
      <c r="F12" s="498"/>
      <c r="G12" s="499"/>
      <c r="H12" s="500"/>
      <c r="I12" s="501"/>
      <c r="J12" s="477"/>
      <c r="K12" s="477"/>
      <c r="L12" s="477"/>
      <c r="M12" s="477"/>
      <c r="N12" s="539"/>
      <c r="O12" s="539"/>
      <c r="P12" s="477"/>
      <c r="Q12" s="477"/>
      <c r="R12" s="502" t="s">
        <v>264</v>
      </c>
      <c r="S12" s="477"/>
      <c r="T12" s="477"/>
      <c r="U12" s="477"/>
      <c r="V12" s="477"/>
      <c r="W12" s="477"/>
      <c r="X12" s="477"/>
      <c r="Y12" s="477"/>
      <c r="Z12" s="477"/>
      <c r="AA12" s="477"/>
      <c r="AB12" s="477"/>
      <c r="AC12" s="485"/>
    </row>
    <row r="13" spans="1:42" hidden="1" x14ac:dyDescent="0.2">
      <c r="A13" s="477"/>
      <c r="B13" s="477"/>
      <c r="C13" s="477"/>
      <c r="D13" s="477"/>
      <c r="E13" s="477"/>
      <c r="F13" s="477"/>
      <c r="G13" s="477"/>
      <c r="H13" s="477"/>
      <c r="I13" s="477"/>
      <c r="J13" s="477"/>
      <c r="K13" s="477"/>
      <c r="L13" s="477"/>
      <c r="M13" s="477"/>
      <c r="N13" s="477"/>
      <c r="O13" s="477"/>
      <c r="P13" s="477"/>
      <c r="Q13" s="477"/>
      <c r="R13" s="477"/>
      <c r="S13" s="477"/>
      <c r="T13" s="477"/>
      <c r="U13" s="477"/>
      <c r="V13" s="477"/>
      <c r="W13" s="477"/>
      <c r="X13" s="477"/>
      <c r="Y13" s="477"/>
      <c r="Z13" s="477"/>
      <c r="AA13" s="477"/>
      <c r="AB13" s="477"/>
    </row>
    <row r="14" spans="1:42" hidden="1" x14ac:dyDescent="0.2">
      <c r="A14" s="477"/>
      <c r="B14" s="477"/>
      <c r="C14" s="477"/>
      <c r="D14" s="477"/>
      <c r="E14" s="477"/>
      <c r="F14" s="477"/>
      <c r="G14" s="477"/>
      <c r="H14" s="477"/>
      <c r="I14" s="477"/>
      <c r="J14" s="477"/>
      <c r="K14" s="477"/>
      <c r="L14" s="477"/>
      <c r="M14" s="477"/>
      <c r="N14" s="477"/>
      <c r="O14" s="477"/>
      <c r="P14" s="477"/>
      <c r="Q14" s="477"/>
      <c r="R14" s="477"/>
      <c r="S14" s="477"/>
      <c r="T14" s="477"/>
      <c r="U14" s="477"/>
      <c r="V14" s="477"/>
      <c r="W14" s="477"/>
      <c r="X14" s="477"/>
      <c r="Y14" s="477"/>
      <c r="Z14" s="477"/>
      <c r="AA14" s="477"/>
      <c r="AB14" s="477"/>
    </row>
    <row r="15" spans="1:42" hidden="1" x14ac:dyDescent="0.2">
      <c r="A15" s="477"/>
      <c r="B15" s="477"/>
      <c r="C15" s="477"/>
      <c r="D15" s="477"/>
      <c r="E15" s="477"/>
      <c r="F15" s="477"/>
      <c r="G15" s="477"/>
      <c r="H15" s="477"/>
      <c r="I15" s="477"/>
      <c r="J15" s="477"/>
      <c r="K15" s="477"/>
      <c r="L15" s="477"/>
      <c r="M15" s="477"/>
      <c r="N15" s="477"/>
      <c r="O15" s="477"/>
      <c r="P15" s="477"/>
      <c r="Q15" s="477"/>
      <c r="R15" s="477"/>
      <c r="S15" s="477"/>
      <c r="T15" s="477"/>
      <c r="U15" s="477"/>
      <c r="V15" s="477"/>
      <c r="W15" s="477"/>
      <c r="X15" s="477"/>
      <c r="Y15" s="477"/>
      <c r="Z15" s="477"/>
      <c r="AA15" s="477"/>
      <c r="AB15" s="477"/>
    </row>
    <row r="16" spans="1:42" hidden="1" x14ac:dyDescent="0.2">
      <c r="A16" s="477"/>
      <c r="B16" s="477"/>
      <c r="C16" s="477"/>
      <c r="D16" s="477"/>
      <c r="E16" s="477"/>
      <c r="F16" s="477"/>
      <c r="G16" s="477"/>
      <c r="H16" s="477"/>
      <c r="I16" s="477"/>
      <c r="J16" s="477"/>
      <c r="K16" s="477"/>
      <c r="L16" s="477"/>
      <c r="M16" s="477"/>
      <c r="N16" s="477"/>
      <c r="O16" s="477"/>
      <c r="P16" s="477"/>
      <c r="Q16" s="477"/>
      <c r="R16" s="477"/>
      <c r="S16" s="477"/>
      <c r="T16" s="477"/>
      <c r="U16" s="477"/>
      <c r="V16" s="477"/>
      <c r="W16" s="477"/>
      <c r="X16" s="477"/>
      <c r="Y16" s="477"/>
      <c r="Z16" s="477"/>
      <c r="AA16" s="477"/>
      <c r="AB16" s="477"/>
    </row>
    <row r="17" spans="1:28" hidden="1" x14ac:dyDescent="0.2">
      <c r="A17" s="477"/>
      <c r="B17" s="477"/>
      <c r="C17" s="477"/>
      <c r="D17" s="477"/>
      <c r="E17" s="477"/>
      <c r="F17" s="477"/>
      <c r="G17" s="477"/>
      <c r="H17" s="477"/>
      <c r="I17" s="477"/>
      <c r="J17" s="477"/>
      <c r="K17" s="477"/>
      <c r="L17" s="477"/>
      <c r="M17" s="477"/>
      <c r="N17" s="477"/>
      <c r="O17" s="477"/>
      <c r="P17" s="477"/>
      <c r="Q17" s="477"/>
      <c r="R17" s="477"/>
      <c r="S17" s="477"/>
      <c r="T17" s="477"/>
      <c r="U17" s="477"/>
      <c r="V17" s="477"/>
      <c r="W17" s="477"/>
      <c r="X17" s="477"/>
      <c r="Y17" s="477"/>
      <c r="Z17" s="477"/>
      <c r="AA17" s="477"/>
      <c r="AB17" s="477"/>
    </row>
    <row r="18" spans="1:28" hidden="1" x14ac:dyDescent="0.2">
      <c r="A18" s="477"/>
      <c r="B18" s="477"/>
      <c r="C18" s="477"/>
      <c r="D18" s="477"/>
      <c r="E18" s="477"/>
      <c r="F18" s="477"/>
      <c r="G18" s="477"/>
      <c r="H18" s="477"/>
      <c r="I18" s="477"/>
      <c r="J18" s="477"/>
      <c r="K18" s="477"/>
      <c r="L18" s="477"/>
      <c r="M18" s="477"/>
      <c r="N18" s="477"/>
      <c r="O18" s="477"/>
      <c r="P18" s="477"/>
      <c r="Q18" s="477"/>
      <c r="R18" s="477"/>
      <c r="S18" s="477"/>
      <c r="T18" s="477"/>
      <c r="U18" s="477"/>
      <c r="V18" s="477"/>
      <c r="W18" s="477"/>
      <c r="X18" s="477"/>
      <c r="Y18" s="477"/>
      <c r="Z18" s="477"/>
      <c r="AA18" s="477"/>
      <c r="AB18" s="477"/>
    </row>
    <row r="19" spans="1:28" hidden="1" x14ac:dyDescent="0.2">
      <c r="A19" s="477"/>
      <c r="B19" s="477"/>
      <c r="C19" s="477"/>
      <c r="D19" s="477"/>
      <c r="E19" s="477"/>
      <c r="F19" s="477"/>
      <c r="G19" s="477"/>
      <c r="H19" s="477"/>
      <c r="I19" s="477"/>
      <c r="J19" s="477"/>
      <c r="K19" s="477"/>
      <c r="L19" s="477"/>
      <c r="M19" s="477"/>
      <c r="N19" s="477"/>
      <c r="O19" s="477"/>
      <c r="P19" s="477"/>
      <c r="Q19" s="477"/>
      <c r="R19" s="477"/>
      <c r="S19" s="477"/>
      <c r="T19" s="477"/>
      <c r="U19" s="477"/>
      <c r="V19" s="477"/>
      <c r="W19" s="477"/>
      <c r="X19" s="477"/>
      <c r="Y19" s="477"/>
      <c r="Z19" s="477"/>
      <c r="AA19" s="477"/>
      <c r="AB19" s="477"/>
    </row>
    <row r="20" spans="1:28" hidden="1" x14ac:dyDescent="0.2">
      <c r="A20" s="477"/>
      <c r="B20" s="477"/>
      <c r="C20" s="477"/>
      <c r="D20" s="477"/>
      <c r="E20" s="477"/>
      <c r="F20" s="477"/>
      <c r="G20" s="477"/>
      <c r="H20" s="477"/>
      <c r="I20" s="477"/>
      <c r="J20" s="477"/>
      <c r="K20" s="477"/>
      <c r="L20" s="477"/>
      <c r="M20" s="477"/>
      <c r="N20" s="477"/>
      <c r="O20" s="477"/>
      <c r="P20" s="477"/>
      <c r="Q20" s="477"/>
      <c r="R20" s="477"/>
      <c r="S20" s="477"/>
      <c r="T20" s="477"/>
      <c r="U20" s="477"/>
      <c r="V20" s="477"/>
      <c r="W20" s="477"/>
      <c r="X20" s="477"/>
      <c r="Y20" s="477"/>
      <c r="Z20" s="477"/>
      <c r="AA20" s="477"/>
      <c r="AB20" s="477"/>
    </row>
    <row r="21" spans="1:28" hidden="1" x14ac:dyDescent="0.2">
      <c r="A21" s="477"/>
      <c r="B21" s="477"/>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row>
    <row r="22" spans="1:28" hidden="1" x14ac:dyDescent="0.2">
      <c r="A22" s="477"/>
      <c r="B22" s="477"/>
      <c r="C22" s="477"/>
      <c r="D22" s="477"/>
      <c r="E22" s="477"/>
      <c r="F22" s="477"/>
      <c r="G22" s="477"/>
      <c r="H22" s="477"/>
      <c r="I22" s="477"/>
      <c r="J22" s="477"/>
      <c r="K22" s="477"/>
      <c r="L22" s="477"/>
      <c r="M22" s="477"/>
      <c r="N22" s="477"/>
      <c r="O22" s="477"/>
      <c r="P22" s="477"/>
      <c r="Q22" s="477"/>
      <c r="R22" s="477"/>
      <c r="S22" s="477"/>
      <c r="T22" s="477"/>
      <c r="U22" s="477"/>
      <c r="V22" s="477"/>
      <c r="W22" s="477"/>
      <c r="X22" s="477"/>
      <c r="Y22" s="477"/>
      <c r="Z22" s="477"/>
      <c r="AA22" s="477"/>
      <c r="AB22" s="477"/>
    </row>
    <row r="23" spans="1:28" hidden="1" x14ac:dyDescent="0.2">
      <c r="A23" s="477"/>
      <c r="B23" s="477"/>
      <c r="C23" s="477"/>
      <c r="D23" s="477"/>
      <c r="E23" s="477"/>
      <c r="F23" s="477"/>
      <c r="G23" s="477"/>
      <c r="H23" s="477"/>
      <c r="I23" s="477"/>
      <c r="J23" s="477"/>
      <c r="K23" s="477"/>
      <c r="L23" s="477"/>
      <c r="M23" s="477"/>
      <c r="N23" s="477"/>
      <c r="O23" s="477"/>
      <c r="P23" s="477"/>
      <c r="Q23" s="477"/>
      <c r="R23" s="477"/>
      <c r="S23" s="477"/>
      <c r="T23" s="477"/>
      <c r="U23" s="477"/>
      <c r="V23" s="477"/>
      <c r="W23" s="477"/>
      <c r="X23" s="477"/>
      <c r="Y23" s="477"/>
      <c r="Z23" s="477"/>
      <c r="AA23" s="477"/>
      <c r="AB23" s="477"/>
    </row>
    <row r="24" spans="1:28" hidden="1" x14ac:dyDescent="0.2">
      <c r="A24" s="477"/>
      <c r="B24" s="477"/>
      <c r="C24" s="477"/>
      <c r="D24" s="477"/>
      <c r="E24" s="477"/>
      <c r="F24" s="477"/>
      <c r="G24" s="477"/>
      <c r="H24" s="477"/>
      <c r="I24" s="477"/>
      <c r="J24" s="477"/>
      <c r="K24" s="477"/>
      <c r="L24" s="477"/>
      <c r="M24" s="477"/>
      <c r="N24" s="477"/>
      <c r="O24" s="477"/>
      <c r="P24" s="477"/>
      <c r="Q24" s="477"/>
      <c r="R24" s="477"/>
      <c r="S24" s="477"/>
      <c r="T24" s="477"/>
      <c r="U24" s="477"/>
      <c r="V24" s="477"/>
      <c r="W24" s="477"/>
      <c r="X24" s="477"/>
      <c r="Y24" s="477"/>
      <c r="Z24" s="477"/>
      <c r="AA24" s="477"/>
      <c r="AB24" s="477"/>
    </row>
    <row r="25" spans="1:28" hidden="1" x14ac:dyDescent="0.2">
      <c r="A25" s="477"/>
      <c r="B25" s="477"/>
      <c r="C25" s="477"/>
      <c r="D25" s="477"/>
      <c r="E25" s="477"/>
      <c r="F25" s="477"/>
      <c r="G25" s="477"/>
      <c r="H25" s="477"/>
      <c r="I25" s="477"/>
      <c r="J25" s="477"/>
      <c r="K25" s="477"/>
      <c r="L25" s="477"/>
      <c r="M25" s="477"/>
      <c r="N25" s="477"/>
      <c r="O25" s="477"/>
      <c r="P25" s="477"/>
      <c r="Q25" s="477"/>
      <c r="R25" s="477"/>
      <c r="S25" s="477"/>
      <c r="T25" s="477"/>
      <c r="U25" s="477"/>
      <c r="V25" s="477"/>
      <c r="W25" s="477"/>
      <c r="X25" s="477"/>
      <c r="Y25" s="477"/>
      <c r="Z25" s="477"/>
      <c r="AA25" s="477"/>
      <c r="AB25" s="477"/>
    </row>
    <row r="26" spans="1:28" hidden="1" x14ac:dyDescent="0.2">
      <c r="A26" s="477"/>
      <c r="B26" s="477"/>
      <c r="C26" s="477"/>
      <c r="D26" s="477"/>
      <c r="E26" s="477"/>
      <c r="F26" s="477"/>
      <c r="G26" s="477"/>
      <c r="H26" s="477"/>
      <c r="I26" s="477"/>
      <c r="J26" s="477"/>
      <c r="K26" s="477"/>
      <c r="L26" s="477"/>
      <c r="M26" s="477"/>
      <c r="N26" s="477"/>
      <c r="O26" s="477"/>
      <c r="P26" s="477"/>
      <c r="Q26" s="477"/>
      <c r="R26" s="477"/>
      <c r="S26" s="477"/>
      <c r="T26" s="477"/>
      <c r="U26" s="477"/>
      <c r="V26" s="477"/>
      <c r="W26" s="477"/>
      <c r="X26" s="477"/>
      <c r="Y26" s="477"/>
      <c r="Z26" s="477"/>
      <c r="AA26" s="477"/>
      <c r="AB26" s="477"/>
    </row>
    <row r="27" spans="1:28" hidden="1" x14ac:dyDescent="0.2">
      <c r="A27" s="477"/>
      <c r="B27" s="477"/>
      <c r="C27" s="477"/>
      <c r="D27" s="477"/>
      <c r="E27" s="477"/>
      <c r="F27" s="477"/>
      <c r="G27" s="477"/>
      <c r="H27" s="477"/>
      <c r="I27" s="477"/>
      <c r="J27" s="477"/>
      <c r="K27" s="477"/>
      <c r="L27" s="477"/>
      <c r="M27" s="477"/>
      <c r="N27" s="477"/>
      <c r="O27" s="477"/>
      <c r="P27" s="477"/>
      <c r="Q27" s="477"/>
      <c r="R27" s="477"/>
      <c r="S27" s="477"/>
      <c r="T27" s="477"/>
      <c r="U27" s="477"/>
      <c r="V27" s="477"/>
      <c r="W27" s="477"/>
      <c r="X27" s="477"/>
      <c r="Y27" s="477"/>
      <c r="Z27" s="477"/>
      <c r="AA27" s="477"/>
      <c r="AB27" s="477"/>
    </row>
    <row r="28" spans="1:28" hidden="1" x14ac:dyDescent="0.2">
      <c r="A28" s="477"/>
      <c r="B28" s="477"/>
      <c r="C28" s="477"/>
      <c r="D28" s="477"/>
      <c r="E28" s="477"/>
      <c r="F28" s="477"/>
      <c r="G28" s="477"/>
      <c r="H28" s="477"/>
      <c r="I28" s="477"/>
      <c r="J28" s="477"/>
      <c r="K28" s="477"/>
      <c r="L28" s="477"/>
      <c r="M28" s="477"/>
      <c r="N28" s="477"/>
      <c r="O28" s="477"/>
      <c r="P28" s="477"/>
      <c r="Q28" s="477"/>
      <c r="R28" s="477"/>
      <c r="S28" s="477"/>
      <c r="T28" s="477"/>
      <c r="U28" s="477"/>
      <c r="V28" s="477"/>
      <c r="W28" s="477"/>
      <c r="X28" s="477"/>
      <c r="Y28" s="477"/>
      <c r="Z28" s="477"/>
      <c r="AA28" s="477"/>
      <c r="AB28" s="477"/>
    </row>
    <row r="29" spans="1:28" hidden="1" x14ac:dyDescent="0.2">
      <c r="A29" s="477"/>
      <c r="B29" s="477"/>
      <c r="C29" s="477"/>
      <c r="D29" s="477"/>
      <c r="E29" s="477"/>
      <c r="F29" s="477"/>
      <c r="G29" s="477"/>
      <c r="H29" s="477"/>
      <c r="I29" s="477"/>
      <c r="J29" s="477"/>
      <c r="K29" s="477"/>
      <c r="L29" s="477"/>
      <c r="M29" s="477"/>
      <c r="N29" s="477"/>
      <c r="O29" s="477"/>
      <c r="P29" s="477"/>
      <c r="Q29" s="477"/>
      <c r="R29" s="477"/>
      <c r="S29" s="477"/>
      <c r="T29" s="477"/>
      <c r="U29" s="477"/>
      <c r="V29" s="477"/>
      <c r="W29" s="477"/>
      <c r="X29" s="477"/>
      <c r="Y29" s="477"/>
      <c r="Z29" s="477"/>
      <c r="AA29" s="477"/>
      <c r="AB29" s="477"/>
    </row>
    <row r="30" spans="1:28" hidden="1" x14ac:dyDescent="0.2">
      <c r="A30" s="477"/>
      <c r="B30" s="477"/>
      <c r="C30" s="477"/>
      <c r="D30" s="477"/>
      <c r="E30" s="477"/>
      <c r="F30" s="477"/>
      <c r="G30" s="477"/>
      <c r="H30" s="477"/>
      <c r="I30" s="477"/>
      <c r="J30" s="477"/>
      <c r="K30" s="477"/>
      <c r="L30" s="477"/>
      <c r="M30" s="477"/>
      <c r="N30" s="477"/>
      <c r="O30" s="477"/>
      <c r="P30" s="477"/>
      <c r="Q30" s="477"/>
      <c r="R30" s="477"/>
      <c r="S30" s="477"/>
      <c r="T30" s="477"/>
      <c r="U30" s="477"/>
      <c r="V30" s="477"/>
      <c r="W30" s="477"/>
      <c r="X30" s="477"/>
      <c r="Y30" s="477"/>
      <c r="Z30" s="477"/>
      <c r="AA30" s="477"/>
      <c r="AB30" s="477"/>
    </row>
    <row r="31" spans="1:28" hidden="1" x14ac:dyDescent="0.2">
      <c r="A31" s="477"/>
      <c r="B31" s="477"/>
      <c r="C31" s="477"/>
      <c r="D31" s="477"/>
      <c r="E31" s="477"/>
      <c r="F31" s="477"/>
      <c r="G31" s="477"/>
      <c r="H31" s="477"/>
      <c r="I31" s="477"/>
      <c r="J31" s="477"/>
      <c r="K31" s="477"/>
      <c r="L31" s="477"/>
      <c r="M31" s="477"/>
      <c r="N31" s="477"/>
      <c r="O31" s="477"/>
      <c r="P31" s="477"/>
      <c r="Q31" s="477"/>
      <c r="R31" s="477"/>
      <c r="S31" s="477"/>
      <c r="T31" s="477"/>
      <c r="U31" s="477"/>
      <c r="V31" s="477"/>
      <c r="W31" s="477"/>
      <c r="X31" s="477"/>
      <c r="Y31" s="477"/>
      <c r="Z31" s="477"/>
      <c r="AA31" s="477"/>
      <c r="AB31" s="477"/>
    </row>
    <row r="32" spans="1:28" hidden="1" x14ac:dyDescent="0.2">
      <c r="A32" s="477"/>
      <c r="B32" s="477"/>
      <c r="C32" s="477"/>
      <c r="D32" s="477"/>
      <c r="E32" s="477"/>
      <c r="F32" s="477"/>
      <c r="G32" s="477"/>
      <c r="H32" s="477"/>
      <c r="I32" s="477"/>
      <c r="J32" s="477"/>
      <c r="K32" s="477"/>
      <c r="L32" s="477"/>
      <c r="M32" s="477"/>
      <c r="N32" s="477"/>
      <c r="O32" s="477"/>
      <c r="P32" s="477"/>
      <c r="Q32" s="477"/>
      <c r="R32" s="477"/>
      <c r="S32" s="477"/>
      <c r="T32" s="477"/>
      <c r="U32" s="477"/>
      <c r="V32" s="477"/>
      <c r="W32" s="477"/>
      <c r="X32" s="477"/>
      <c r="Y32" s="477"/>
      <c r="Z32" s="477"/>
      <c r="AA32" s="477"/>
      <c r="AB32" s="477"/>
    </row>
    <row r="33" spans="1:28" hidden="1" x14ac:dyDescent="0.2">
      <c r="A33" s="477"/>
      <c r="B33" s="477"/>
      <c r="C33" s="477"/>
      <c r="D33" s="477"/>
      <c r="E33" s="477"/>
      <c r="F33" s="477"/>
      <c r="G33" s="477"/>
      <c r="H33" s="477"/>
      <c r="I33" s="477"/>
      <c r="J33" s="477"/>
      <c r="K33" s="477"/>
      <c r="L33" s="477"/>
      <c r="M33" s="477"/>
      <c r="N33" s="477"/>
      <c r="O33" s="477"/>
      <c r="P33" s="477"/>
      <c r="Q33" s="477"/>
      <c r="R33" s="477"/>
      <c r="S33" s="477"/>
      <c r="T33" s="477"/>
      <c r="U33" s="477"/>
      <c r="V33" s="477"/>
      <c r="W33" s="477"/>
      <c r="X33" s="477"/>
      <c r="Y33" s="477"/>
      <c r="Z33" s="477"/>
      <c r="AA33" s="477"/>
      <c r="AB33" s="477"/>
    </row>
    <row r="34" spans="1:28" hidden="1" x14ac:dyDescent="0.2">
      <c r="A34" s="477"/>
      <c r="B34" s="477"/>
      <c r="C34" s="477"/>
      <c r="D34" s="477"/>
      <c r="E34" s="477"/>
      <c r="F34" s="477"/>
      <c r="G34" s="477"/>
      <c r="H34" s="477"/>
      <c r="I34" s="477"/>
      <c r="J34" s="477"/>
      <c r="K34" s="477"/>
      <c r="L34" s="477"/>
      <c r="M34" s="477"/>
      <c r="N34" s="477"/>
      <c r="O34" s="477"/>
      <c r="P34" s="477"/>
      <c r="Q34" s="477"/>
      <c r="R34" s="477"/>
      <c r="S34" s="477"/>
      <c r="T34" s="477"/>
      <c r="U34" s="477"/>
      <c r="V34" s="477"/>
      <c r="W34" s="477"/>
      <c r="X34" s="477"/>
      <c r="Y34" s="477"/>
      <c r="Z34" s="477"/>
      <c r="AA34" s="477"/>
      <c r="AB34" s="477"/>
    </row>
    <row r="35" spans="1:28" hidden="1" x14ac:dyDescent="0.2">
      <c r="A35" s="477"/>
      <c r="B35" s="477"/>
      <c r="C35" s="477"/>
      <c r="D35" s="477"/>
      <c r="E35" s="477"/>
      <c r="F35" s="477"/>
      <c r="G35" s="477"/>
      <c r="H35" s="477"/>
      <c r="I35" s="477"/>
      <c r="J35" s="477"/>
      <c r="K35" s="477"/>
      <c r="L35" s="477"/>
      <c r="M35" s="477"/>
      <c r="N35" s="477"/>
      <c r="O35" s="477"/>
      <c r="P35" s="477"/>
      <c r="Q35" s="477"/>
      <c r="R35" s="477"/>
      <c r="S35" s="477"/>
      <c r="T35" s="477"/>
      <c r="U35" s="477"/>
      <c r="V35" s="477"/>
      <c r="W35" s="477"/>
      <c r="X35" s="477"/>
      <c r="Y35" s="477"/>
      <c r="Z35" s="477"/>
      <c r="AA35" s="477"/>
      <c r="AB35" s="477"/>
    </row>
    <row r="36" spans="1:28" hidden="1" x14ac:dyDescent="0.2">
      <c r="A36" s="477"/>
      <c r="B36" s="477"/>
      <c r="C36" s="477"/>
      <c r="D36" s="477"/>
      <c r="E36" s="477"/>
      <c r="F36" s="477"/>
      <c r="G36" s="477"/>
      <c r="H36" s="477"/>
      <c r="I36" s="477"/>
      <c r="J36" s="477"/>
      <c r="K36" s="477"/>
      <c r="L36" s="477"/>
      <c r="M36" s="477"/>
      <c r="N36" s="477"/>
      <c r="O36" s="477"/>
      <c r="P36" s="477"/>
      <c r="Q36" s="477"/>
      <c r="R36" s="477"/>
      <c r="S36" s="477"/>
      <c r="T36" s="477"/>
      <c r="U36" s="477"/>
      <c r="V36" s="477"/>
      <c r="W36" s="477"/>
      <c r="X36" s="477"/>
      <c r="Y36" s="477"/>
      <c r="Z36" s="477"/>
      <c r="AA36" s="477"/>
      <c r="AB36" s="477"/>
    </row>
    <row r="37" spans="1:28" hidden="1" x14ac:dyDescent="0.2">
      <c r="A37" s="477"/>
      <c r="B37" s="477"/>
      <c r="C37" s="477"/>
      <c r="D37" s="477"/>
      <c r="E37" s="477"/>
      <c r="F37" s="477"/>
      <c r="G37" s="477"/>
      <c r="H37" s="477"/>
      <c r="I37" s="477"/>
      <c r="J37" s="477"/>
      <c r="K37" s="477"/>
      <c r="L37" s="477"/>
      <c r="M37" s="477"/>
      <c r="N37" s="477"/>
      <c r="O37" s="477"/>
      <c r="P37" s="477"/>
      <c r="Q37" s="477"/>
      <c r="R37" s="477"/>
      <c r="S37" s="477"/>
      <c r="T37" s="477"/>
      <c r="U37" s="477"/>
      <c r="V37" s="477"/>
      <c r="W37" s="477"/>
      <c r="X37" s="477"/>
      <c r="Y37" s="477"/>
      <c r="Z37" s="477"/>
      <c r="AA37" s="477"/>
      <c r="AB37" s="477"/>
    </row>
    <row r="38" spans="1:28" hidden="1" x14ac:dyDescent="0.2">
      <c r="A38" s="477"/>
      <c r="B38" s="477"/>
      <c r="C38" s="477"/>
      <c r="D38" s="477"/>
      <c r="E38" s="477"/>
      <c r="F38" s="477"/>
      <c r="G38" s="477"/>
      <c r="H38" s="477"/>
      <c r="I38" s="477"/>
      <c r="J38" s="477"/>
      <c r="K38" s="477"/>
      <c r="L38" s="477"/>
      <c r="M38" s="477"/>
      <c r="N38" s="477"/>
      <c r="O38" s="477"/>
      <c r="P38" s="477"/>
      <c r="Q38" s="477"/>
      <c r="R38" s="477"/>
      <c r="S38" s="477"/>
      <c r="T38" s="477"/>
      <c r="U38" s="477"/>
      <c r="V38" s="477"/>
      <c r="W38" s="477"/>
      <c r="X38" s="477"/>
      <c r="Y38" s="477"/>
      <c r="Z38" s="477"/>
      <c r="AA38" s="477"/>
      <c r="AB38" s="477"/>
    </row>
    <row r="39" spans="1:28" hidden="1" x14ac:dyDescent="0.2">
      <c r="A39" s="477"/>
      <c r="B39" s="477"/>
      <c r="C39" s="477"/>
      <c r="D39" s="477"/>
      <c r="E39" s="477"/>
      <c r="F39" s="477"/>
      <c r="G39" s="477"/>
      <c r="H39" s="477"/>
      <c r="I39" s="477"/>
      <c r="J39" s="477"/>
      <c r="K39" s="477"/>
      <c r="L39" s="477"/>
      <c r="M39" s="477"/>
      <c r="N39" s="477"/>
      <c r="O39" s="477"/>
      <c r="P39" s="477"/>
      <c r="Q39" s="477"/>
      <c r="R39" s="477"/>
      <c r="S39" s="477"/>
      <c r="T39" s="477"/>
      <c r="U39" s="477"/>
      <c r="V39" s="477"/>
      <c r="W39" s="477"/>
      <c r="X39" s="477"/>
      <c r="Y39" s="477"/>
      <c r="Z39" s="477"/>
      <c r="AA39" s="477"/>
      <c r="AB39" s="477"/>
    </row>
    <row r="40" spans="1:28" hidden="1" x14ac:dyDescent="0.2">
      <c r="A40" s="477"/>
      <c r="B40" s="477"/>
      <c r="C40" s="477"/>
      <c r="D40" s="477"/>
      <c r="E40" s="477"/>
      <c r="F40" s="477"/>
      <c r="G40" s="477"/>
      <c r="H40" s="477"/>
      <c r="I40" s="477"/>
      <c r="J40" s="477"/>
      <c r="K40" s="477"/>
      <c r="L40" s="477"/>
      <c r="M40" s="477"/>
      <c r="N40" s="477"/>
      <c r="O40" s="477"/>
      <c r="P40" s="477"/>
      <c r="Q40" s="477"/>
      <c r="R40" s="477"/>
      <c r="S40" s="477"/>
      <c r="T40" s="477"/>
      <c r="U40" s="477"/>
      <c r="V40" s="477"/>
      <c r="W40" s="477"/>
      <c r="X40" s="477"/>
      <c r="Y40" s="477"/>
      <c r="Z40" s="477"/>
      <c r="AA40" s="477"/>
      <c r="AB40" s="477"/>
    </row>
    <row r="41" spans="1:28" hidden="1" x14ac:dyDescent="0.2">
      <c r="A41" s="477"/>
      <c r="B41" s="477"/>
      <c r="C41" s="477"/>
      <c r="D41" s="477"/>
      <c r="E41" s="477"/>
      <c r="F41" s="477"/>
      <c r="G41" s="477"/>
      <c r="H41" s="477"/>
      <c r="I41" s="477"/>
      <c r="J41" s="477"/>
      <c r="K41" s="477"/>
      <c r="L41" s="477"/>
      <c r="M41" s="477"/>
      <c r="N41" s="477"/>
      <c r="O41" s="477"/>
      <c r="P41" s="477"/>
      <c r="Q41" s="477"/>
      <c r="R41" s="477"/>
      <c r="S41" s="477"/>
      <c r="T41" s="477"/>
      <c r="U41" s="477"/>
      <c r="V41" s="477"/>
      <c r="W41" s="477"/>
      <c r="X41" s="477"/>
      <c r="Y41" s="477"/>
      <c r="Z41" s="477"/>
      <c r="AA41" s="477"/>
      <c r="AB41" s="477"/>
    </row>
    <row r="42" spans="1:28" hidden="1" x14ac:dyDescent="0.2">
      <c r="A42" s="477"/>
      <c r="B42" s="477"/>
      <c r="C42" s="477"/>
      <c r="D42" s="477"/>
      <c r="E42" s="477"/>
      <c r="F42" s="477"/>
      <c r="G42" s="477"/>
      <c r="H42" s="477"/>
      <c r="I42" s="477"/>
      <c r="J42" s="477"/>
      <c r="K42" s="477"/>
      <c r="L42" s="477"/>
      <c r="M42" s="477"/>
      <c r="N42" s="477"/>
      <c r="O42" s="477"/>
      <c r="P42" s="477"/>
      <c r="Q42" s="477"/>
      <c r="R42" s="477"/>
      <c r="S42" s="477"/>
      <c r="T42" s="477"/>
      <c r="U42" s="477"/>
      <c r="V42" s="477"/>
      <c r="W42" s="477"/>
      <c r="X42" s="477"/>
      <c r="Y42" s="477"/>
      <c r="Z42" s="477"/>
      <c r="AA42" s="477"/>
      <c r="AB42" s="477"/>
    </row>
    <row r="43" spans="1:28" hidden="1" x14ac:dyDescent="0.2">
      <c r="A43" s="477"/>
      <c r="B43" s="477"/>
      <c r="C43" s="477"/>
      <c r="D43" s="477"/>
      <c r="E43" s="477"/>
      <c r="F43" s="477"/>
      <c r="G43" s="477"/>
      <c r="H43" s="477"/>
      <c r="I43" s="477"/>
      <c r="J43" s="477"/>
      <c r="K43" s="477"/>
      <c r="L43" s="477"/>
      <c r="M43" s="477"/>
      <c r="N43" s="477"/>
      <c r="O43" s="477"/>
      <c r="P43" s="477"/>
      <c r="Q43" s="477"/>
      <c r="R43" s="477"/>
      <c r="S43" s="477"/>
      <c r="T43" s="477"/>
      <c r="U43" s="477"/>
      <c r="V43" s="477"/>
      <c r="W43" s="477"/>
      <c r="X43" s="477"/>
      <c r="Y43" s="477"/>
      <c r="Z43" s="477"/>
      <c r="AA43" s="477"/>
      <c r="AB43" s="477"/>
    </row>
    <row r="44" spans="1:28" hidden="1" x14ac:dyDescent="0.2">
      <c r="A44" s="477"/>
      <c r="B44" s="477"/>
      <c r="C44" s="477"/>
      <c r="D44" s="477"/>
      <c r="E44" s="477"/>
      <c r="F44" s="477"/>
      <c r="G44" s="477"/>
      <c r="H44" s="477"/>
      <c r="I44" s="477"/>
      <c r="J44" s="477"/>
      <c r="K44" s="477"/>
      <c r="L44" s="477"/>
      <c r="M44" s="477"/>
      <c r="N44" s="477"/>
      <c r="O44" s="477"/>
      <c r="P44" s="477"/>
      <c r="Q44" s="477"/>
      <c r="R44" s="477"/>
      <c r="S44" s="477"/>
      <c r="T44" s="477"/>
      <c r="U44" s="477"/>
      <c r="V44" s="477"/>
      <c r="W44" s="477"/>
      <c r="X44" s="477"/>
      <c r="Y44" s="477"/>
      <c r="Z44" s="477"/>
      <c r="AA44" s="477"/>
      <c r="AB44" s="477"/>
    </row>
    <row r="45" spans="1:28" hidden="1" x14ac:dyDescent="0.2">
      <c r="A45" s="477"/>
      <c r="B45" s="477"/>
      <c r="C45" s="477"/>
      <c r="D45" s="477"/>
      <c r="E45" s="477"/>
      <c r="F45" s="477"/>
      <c r="G45" s="477"/>
      <c r="H45" s="477"/>
      <c r="I45" s="477"/>
      <c r="J45" s="477"/>
      <c r="K45" s="477"/>
      <c r="L45" s="477"/>
      <c r="M45" s="477"/>
      <c r="N45" s="477"/>
      <c r="O45" s="477"/>
      <c r="P45" s="477"/>
      <c r="Q45" s="477"/>
      <c r="R45" s="477"/>
      <c r="S45" s="477"/>
      <c r="T45" s="477"/>
      <c r="U45" s="477"/>
      <c r="V45" s="477"/>
      <c r="W45" s="477"/>
      <c r="X45" s="477"/>
      <c r="Y45" s="477"/>
      <c r="Z45" s="477"/>
      <c r="AA45" s="477"/>
      <c r="AB45" s="477"/>
    </row>
    <row r="46" spans="1:28" hidden="1" x14ac:dyDescent="0.2">
      <c r="A46" s="477"/>
      <c r="B46" s="477"/>
      <c r="C46" s="477"/>
      <c r="D46" s="477"/>
      <c r="E46" s="477"/>
      <c r="F46" s="477"/>
      <c r="G46" s="477"/>
      <c r="H46" s="477"/>
      <c r="I46" s="477"/>
      <c r="J46" s="477"/>
      <c r="K46" s="477"/>
      <c r="L46" s="477"/>
      <c r="M46" s="477"/>
      <c r="N46" s="477"/>
      <c r="O46" s="477"/>
      <c r="P46" s="477"/>
      <c r="Q46" s="477"/>
      <c r="R46" s="477"/>
      <c r="S46" s="477"/>
      <c r="T46" s="477"/>
      <c r="U46" s="477"/>
      <c r="V46" s="477"/>
      <c r="W46" s="477"/>
      <c r="X46" s="477"/>
      <c r="Y46" s="477"/>
      <c r="Z46" s="477"/>
      <c r="AA46" s="477"/>
      <c r="AB46" s="477"/>
    </row>
    <row r="47" spans="1:28" hidden="1" x14ac:dyDescent="0.2">
      <c r="A47" s="477"/>
      <c r="B47" s="477"/>
      <c r="C47" s="477"/>
      <c r="D47" s="477"/>
      <c r="E47" s="477"/>
      <c r="F47" s="477"/>
      <c r="G47" s="477"/>
      <c r="H47" s="477"/>
      <c r="I47" s="477"/>
      <c r="J47" s="477"/>
      <c r="K47" s="477"/>
      <c r="L47" s="477"/>
      <c r="M47" s="477"/>
      <c r="N47" s="477"/>
      <c r="O47" s="477"/>
      <c r="P47" s="477"/>
      <c r="Q47" s="477"/>
      <c r="R47" s="477"/>
      <c r="S47" s="477"/>
      <c r="T47" s="477"/>
      <c r="U47" s="477"/>
      <c r="V47" s="477"/>
      <c r="W47" s="477"/>
      <c r="X47" s="477"/>
      <c r="Y47" s="477"/>
      <c r="Z47" s="477"/>
      <c r="AA47" s="477"/>
      <c r="AB47" s="477"/>
    </row>
    <row r="48" spans="1:28" hidden="1" x14ac:dyDescent="0.2">
      <c r="A48" s="477"/>
      <c r="B48" s="477"/>
      <c r="C48" s="477"/>
      <c r="D48" s="477"/>
      <c r="E48" s="477"/>
      <c r="F48" s="477"/>
      <c r="G48" s="477"/>
      <c r="H48" s="477"/>
      <c r="I48" s="477"/>
      <c r="J48" s="477"/>
      <c r="K48" s="477"/>
      <c r="L48" s="477"/>
      <c r="M48" s="477"/>
      <c r="N48" s="477"/>
      <c r="O48" s="477"/>
      <c r="P48" s="477"/>
      <c r="Q48" s="477"/>
      <c r="R48" s="477"/>
      <c r="S48" s="477"/>
      <c r="T48" s="477"/>
      <c r="U48" s="477"/>
      <c r="V48" s="477"/>
      <c r="W48" s="477"/>
      <c r="X48" s="477"/>
      <c r="Y48" s="477"/>
      <c r="Z48" s="477"/>
      <c r="AA48" s="477"/>
      <c r="AB48" s="477"/>
    </row>
    <row r="49" spans="1:28" hidden="1" x14ac:dyDescent="0.2">
      <c r="A49" s="477"/>
      <c r="B49" s="477"/>
      <c r="C49" s="477"/>
      <c r="D49" s="477"/>
      <c r="E49" s="477"/>
      <c r="F49" s="477"/>
      <c r="G49" s="477"/>
      <c r="H49" s="477"/>
      <c r="I49" s="477"/>
      <c r="J49" s="477"/>
      <c r="K49" s="477"/>
      <c r="L49" s="477"/>
      <c r="M49" s="477"/>
      <c r="N49" s="477"/>
      <c r="O49" s="477"/>
      <c r="P49" s="477"/>
      <c r="Q49" s="477"/>
      <c r="R49" s="477"/>
      <c r="S49" s="477"/>
      <c r="T49" s="477"/>
      <c r="U49" s="477"/>
      <c r="V49" s="477"/>
      <c r="W49" s="477"/>
      <c r="X49" s="477"/>
      <c r="Y49" s="477"/>
      <c r="Z49" s="477"/>
      <c r="AA49" s="477"/>
      <c r="AB49" s="477"/>
    </row>
    <row r="50" spans="1:28" hidden="1" x14ac:dyDescent="0.2">
      <c r="A50" s="477"/>
      <c r="B50" s="477"/>
      <c r="C50" s="477"/>
      <c r="D50" s="477"/>
      <c r="E50" s="477"/>
      <c r="F50" s="477"/>
      <c r="G50" s="477"/>
      <c r="H50" s="477"/>
      <c r="I50" s="477"/>
      <c r="J50" s="477"/>
      <c r="K50" s="477"/>
      <c r="L50" s="477"/>
      <c r="M50" s="477"/>
      <c r="N50" s="477"/>
      <c r="O50" s="477"/>
      <c r="P50" s="477"/>
      <c r="Q50" s="477"/>
      <c r="R50" s="477"/>
      <c r="S50" s="477"/>
      <c r="T50" s="477"/>
      <c r="U50" s="477"/>
      <c r="V50" s="477"/>
      <c r="W50" s="477"/>
      <c r="X50" s="477"/>
      <c r="Y50" s="477"/>
      <c r="Z50" s="477"/>
      <c r="AA50" s="477"/>
      <c r="AB50" s="477"/>
    </row>
    <row r="51" spans="1:28" hidden="1" x14ac:dyDescent="0.2">
      <c r="A51" s="477"/>
      <c r="B51" s="477"/>
      <c r="C51" s="477"/>
      <c r="D51" s="477"/>
      <c r="E51" s="477"/>
      <c r="F51" s="477"/>
      <c r="G51" s="477"/>
      <c r="H51" s="477"/>
      <c r="I51" s="477"/>
      <c r="J51" s="477"/>
      <c r="K51" s="477"/>
      <c r="L51" s="477"/>
      <c r="M51" s="477"/>
      <c r="N51" s="477"/>
      <c r="O51" s="477"/>
      <c r="P51" s="477"/>
      <c r="Q51" s="477"/>
      <c r="R51" s="477"/>
      <c r="S51" s="477"/>
      <c r="T51" s="477"/>
      <c r="U51" s="477"/>
      <c r="V51" s="477"/>
      <c r="W51" s="477"/>
      <c r="X51" s="477"/>
      <c r="Y51" s="477"/>
      <c r="Z51" s="477"/>
      <c r="AA51" s="477"/>
      <c r="AB51" s="477"/>
    </row>
    <row r="52" spans="1:28" hidden="1" x14ac:dyDescent="0.2">
      <c r="A52" s="477"/>
      <c r="B52" s="477"/>
      <c r="C52" s="477"/>
      <c r="D52" s="477"/>
      <c r="E52" s="477"/>
      <c r="F52" s="477"/>
      <c r="G52" s="477"/>
      <c r="H52" s="477"/>
      <c r="I52" s="477"/>
      <c r="J52" s="477"/>
      <c r="K52" s="477"/>
      <c r="L52" s="477"/>
      <c r="M52" s="477"/>
      <c r="N52" s="477"/>
      <c r="O52" s="477"/>
      <c r="P52" s="477"/>
      <c r="Q52" s="477"/>
      <c r="R52" s="477"/>
      <c r="S52" s="477"/>
      <c r="T52" s="477"/>
      <c r="U52" s="477"/>
      <c r="V52" s="477"/>
      <c r="W52" s="477"/>
      <c r="X52" s="477"/>
      <c r="Y52" s="477"/>
      <c r="Z52" s="477"/>
      <c r="AA52" s="477"/>
      <c r="AB52" s="477"/>
    </row>
    <row r="53" spans="1:28" hidden="1" x14ac:dyDescent="0.2">
      <c r="A53" s="477"/>
      <c r="B53" s="477"/>
      <c r="C53" s="477"/>
      <c r="D53" s="477"/>
      <c r="E53" s="477"/>
      <c r="F53" s="477"/>
      <c r="G53" s="477"/>
      <c r="H53" s="477"/>
      <c r="I53" s="477"/>
      <c r="J53" s="477"/>
      <c r="K53" s="477"/>
      <c r="L53" s="477"/>
      <c r="M53" s="477"/>
      <c r="N53" s="477"/>
      <c r="O53" s="477"/>
      <c r="P53" s="477"/>
      <c r="Q53" s="477"/>
      <c r="R53" s="477"/>
      <c r="S53" s="477"/>
      <c r="T53" s="477"/>
      <c r="U53" s="477"/>
      <c r="V53" s="477"/>
      <c r="W53" s="477"/>
      <c r="X53" s="477"/>
      <c r="Y53" s="477"/>
      <c r="Z53" s="477"/>
      <c r="AA53" s="477"/>
      <c r="AB53" s="477"/>
    </row>
    <row r="54" spans="1:28" hidden="1" x14ac:dyDescent="0.2">
      <c r="A54" s="477"/>
      <c r="B54" s="477"/>
      <c r="C54" s="477"/>
      <c r="D54" s="477"/>
      <c r="E54" s="477"/>
      <c r="F54" s="477"/>
      <c r="G54" s="477"/>
      <c r="H54" s="477"/>
      <c r="I54" s="477"/>
      <c r="J54" s="477"/>
      <c r="K54" s="477"/>
      <c r="L54" s="477"/>
      <c r="M54" s="477"/>
      <c r="N54" s="477"/>
      <c r="O54" s="477"/>
      <c r="P54" s="477"/>
      <c r="Q54" s="477"/>
      <c r="R54" s="477"/>
      <c r="S54" s="477"/>
      <c r="T54" s="477"/>
      <c r="U54" s="477"/>
      <c r="V54" s="477"/>
      <c r="W54" s="477"/>
      <c r="X54" s="477"/>
      <c r="Y54" s="477"/>
      <c r="Z54" s="477"/>
      <c r="AA54" s="477"/>
      <c r="AB54" s="477"/>
    </row>
    <row r="55" spans="1:28" hidden="1" x14ac:dyDescent="0.2">
      <c r="A55" s="477"/>
      <c r="B55" s="477"/>
      <c r="C55" s="477"/>
      <c r="D55" s="477"/>
      <c r="E55" s="477"/>
      <c r="F55" s="477"/>
      <c r="G55" s="477"/>
      <c r="H55" s="477"/>
      <c r="I55" s="477"/>
      <c r="J55" s="477"/>
      <c r="K55" s="477"/>
      <c r="L55" s="477"/>
      <c r="M55" s="477"/>
      <c r="N55" s="477"/>
      <c r="O55" s="477"/>
      <c r="P55" s="477"/>
      <c r="Q55" s="477"/>
      <c r="R55" s="477"/>
      <c r="S55" s="477"/>
      <c r="T55" s="477"/>
      <c r="U55" s="477"/>
      <c r="V55" s="477"/>
      <c r="W55" s="477"/>
      <c r="X55" s="477"/>
      <c r="Y55" s="477"/>
      <c r="Z55" s="477"/>
      <c r="AA55" s="477"/>
      <c r="AB55" s="477"/>
    </row>
    <row r="56" spans="1:28" hidden="1" x14ac:dyDescent="0.2">
      <c r="A56" s="477"/>
      <c r="B56" s="477"/>
      <c r="C56" s="477"/>
      <c r="D56" s="477"/>
      <c r="E56" s="477"/>
      <c r="F56" s="477"/>
      <c r="G56" s="477"/>
      <c r="H56" s="477"/>
      <c r="I56" s="477"/>
      <c r="J56" s="477"/>
      <c r="K56" s="477"/>
      <c r="L56" s="477"/>
      <c r="M56" s="477"/>
      <c r="N56" s="477"/>
      <c r="O56" s="477"/>
      <c r="P56" s="477"/>
      <c r="Q56" s="477"/>
      <c r="R56" s="477"/>
      <c r="S56" s="477"/>
      <c r="T56" s="477"/>
      <c r="U56" s="477"/>
      <c r="V56" s="477"/>
      <c r="W56" s="477"/>
      <c r="X56" s="477"/>
      <c r="Y56" s="477"/>
      <c r="Z56" s="477"/>
      <c r="AA56" s="477"/>
      <c r="AB56" s="477"/>
    </row>
    <row r="57" spans="1:28" hidden="1" x14ac:dyDescent="0.2">
      <c r="A57" s="477"/>
      <c r="B57" s="477"/>
      <c r="C57" s="477"/>
      <c r="D57" s="477"/>
      <c r="E57" s="477"/>
      <c r="F57" s="477"/>
      <c r="G57" s="477"/>
      <c r="H57" s="477"/>
      <c r="I57" s="477"/>
      <c r="J57" s="477"/>
      <c r="K57" s="477"/>
      <c r="L57" s="477"/>
      <c r="M57" s="477"/>
      <c r="N57" s="477"/>
      <c r="O57" s="477"/>
      <c r="P57" s="477"/>
      <c r="Q57" s="477"/>
      <c r="R57" s="477"/>
      <c r="S57" s="477"/>
      <c r="T57" s="477"/>
      <c r="U57" s="477"/>
      <c r="V57" s="477"/>
      <c r="W57" s="477"/>
      <c r="X57" s="477"/>
      <c r="Y57" s="477"/>
      <c r="Z57" s="477"/>
      <c r="AA57" s="477"/>
      <c r="AB57" s="477"/>
    </row>
    <row r="58" spans="1:28" hidden="1" x14ac:dyDescent="0.2">
      <c r="A58" s="477"/>
      <c r="B58" s="477"/>
      <c r="C58" s="477"/>
      <c r="D58" s="477"/>
      <c r="E58" s="477"/>
      <c r="F58" s="477"/>
      <c r="G58" s="477"/>
      <c r="H58" s="477"/>
      <c r="I58" s="477"/>
      <c r="J58" s="477"/>
      <c r="K58" s="477"/>
      <c r="L58" s="477"/>
      <c r="M58" s="477"/>
      <c r="N58" s="477"/>
      <c r="O58" s="477"/>
      <c r="P58" s="477"/>
      <c r="Q58" s="477"/>
      <c r="R58" s="477"/>
      <c r="S58" s="477"/>
      <c r="T58" s="477"/>
      <c r="U58" s="477"/>
      <c r="V58" s="477"/>
      <c r="W58" s="477"/>
      <c r="X58" s="477"/>
      <c r="Y58" s="477"/>
      <c r="Z58" s="477"/>
      <c r="AA58" s="477"/>
      <c r="AB58" s="477"/>
    </row>
    <row r="59" spans="1:28" hidden="1" x14ac:dyDescent="0.2">
      <c r="A59" s="477"/>
      <c r="B59" s="477"/>
      <c r="C59" s="477"/>
      <c r="D59" s="477"/>
      <c r="E59" s="477"/>
      <c r="F59" s="477"/>
      <c r="G59" s="477"/>
      <c r="H59" s="477"/>
      <c r="I59" s="477"/>
      <c r="J59" s="477"/>
      <c r="K59" s="477"/>
      <c r="L59" s="477"/>
      <c r="M59" s="477"/>
      <c r="N59" s="477"/>
      <c r="O59" s="477"/>
      <c r="P59" s="477"/>
      <c r="Q59" s="477"/>
      <c r="R59" s="477"/>
      <c r="S59" s="477"/>
      <c r="T59" s="477"/>
      <c r="U59" s="477"/>
      <c r="V59" s="477"/>
      <c r="W59" s="477"/>
      <c r="X59" s="477"/>
      <c r="Y59" s="477"/>
      <c r="Z59" s="477"/>
      <c r="AA59" s="477"/>
      <c r="AB59" s="477"/>
    </row>
    <row r="60" spans="1:28" hidden="1" x14ac:dyDescent="0.2">
      <c r="A60" s="477"/>
      <c r="B60" s="477"/>
      <c r="C60" s="477"/>
      <c r="D60" s="477"/>
      <c r="E60" s="477"/>
      <c r="F60" s="477"/>
      <c r="G60" s="477"/>
      <c r="H60" s="477"/>
      <c r="I60" s="477"/>
      <c r="J60" s="477"/>
      <c r="K60" s="477"/>
      <c r="L60" s="477"/>
      <c r="M60" s="477"/>
      <c r="N60" s="477"/>
      <c r="O60" s="477"/>
      <c r="P60" s="477"/>
      <c r="Q60" s="477"/>
      <c r="R60" s="477"/>
      <c r="S60" s="477"/>
      <c r="T60" s="477"/>
      <c r="U60" s="477"/>
      <c r="V60" s="477"/>
      <c r="W60" s="477"/>
      <c r="X60" s="477"/>
      <c r="Y60" s="477"/>
      <c r="Z60" s="477"/>
      <c r="AA60" s="477"/>
      <c r="AB60" s="477"/>
    </row>
    <row r="61" spans="1:28" hidden="1" x14ac:dyDescent="0.2">
      <c r="A61" s="79"/>
      <c r="B61" s="79"/>
      <c r="C61" s="79"/>
      <c r="D61" s="79"/>
      <c r="E61" s="79"/>
      <c r="F61" s="79"/>
      <c r="G61" s="79"/>
      <c r="H61" s="79"/>
      <c r="I61" s="79"/>
      <c r="J61" s="79"/>
      <c r="K61" s="62"/>
      <c r="L61" s="79"/>
      <c r="M61" s="62"/>
      <c r="N61" s="540"/>
      <c r="O61" s="541"/>
      <c r="P61" s="62"/>
      <c r="Q61" s="62"/>
      <c r="R61" s="62"/>
      <c r="S61" s="62"/>
      <c r="T61" s="62"/>
      <c r="U61" s="62"/>
    </row>
    <row r="62" spans="1:28" hidden="1" x14ac:dyDescent="0.2">
      <c r="A62" s="79"/>
      <c r="B62" s="322" t="s">
        <v>171</v>
      </c>
      <c r="C62" s="283" t="s">
        <v>175</v>
      </c>
      <c r="D62" s="445"/>
      <c r="E62" s="79"/>
      <c r="F62" s="62"/>
      <c r="G62" s="79"/>
      <c r="H62" s="79"/>
      <c r="I62" s="79"/>
      <c r="J62" s="79"/>
      <c r="K62" s="62"/>
      <c r="L62" s="79"/>
      <c r="M62" s="62"/>
      <c r="N62" s="79"/>
      <c r="O62" s="299"/>
      <c r="P62" s="62"/>
      <c r="Q62" s="62"/>
      <c r="R62" s="62"/>
      <c r="S62" s="62"/>
      <c r="T62" s="62"/>
      <c r="U62" s="62"/>
    </row>
    <row r="63" spans="1:28" hidden="1" x14ac:dyDescent="0.2">
      <c r="A63" s="79"/>
      <c r="B63" s="322" t="s">
        <v>174</v>
      </c>
      <c r="C63" s="283" t="s">
        <v>191</v>
      </c>
      <c r="D63" s="79"/>
      <c r="E63" s="79"/>
      <c r="F63" s="62"/>
      <c r="G63" s="79"/>
      <c r="H63" s="79"/>
      <c r="I63" s="79"/>
      <c r="J63" s="79"/>
      <c r="K63" s="62"/>
      <c r="L63" s="79"/>
      <c r="M63" s="62"/>
      <c r="N63" s="79"/>
      <c r="O63" s="299"/>
      <c r="P63" s="62"/>
      <c r="Q63" s="62"/>
      <c r="R63" s="62"/>
      <c r="S63" s="62"/>
      <c r="T63" s="62"/>
      <c r="U63" s="62"/>
    </row>
    <row r="64" spans="1:28" hidden="1" x14ac:dyDescent="0.2">
      <c r="A64" s="79"/>
      <c r="B64" s="322" t="s">
        <v>177</v>
      </c>
      <c r="C64" s="283" t="s">
        <v>183</v>
      </c>
      <c r="D64" s="79"/>
      <c r="E64" s="79"/>
      <c r="F64" s="62"/>
      <c r="G64" s="79"/>
      <c r="H64" s="79"/>
      <c r="I64" s="79"/>
      <c r="J64" s="79"/>
      <c r="K64" s="62"/>
      <c r="L64" s="79"/>
      <c r="M64" s="62"/>
      <c r="N64" s="79"/>
      <c r="O64" s="299"/>
      <c r="P64" s="62"/>
      <c r="Q64" s="62"/>
      <c r="R64" s="62"/>
      <c r="S64" s="62"/>
      <c r="T64" s="62"/>
      <c r="U64" s="62"/>
    </row>
    <row r="65" spans="1:21" hidden="1" x14ac:dyDescent="0.2">
      <c r="A65" s="79"/>
      <c r="B65" s="79"/>
      <c r="C65" s="79"/>
      <c r="D65" s="79"/>
      <c r="E65" s="79"/>
      <c r="F65" s="79"/>
      <c r="G65" s="79"/>
      <c r="H65" s="79"/>
      <c r="I65" s="79"/>
      <c r="J65" s="79"/>
      <c r="K65" s="62"/>
      <c r="L65" s="79"/>
      <c r="M65" s="62"/>
      <c r="N65" s="79"/>
      <c r="O65" s="299"/>
      <c r="P65" s="62"/>
      <c r="Q65" s="62"/>
      <c r="R65" s="62"/>
      <c r="S65" s="62"/>
      <c r="T65" s="62"/>
      <c r="U65" s="62"/>
    </row>
    <row r="66" spans="1:21" hidden="1" x14ac:dyDescent="0.2">
      <c r="A66" s="79"/>
      <c r="B66" s="322" t="s">
        <v>171</v>
      </c>
      <c r="C66" s="283" t="s">
        <v>184</v>
      </c>
      <c r="D66" s="283" t="s">
        <v>183</v>
      </c>
      <c r="E66" s="79"/>
      <c r="F66" s="79"/>
      <c r="G66" s="79"/>
      <c r="H66" s="79"/>
      <c r="I66" s="79"/>
      <c r="J66" s="79"/>
      <c r="K66" s="62"/>
      <c r="L66" s="79"/>
      <c r="M66" s="62"/>
      <c r="N66" s="79"/>
      <c r="O66" s="299"/>
      <c r="P66" s="62"/>
      <c r="Q66" s="62"/>
      <c r="R66" s="62"/>
      <c r="S66" s="62"/>
      <c r="T66" s="62"/>
      <c r="U66" s="62"/>
    </row>
    <row r="67" spans="1:21" hidden="1" x14ac:dyDescent="0.2">
      <c r="A67" s="79"/>
      <c r="B67" s="322" t="s">
        <v>174</v>
      </c>
      <c r="C67" s="283" t="s">
        <v>175</v>
      </c>
      <c r="D67" s="283" t="s">
        <v>173</v>
      </c>
      <c r="E67" s="79"/>
      <c r="F67" s="79"/>
      <c r="G67" s="79"/>
      <c r="H67" s="79"/>
      <c r="I67" s="79"/>
      <c r="J67" s="79"/>
      <c r="K67" s="62"/>
      <c r="L67" s="79"/>
      <c r="M67" s="62"/>
      <c r="N67" s="79"/>
      <c r="O67" s="299"/>
      <c r="P67" s="62"/>
      <c r="Q67" s="62"/>
      <c r="R67" s="62"/>
      <c r="S67" s="62"/>
      <c r="T67" s="62"/>
      <c r="U67" s="62"/>
    </row>
    <row r="68" spans="1:21" hidden="1" x14ac:dyDescent="0.2">
      <c r="A68" s="79"/>
      <c r="B68" s="322" t="s">
        <v>177</v>
      </c>
      <c r="C68" s="283" t="s">
        <v>191</v>
      </c>
      <c r="D68" s="283" t="s">
        <v>179</v>
      </c>
      <c r="E68" s="79"/>
      <c r="F68" s="79"/>
      <c r="G68" s="79"/>
      <c r="H68" s="79"/>
      <c r="I68" s="79"/>
      <c r="J68" s="79"/>
      <c r="K68" s="62"/>
      <c r="L68" s="79"/>
      <c r="M68" s="62"/>
      <c r="N68" s="79"/>
      <c r="O68" s="299"/>
      <c r="P68" s="62"/>
      <c r="Q68" s="62"/>
      <c r="R68" s="62"/>
      <c r="S68" s="62"/>
      <c r="T68" s="62"/>
      <c r="U68" s="62"/>
    </row>
    <row r="69" spans="1:21" x14ac:dyDescent="0.2">
      <c r="A69" s="79"/>
      <c r="B69" s="330"/>
      <c r="C69" s="140"/>
      <c r="D69" s="140"/>
      <c r="E69" s="79"/>
      <c r="F69" s="79"/>
      <c r="G69" s="79"/>
      <c r="H69" s="79"/>
      <c r="I69" s="79"/>
      <c r="J69" s="79"/>
      <c r="K69" s="62"/>
      <c r="L69" s="79"/>
      <c r="M69" s="62"/>
      <c r="N69" s="79"/>
      <c r="O69" s="299"/>
      <c r="P69" s="62"/>
      <c r="Q69" s="62"/>
      <c r="R69" s="62"/>
      <c r="S69" s="62"/>
      <c r="T69" s="62"/>
      <c r="U69" s="62"/>
    </row>
    <row r="70" spans="1:21" x14ac:dyDescent="0.2">
      <c r="A70" s="79"/>
      <c r="B70" s="322" t="s">
        <v>171</v>
      </c>
      <c r="C70" s="283" t="s">
        <v>172</v>
      </c>
      <c r="D70" s="283" t="s">
        <v>173</v>
      </c>
      <c r="E70" s="79"/>
      <c r="F70" s="62"/>
      <c r="G70" s="62"/>
      <c r="H70" s="79"/>
      <c r="I70" s="79"/>
      <c r="J70" s="79"/>
      <c r="K70" s="62"/>
      <c r="L70" s="79"/>
      <c r="M70" s="62"/>
      <c r="N70" s="79"/>
      <c r="O70" s="299"/>
      <c r="P70" s="62"/>
      <c r="Q70" s="62"/>
      <c r="R70" s="62"/>
      <c r="S70" s="62"/>
      <c r="T70" s="62"/>
      <c r="U70" s="62"/>
    </row>
    <row r="71" spans="1:21" x14ac:dyDescent="0.2">
      <c r="A71" s="79"/>
      <c r="B71" s="322" t="s">
        <v>174</v>
      </c>
      <c r="C71" s="283" t="s">
        <v>184</v>
      </c>
      <c r="D71" s="283" t="s">
        <v>183</v>
      </c>
      <c r="E71" s="79"/>
      <c r="F71" s="62"/>
      <c r="G71" s="62"/>
      <c r="H71" s="62"/>
      <c r="I71" s="79"/>
      <c r="J71" s="79"/>
      <c r="K71" s="62"/>
      <c r="L71" s="79"/>
      <c r="M71" s="62"/>
      <c r="N71" s="79"/>
      <c r="O71" s="299"/>
      <c r="P71" s="62"/>
      <c r="Q71" s="62"/>
      <c r="R71" s="62"/>
      <c r="S71" s="62"/>
      <c r="T71" s="62"/>
      <c r="U71" s="62"/>
    </row>
    <row r="72" spans="1:21" x14ac:dyDescent="0.2">
      <c r="A72" s="79"/>
      <c r="B72" s="322" t="s">
        <v>177</v>
      </c>
      <c r="C72" s="283" t="s">
        <v>175</v>
      </c>
      <c r="D72" s="283" t="s">
        <v>176</v>
      </c>
      <c r="E72" s="79"/>
      <c r="F72" s="62"/>
      <c r="G72" s="62"/>
      <c r="H72" s="79"/>
      <c r="I72" s="79"/>
      <c r="J72" s="79"/>
      <c r="K72" s="62"/>
      <c r="L72" s="79"/>
      <c r="M72" s="62"/>
      <c r="N72" s="79"/>
      <c r="O72" s="299"/>
      <c r="P72" s="62"/>
      <c r="Q72" s="62"/>
      <c r="R72" s="62"/>
      <c r="S72" s="62"/>
      <c r="T72" s="62"/>
      <c r="U72" s="62"/>
    </row>
    <row r="73" spans="1:21" x14ac:dyDescent="0.2">
      <c r="A73" s="79"/>
      <c r="B73" s="322" t="s">
        <v>180</v>
      </c>
      <c r="C73" s="446" t="s">
        <v>191</v>
      </c>
      <c r="D73" s="283" t="s">
        <v>181</v>
      </c>
      <c r="E73" s="79"/>
      <c r="F73" s="62"/>
      <c r="G73" s="62"/>
      <c r="H73" s="79"/>
      <c r="I73" s="79"/>
      <c r="J73" s="79"/>
      <c r="K73" s="62"/>
      <c r="L73" s="79"/>
      <c r="M73" s="62"/>
      <c r="N73" s="79"/>
      <c r="O73" s="299"/>
      <c r="P73" s="62"/>
      <c r="Q73" s="62"/>
      <c r="R73" s="62"/>
      <c r="S73" s="62"/>
      <c r="T73" s="62"/>
      <c r="U73" s="62"/>
    </row>
    <row r="74" spans="1:21" x14ac:dyDescent="0.2">
      <c r="A74" s="79"/>
      <c r="B74" s="322" t="s">
        <v>182</v>
      </c>
      <c r="C74" s="283" t="s">
        <v>178</v>
      </c>
      <c r="D74" s="283" t="s">
        <v>179</v>
      </c>
      <c r="E74" s="79"/>
      <c r="F74" s="62"/>
      <c r="G74" s="62"/>
      <c r="H74" s="79"/>
      <c r="I74" s="79"/>
      <c r="J74" s="79"/>
      <c r="K74" s="62"/>
      <c r="L74" s="79"/>
      <c r="M74" s="62"/>
      <c r="N74" s="79"/>
      <c r="O74" s="299"/>
      <c r="P74" s="62"/>
      <c r="Q74" s="62"/>
      <c r="R74" s="62"/>
      <c r="S74" s="62"/>
      <c r="T74" s="62"/>
      <c r="U74" s="62"/>
    </row>
    <row r="75" spans="1:21" hidden="1" x14ac:dyDescent="0.2"/>
    <row r="76" spans="1:21" hidden="1" x14ac:dyDescent="0.2"/>
    <row r="77" spans="1:21" hidden="1" x14ac:dyDescent="0.2"/>
    <row r="78" spans="1:21" hidden="1" x14ac:dyDescent="0.2"/>
    <row r="79" spans="1:21" hidden="1" x14ac:dyDescent="0.2"/>
    <row r="80" spans="1:21"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2" hidden="1" x14ac:dyDescent="0.2"/>
    <row r="290" spans="1:2" hidden="1" x14ac:dyDescent="0.2"/>
    <row r="291" spans="1:2" hidden="1" x14ac:dyDescent="0.2"/>
    <row r="292" spans="1:2" hidden="1" x14ac:dyDescent="0.2"/>
    <row r="293" spans="1:2" hidden="1" x14ac:dyDescent="0.2"/>
    <row r="294" spans="1:2" hidden="1" x14ac:dyDescent="0.2"/>
    <row r="295" spans="1:2" hidden="1" x14ac:dyDescent="0.2"/>
    <row r="296" spans="1:2" hidden="1" x14ac:dyDescent="0.2"/>
    <row r="297" spans="1:2" hidden="1" x14ac:dyDescent="0.2"/>
    <row r="298" spans="1:2" hidden="1" x14ac:dyDescent="0.2"/>
    <row r="299" spans="1:2" x14ac:dyDescent="0.2">
      <c r="A299" s="271"/>
      <c r="B299" s="271"/>
    </row>
    <row r="300" spans="1:2" x14ac:dyDescent="0.2">
      <c r="A300" s="530">
        <v>1</v>
      </c>
      <c r="B300" s="529" t="str">
        <f>IFERROR(INDEX(B$7:B$11,MATCH(""&amp;A300,I$7:I$11,0)),"")</f>
        <v>Aurelia Meldre, Tõnu Piik, Ülo Piik</v>
      </c>
    </row>
    <row r="301" spans="1:2" x14ac:dyDescent="0.2">
      <c r="A301" s="530">
        <v>2</v>
      </c>
      <c r="B301" s="529" t="str">
        <f t="shared" ref="B301:B304" si="7">IFERROR(INDEX(B$7:B$11,MATCH(""&amp;A301,I$7:I$11,0)),"")</f>
        <v>Jaan Saar, Kaspar Mänd, Svetlana Veski</v>
      </c>
    </row>
    <row r="302" spans="1:2" x14ac:dyDescent="0.2">
      <c r="A302" s="530">
        <v>3</v>
      </c>
      <c r="B302" s="529" t="str">
        <f t="shared" si="7"/>
        <v>Andres Veski, Kenneth Muusikus, Ljudmila Varendi</v>
      </c>
    </row>
    <row r="303" spans="1:2" x14ac:dyDescent="0.2">
      <c r="A303" s="530">
        <v>4</v>
      </c>
      <c r="B303" s="529" t="str">
        <f t="shared" si="7"/>
        <v>Enn Tokman, Illar Tõnurist, Oleg Rõndenkov</v>
      </c>
    </row>
    <row r="304" spans="1:2" x14ac:dyDescent="0.2">
      <c r="A304" s="530">
        <v>5</v>
      </c>
      <c r="B304" s="529" t="str">
        <f t="shared" si="7"/>
        <v>Karla Purgats, Lemmit Toomra, Viktor Švarõgin</v>
      </c>
    </row>
  </sheetData>
  <conditionalFormatting sqref="D7 C8">
    <cfRule type="aboveAverage" dxfId="2682" priority="453"/>
  </conditionalFormatting>
  <conditionalFormatting sqref="E7 C9">
    <cfRule type="aboveAverage" dxfId="2681" priority="452"/>
  </conditionalFormatting>
  <conditionalFormatting sqref="F7 C10">
    <cfRule type="aboveAverage" dxfId="2680" priority="451"/>
  </conditionalFormatting>
  <conditionalFormatting sqref="E8 D9">
    <cfRule type="aboveAverage" dxfId="2679" priority="450"/>
  </conditionalFormatting>
  <conditionalFormatting sqref="G7 C11">
    <cfRule type="aboveAverage" dxfId="2678" priority="449"/>
  </conditionalFormatting>
  <conditionalFormatting sqref="F8 D10">
    <cfRule type="aboveAverage" dxfId="2677" priority="448"/>
  </conditionalFormatting>
  <conditionalFormatting sqref="G8 D11">
    <cfRule type="aboveAverage" dxfId="2676" priority="447"/>
  </conditionalFormatting>
  <conditionalFormatting sqref="F9 E10">
    <cfRule type="aboveAverage" dxfId="2675" priority="446"/>
  </conditionalFormatting>
  <conditionalFormatting sqref="G9 E11">
    <cfRule type="aboveAverage" dxfId="2674" priority="445"/>
  </conditionalFormatting>
  <conditionalFormatting sqref="F11 G10">
    <cfRule type="aboveAverage" dxfId="2673" priority="444"/>
  </conditionalFormatting>
  <conditionalFormatting sqref="B7:B12">
    <cfRule type="duplicateValues" dxfId="2672" priority="359"/>
  </conditionalFormatting>
  <conditionalFormatting sqref="L7:L11">
    <cfRule type="expression" dxfId="2671" priority="342">
      <formula>K7=0</formula>
    </cfRule>
    <cfRule type="expression" dxfId="2670" priority="351">
      <formula>IF(COUNTIF(J$7:J$11,"=2")=2,TRUE)</formula>
    </cfRule>
    <cfRule type="expression" dxfId="2669" priority="352">
      <formula>IF(COUNTIF(J$7:J$11,"=1")=2,TRUE)</formula>
    </cfRule>
    <cfRule type="expression" dxfId="2668" priority="353">
      <formula>AND(IF(COUNTIF(Q$7:Q$11,"=1")=2,TRUE),IF(COUNTIF(Q$7:Q$11,"=2")=2,TRUE))</formula>
    </cfRule>
    <cfRule type="expression" dxfId="2667" priority="354">
      <formula>AND(Q7=4,IF(COUNTIF(Q$7:Q$11,"=4")=1,TRUE))</formula>
    </cfRule>
    <cfRule type="expression" dxfId="2666" priority="355">
      <formula>AND(Q7=3,IF(COUNTIF(Q$7:Q$11,"=3")=1,TRUE))</formula>
    </cfRule>
    <cfRule type="expression" dxfId="2665" priority="356">
      <formula>AND(Q7=2,IF(COUNTIF(Q$7:Q$11,"=2")=1,TRUE))</formula>
    </cfRule>
    <cfRule type="expression" dxfId="2664" priority="357">
      <formula>AND(Q7=1,IF(COUNTIF(Q$7:Q$11,"=1")=1,TRUE))</formula>
    </cfRule>
    <cfRule type="expression" dxfId="2663" priority="358">
      <formula>OR(Q7=0,Q7=5)</formula>
    </cfRule>
  </conditionalFormatting>
  <conditionalFormatting sqref="O7:O11">
    <cfRule type="expression" dxfId="2662" priority="350">
      <formula>OR(AND(J7=1,K7=1,L7=0,M7=1),AND(J7=2,K7=2,L7=0,M7=2))</formula>
    </cfRule>
  </conditionalFormatting>
  <conditionalFormatting sqref="M7:M11">
    <cfRule type="expression" dxfId="2661" priority="343">
      <formula>AND(L7&gt;0,IF(COUNTIF(L$7:L$11,L7)&gt;1,TRUE,FALSE))</formula>
    </cfRule>
    <cfRule type="expression" dxfId="2660" priority="344">
      <formula>AND(IF(COUNTIF(R$7:R$11,"=1")=2,TRUE),IF(COUNTIF(R$7:R$11,"=2")=2,TRUE))</formula>
    </cfRule>
    <cfRule type="expression" dxfId="2659" priority="345">
      <formula>AND(R7=4,IF(COUNTIF(R$7:R$11,"=4")=1,TRUE))</formula>
    </cfRule>
    <cfRule type="expression" dxfId="2658" priority="346">
      <formula>AND(R7=3,IF(COUNTIF(R$7:R$11,"=3")=1,TRUE))</formula>
    </cfRule>
    <cfRule type="expression" dxfId="2657" priority="347">
      <formula>AND(R7=2,IF(COUNTIF(R$7:R$11,"=2")=1,TRUE))</formula>
    </cfRule>
    <cfRule type="expression" dxfId="2656" priority="348">
      <formula>AND(R7=1,IF(COUNTIF(R$7:R$11,"=1")=1,TRUE))</formula>
    </cfRule>
    <cfRule type="expression" dxfId="2655" priority="349">
      <formula>OR(R7=0,R7=5)</formula>
    </cfRule>
  </conditionalFormatting>
  <conditionalFormatting sqref="J7:J11">
    <cfRule type="expression" dxfId="2654" priority="338">
      <formula>AND(Q7=4,IF(COUNTIF(Q$7:Q$11,"=4")&gt;=2,TRUE))</formula>
    </cfRule>
    <cfRule type="expression" dxfId="2653" priority="339">
      <formula>AND(Q7=3,IF(COUNTIF(Q$7:Q$11,"=3")&gt;=2,TRUE))</formula>
    </cfRule>
    <cfRule type="expression" dxfId="2652" priority="340">
      <formula>AND(Q7=2,IF(COUNTIF(Q$7:Q$11,"=2")&gt;=2,TRUE))</formula>
    </cfRule>
    <cfRule type="expression" dxfId="2651" priority="341">
      <formula>AND(Q7=1,IF(COUNTIF(Q$7:Q$11,"=1")&gt;=2,TRUE))</formula>
    </cfRule>
  </conditionalFormatting>
  <conditionalFormatting sqref="H7:H11">
    <cfRule type="expression" dxfId="2650" priority="305">
      <formula>AND(Q7=4,IF(COUNTIF(Q$7:Q$11,"=4")&gt;=2,TRUE))</formula>
    </cfRule>
    <cfRule type="expression" dxfId="2649" priority="457">
      <formula>AND(Q7=3,IF(COUNTIF(Q$7:Q$11,"=3")&gt;=2,TRUE))</formula>
    </cfRule>
    <cfRule type="expression" dxfId="2648" priority="458">
      <formula>AND(Q7=2,IF(COUNTIF(Q$7:Q$11,"=2")&gt;=2,TRUE))</formula>
    </cfRule>
    <cfRule type="expression" dxfId="2647" priority="459">
      <formula>AND(Q7=1,IF(COUNTIF(Q$7:Q$11,"=1")&gt;=2,TRUE))</formula>
    </cfRule>
  </conditionalFormatting>
  <conditionalFormatting sqref="K7:K11">
    <cfRule type="expression" dxfId="2646" priority="460">
      <formula>AND(J7&gt;0,IF(COUNTIF(J$7:J$11,"=1")=2,TRUE),IF(COUNTIF(J$7:J$11,"=2")=2,TRUE))</formula>
    </cfRule>
    <cfRule type="expression" dxfId="2645" priority="461">
      <formula>IF(COUNTIF(L$7:L$11,"=2")=2,TRUE)</formula>
    </cfRule>
    <cfRule type="expression" dxfId="2644" priority="462">
      <formula>IF(COUNTIF(L$7:L$11,"=1")=2,TRUE)</formula>
    </cfRule>
    <cfRule type="expression" dxfId="2643" priority="463">
      <formula>AND(IF(COUNTIF(R$7:R$11,"=1")=2,TRUE),IF(COUNTIF(S$7:S$11,"=2")=2,TRUE))</formula>
    </cfRule>
    <cfRule type="expression" dxfId="2642" priority="464">
      <formula>AND(R7=4,IF(COUNTIF(R$7:R$11,"=4")=1,TRUE))</formula>
    </cfRule>
    <cfRule type="expression" dxfId="2641" priority="465">
      <formula>AND(R7=3,IF(COUNTIF(R$7:R$11,"=3")=1,TRUE))</formula>
    </cfRule>
    <cfRule type="expression" dxfId="2640" priority="466">
      <formula>AND(R7=2,IF(COUNTIF(R$7:R$11,"=2")=1,TRUE))</formula>
    </cfRule>
    <cfRule type="expression" dxfId="2639" priority="467">
      <formula>AND(R7=1,IF(COUNTIF(R$7:R$11,"=1")=1,TRUE))</formula>
    </cfRule>
    <cfRule type="expression" dxfId="2638" priority="468">
      <formula>OR(R7=0,R7=5)</formula>
    </cfRule>
  </conditionalFormatting>
  <conditionalFormatting sqref="B300:B304">
    <cfRule type="expression" dxfId="2637" priority="22">
      <formula>A300=3</formula>
    </cfRule>
    <cfRule type="expression" dxfId="2636" priority="23">
      <formula>A300=2</formula>
    </cfRule>
    <cfRule type="expression" dxfId="2635" priority="24">
      <formula>A300=1</formula>
    </cfRule>
    <cfRule type="containsBlanks" dxfId="2634" priority="25">
      <formula>LEN(TRIM(B300))=0</formula>
    </cfRule>
    <cfRule type="duplicateValues" dxfId="2633" priority="26"/>
  </conditionalFormatting>
  <conditionalFormatting sqref="AJ7:AJ11">
    <cfRule type="expression" dxfId="2632" priority="7">
      <formula>AND(AI7="",FIND(",",AJ7))</formula>
    </cfRule>
    <cfRule type="expression" dxfId="2631" priority="9">
      <formula>AND(AI7="",COUNTIF(AJ7,"*,*")=0)</formula>
    </cfRule>
  </conditionalFormatting>
  <conditionalFormatting sqref="AH7:AH11">
    <cfRule type="expression" dxfId="2630" priority="10">
      <formula>AND(AG7="",FIND(",",AH7))</formula>
    </cfRule>
    <cfRule type="expression" dxfId="2629" priority="11">
      <formula>AND(AG7="",COUNTIF(AH7,"*,*")=0)</formula>
    </cfRule>
  </conditionalFormatting>
  <conditionalFormatting sqref="AL7:AL11">
    <cfRule type="expression" dxfId="2628" priority="12">
      <formula>AND(AK7="",FIND(",",AL7))</formula>
    </cfRule>
    <cfRule type="expression" dxfId="2627" priority="13">
      <formula>AND(AK7="",COUNTIF(AL7,"*,*")=0)</formula>
    </cfRule>
  </conditionalFormatting>
  <conditionalFormatting sqref="AF7:AF11">
    <cfRule type="expression" dxfId="2626" priority="8">
      <formula>AND(AE7="",COUNTIF(AF7,"*,*")=0)</formula>
    </cfRule>
  </conditionalFormatting>
  <conditionalFormatting sqref="AN7:AN11">
    <cfRule type="expression" dxfId="2625" priority="4">
      <formula>AND(AM7="",COUNTIF(AN7,"*,*")=0)</formula>
    </cfRule>
    <cfRule type="expression" dxfId="2624" priority="6">
      <formula>AND(AM7="",FIND(",",AN7))</formula>
    </cfRule>
  </conditionalFormatting>
  <conditionalFormatting sqref="AP7:AP11">
    <cfRule type="expression" dxfId="2623" priority="3">
      <formula>AND(AO7="",COUNTIF(AP7,"*,*")=0)</formula>
    </cfRule>
    <cfRule type="expression" dxfId="2622" priority="5">
      <formula>AND(AO7="",FIND(",",AP7))</formula>
    </cfRule>
  </conditionalFormatting>
  <conditionalFormatting sqref="I7:I11">
    <cfRule type="expression" dxfId="2621" priority="1">
      <formula>FIND(2,I7,1)</formula>
    </cfRule>
    <cfRule type="expression" dxfId="2620" priority="2">
      <formula>FIND(1,I7,1)</formula>
    </cfRule>
  </conditionalFormatting>
  <pageMargins left="0.78740157480314965" right="0.39370078740157483" top="0.78740157480314965" bottom="0.39370078740157483" header="0.78740157480314965" footer="0"/>
  <pageSetup paperSize="9" fitToHeight="0" orientation="landscape" verticalDpi="1200" r:id="rId1"/>
  <headerFooter>
    <oddHeader>&amp;R&amp;P. leht &amp;N&amp; -st</oddHead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pageSetUpPr fitToPage="1"/>
  </sheetPr>
  <dimension ref="A1:AP315"/>
  <sheetViews>
    <sheetView showGridLines="0" showRowColHeaders="0" workbookViewId="0">
      <pane ySplit="1" topLeftCell="A2" activePane="bottomLeft" state="frozen"/>
      <selection pane="bottomLeft" activeCell="A5" sqref="A5"/>
    </sheetView>
  </sheetViews>
  <sheetFormatPr defaultRowHeight="12.75" x14ac:dyDescent="0.2"/>
  <cols>
    <col min="1" max="1" width="3.28515625" style="1" customWidth="1"/>
    <col min="2" max="2" width="29" style="1" bestFit="1" customWidth="1"/>
    <col min="3" max="7" width="7.7109375" style="1" customWidth="1"/>
    <col min="8" max="9" width="6.7109375" style="1" customWidth="1"/>
    <col min="10" max="15" width="5.5703125" style="1" customWidth="1"/>
    <col min="16" max="20" width="0" style="1" hidden="1" customWidth="1"/>
    <col min="21" max="21" width="9.140625" style="1"/>
    <col min="22" max="28" width="0" style="1" hidden="1" customWidth="1"/>
    <col min="29" max="29" width="9.140625" style="1"/>
    <col min="30" max="31" width="9.140625" style="1" hidden="1" customWidth="1"/>
    <col min="32" max="32" width="16.5703125" style="1" hidden="1" customWidth="1"/>
    <col min="33" max="33" width="9.140625" style="1" hidden="1" customWidth="1"/>
    <col min="34" max="34" width="18.7109375" style="1" hidden="1" customWidth="1"/>
    <col min="35" max="35" width="9.140625" style="1" hidden="1" customWidth="1"/>
    <col min="36" max="36" width="17.28515625" style="1" hidden="1" customWidth="1"/>
    <col min="37" max="37" width="9.140625" style="1" hidden="1" customWidth="1"/>
    <col min="38" max="38" width="16" style="1" hidden="1" customWidth="1"/>
    <col min="39" max="39" width="9.140625" style="1" hidden="1" customWidth="1"/>
    <col min="40" max="40" width="17.28515625" style="1" hidden="1" customWidth="1"/>
    <col min="41" max="41" width="9.140625" style="1" hidden="1" customWidth="1"/>
    <col min="42" max="42" width="13.85546875" style="1" hidden="1" customWidth="1"/>
    <col min="43" max="16384" width="9.140625" style="1"/>
  </cols>
  <sheetData>
    <row r="1" spans="1:42" x14ac:dyDescent="0.2">
      <c r="A1" s="400" t="str">
        <f>UPPER((Kalend!E21)&amp;" - "&amp;(Kalend!C21))&amp;" - "&amp;LOWER(Kalend!D21)&amp;" - "&amp;(Kalend!A21)&amp;" kell "&amp;(Kalend!B21)&amp;" - "&amp;(Kalend!F21)</f>
        <v>V8 - VOKA III SISE-KV 8. ETAPP - duo - P, 19.01.2020 kell 11:00 - Voka petangihall</v>
      </c>
      <c r="C1" s="477"/>
      <c r="D1" s="477"/>
      <c r="E1" s="477"/>
      <c r="F1" s="477"/>
      <c r="G1" s="477"/>
      <c r="H1" s="477"/>
      <c r="I1" s="477"/>
      <c r="J1" s="477"/>
      <c r="K1" s="477"/>
      <c r="L1" s="477"/>
      <c r="M1" s="477"/>
      <c r="N1" s="477"/>
      <c r="P1" s="447" t="s">
        <v>94</v>
      </c>
      <c r="Q1" s="448"/>
      <c r="R1" s="448"/>
      <c r="S1" s="448"/>
      <c r="T1" s="448"/>
      <c r="U1" s="70"/>
      <c r="V1" s="70"/>
      <c r="W1" s="271"/>
      <c r="X1" s="291"/>
      <c r="Y1" s="271"/>
      <c r="Z1" s="271"/>
      <c r="AA1" s="271"/>
      <c r="AD1" s="152" t="s">
        <v>94</v>
      </c>
      <c r="AE1" s="402"/>
      <c r="AF1" s="402"/>
      <c r="AG1" s="402"/>
      <c r="AH1" s="402"/>
      <c r="AI1" s="402"/>
      <c r="AJ1" s="402"/>
      <c r="AK1" s="402"/>
      <c r="AL1" s="402"/>
      <c r="AM1" s="402"/>
      <c r="AN1" s="402"/>
      <c r="AO1" s="532"/>
      <c r="AP1" s="532"/>
    </row>
    <row r="2" spans="1:42" ht="12.75" hidden="1" customHeight="1" x14ac:dyDescent="0.2">
      <c r="A2" s="477"/>
      <c r="C2" s="477"/>
      <c r="D2" s="477"/>
      <c r="E2" s="477"/>
      <c r="F2" s="477"/>
      <c r="G2" s="477"/>
      <c r="H2" s="477"/>
      <c r="I2" s="477"/>
      <c r="J2" s="477"/>
      <c r="K2" s="477"/>
      <c r="L2" s="477"/>
      <c r="M2" s="477"/>
      <c r="N2" s="477"/>
      <c r="O2" s="271"/>
      <c r="P2" s="271"/>
      <c r="Q2" s="271"/>
      <c r="R2" s="271"/>
      <c r="S2" s="271"/>
      <c r="T2" s="409"/>
      <c r="U2" s="409"/>
      <c r="V2" s="409"/>
      <c r="W2" s="271"/>
      <c r="X2" s="271"/>
      <c r="Y2" s="271"/>
      <c r="Z2" s="271"/>
      <c r="AD2" s="271"/>
      <c r="AE2" s="271"/>
      <c r="AF2" s="271"/>
      <c r="AG2" s="271"/>
      <c r="AH2" s="271"/>
      <c r="AI2" s="271"/>
      <c r="AJ2" s="412"/>
      <c r="AK2" s="271"/>
      <c r="AL2" s="271"/>
      <c r="AM2" s="271"/>
      <c r="AN2" s="271"/>
    </row>
    <row r="3" spans="1:42" ht="12.75" hidden="1" customHeight="1" x14ac:dyDescent="0.2">
      <c r="A3" s="477"/>
      <c r="C3" s="477"/>
      <c r="D3" s="477"/>
      <c r="E3" s="477"/>
      <c r="F3" s="477"/>
      <c r="G3" s="477"/>
      <c r="H3" s="477"/>
      <c r="I3" s="477"/>
      <c r="J3" s="477"/>
      <c r="K3" s="477"/>
      <c r="L3" s="477"/>
      <c r="M3" s="477"/>
      <c r="N3" s="477"/>
      <c r="O3" s="271"/>
      <c r="P3" s="271"/>
      <c r="Q3" s="271"/>
      <c r="R3" s="271"/>
      <c r="S3" s="271"/>
      <c r="T3" s="409"/>
      <c r="U3" s="409"/>
      <c r="V3" s="409"/>
      <c r="W3" s="271"/>
      <c r="X3" s="271"/>
      <c r="Y3" s="271"/>
      <c r="Z3" s="271"/>
      <c r="AA3" s="271"/>
      <c r="AE3" s="271"/>
      <c r="AG3" s="271"/>
      <c r="AH3" s="271"/>
      <c r="AI3" s="271"/>
      <c r="AJ3" s="271"/>
      <c r="AK3" s="271"/>
      <c r="AL3" s="271"/>
      <c r="AM3" s="271"/>
      <c r="AN3" s="271"/>
    </row>
    <row r="4" spans="1:42" ht="12.75" hidden="1" customHeight="1" x14ac:dyDescent="0.2">
      <c r="A4" s="477"/>
      <c r="F4" s="271"/>
      <c r="G4" s="312"/>
      <c r="H4" s="312"/>
      <c r="I4" s="141"/>
      <c r="J4" s="141"/>
      <c r="K4" s="415"/>
      <c r="L4" s="312"/>
      <c r="M4" s="271"/>
      <c r="N4" s="271"/>
      <c r="O4" s="271"/>
      <c r="P4" s="271"/>
      <c r="Q4" s="271"/>
      <c r="R4" s="271"/>
      <c r="S4" s="271"/>
      <c r="T4" s="271"/>
      <c r="U4" s="271"/>
      <c r="V4" s="271"/>
      <c r="W4" s="271"/>
      <c r="X4" s="271"/>
      <c r="Y4" s="271"/>
      <c r="Z4" s="271"/>
      <c r="AA4" s="271"/>
      <c r="AE4" s="409"/>
      <c r="AF4" s="409"/>
      <c r="AG4" s="409"/>
      <c r="AH4" s="376"/>
      <c r="AI4" s="409"/>
      <c r="AJ4" s="409"/>
      <c r="AK4" s="409"/>
      <c r="AL4" s="409"/>
      <c r="AM4" s="409"/>
      <c r="AN4" s="409"/>
      <c r="AO4" s="409"/>
      <c r="AP4" s="409"/>
    </row>
    <row r="5" spans="1:42" x14ac:dyDescent="0.2">
      <c r="F5" s="271"/>
      <c r="G5" s="53"/>
      <c r="H5" s="53"/>
      <c r="I5" s="53"/>
      <c r="J5" s="53"/>
      <c r="K5" s="53"/>
      <c r="L5" s="312"/>
      <c r="M5" s="271"/>
      <c r="N5" s="967" t="s">
        <v>476</v>
      </c>
      <c r="O5" s="271"/>
      <c r="P5" s="271"/>
      <c r="Q5" s="271"/>
      <c r="R5" s="271"/>
      <c r="S5" s="271"/>
      <c r="T5" s="271"/>
      <c r="U5" s="271"/>
      <c r="V5" s="271"/>
      <c r="W5" s="271"/>
      <c r="X5" s="271"/>
      <c r="Y5" s="271"/>
      <c r="Z5" s="271"/>
      <c r="AA5" s="271"/>
      <c r="AC5" s="271"/>
      <c r="AD5" s="964" t="s">
        <v>214</v>
      </c>
    </row>
    <row r="6" spans="1:42" x14ac:dyDescent="0.2">
      <c r="A6" s="316" t="s">
        <v>0</v>
      </c>
      <c r="B6" s="466"/>
      <c r="C6" s="467">
        <v>1</v>
      </c>
      <c r="D6" s="467">
        <v>2</v>
      </c>
      <c r="E6" s="467">
        <v>3</v>
      </c>
      <c r="F6" s="467"/>
      <c r="G6" s="467"/>
      <c r="H6" s="467" t="s">
        <v>168</v>
      </c>
      <c r="I6" s="275" t="s">
        <v>169</v>
      </c>
      <c r="J6" s="469" t="s">
        <v>257</v>
      </c>
      <c r="K6" s="470" t="s">
        <v>258</v>
      </c>
      <c r="L6" s="471" t="s">
        <v>259</v>
      </c>
      <c r="M6" s="471" t="s">
        <v>260</v>
      </c>
      <c r="N6" s="472" t="s">
        <v>170</v>
      </c>
      <c r="O6" s="472" t="s">
        <v>170</v>
      </c>
      <c r="P6" s="473" t="s">
        <v>261</v>
      </c>
      <c r="Q6" s="474" t="s">
        <v>21</v>
      </c>
      <c r="R6" s="474" t="b">
        <f>OR(AND(COUNTA(B7:B11)=3,COUNTA(C7:G11)=6),AND(COUNTA(B7:B11)=4,COUNTA(C7:G11)=12),AND(COUNTA(B7:B11)=5,COUNTA(C7:G11)=20))</f>
        <v>1</v>
      </c>
      <c r="S6" s="475" t="s">
        <v>262</v>
      </c>
      <c r="T6" s="476" t="s">
        <v>263</v>
      </c>
      <c r="U6" s="477"/>
      <c r="V6" s="477"/>
      <c r="W6" s="477"/>
      <c r="X6" s="477"/>
      <c r="Y6" s="477"/>
      <c r="Z6" s="477"/>
      <c r="AA6" s="477"/>
      <c r="AB6" s="477"/>
      <c r="AC6" s="478"/>
      <c r="AD6" s="272" t="s">
        <v>370</v>
      </c>
      <c r="AE6" s="273"/>
      <c r="AF6" s="273" t="s">
        <v>249</v>
      </c>
      <c r="AG6" s="273"/>
      <c r="AH6" s="403" t="s">
        <v>250</v>
      </c>
      <c r="AI6" s="273"/>
      <c r="AJ6" s="273" t="s">
        <v>251</v>
      </c>
      <c r="AK6" s="274"/>
      <c r="AL6" s="273" t="s">
        <v>252</v>
      </c>
      <c r="AM6" s="274"/>
      <c r="AN6" s="274" t="s">
        <v>472</v>
      </c>
      <c r="AO6" s="945"/>
      <c r="AP6" s="274" t="s">
        <v>473</v>
      </c>
    </row>
    <row r="7" spans="1:42" x14ac:dyDescent="0.2">
      <c r="A7" s="316">
        <v>1</v>
      </c>
      <c r="B7" s="479" t="s">
        <v>278</v>
      </c>
      <c r="C7" s="319"/>
      <c r="D7" s="318">
        <v>13</v>
      </c>
      <c r="E7" s="318">
        <v>13</v>
      </c>
      <c r="F7" s="318"/>
      <c r="G7" s="318"/>
      <c r="H7" s="317" t="str">
        <f>(IF(D7-C8&gt;0,1)+IF(E7-C9&gt;0,1)+IF(F7-C10&gt;0,1)+IF(G7-C11&gt;0,1))&amp;"-"&amp;(IF(D7-C8&lt;0,1)+IF(E7-C9&lt;0,1)+IF(F7-C10&lt;0,1)+IF(G7-C11&lt;0,1))</f>
        <v>2-0</v>
      </c>
      <c r="I7" s="318" t="str">
        <f>IF(AND(B7&lt;&gt;"",R$6=TRUE),A$6&amp;RANK(S7,S$7:S$11,0)," ")</f>
        <v>A1</v>
      </c>
      <c r="J7" s="480">
        <f>IF(AND(Q7=1,Q8=1,D7&gt;C8),1)+IF(AND(Q7=1,Q9=1,E7&gt;C9),1)+IF(AND(Q7=1,Q10=1,F7&gt;C10),1)+IF(AND(Q7=1,Q11=1,G7&gt;C11),1)+IF(AND(Q7=2,Q8=2,D7&gt;C8),1)+IF(AND(Q7=2,Q9=2,E7&gt;C9),1)+IF(AND(Q7=2,Q10=2,F7&gt;C10),1)+IF(AND(Q7=2,Q11=2,G7&gt;C11),1)+IF(AND(Q7=3,Q8=3,D7&gt;C8),1)+IF(AND(Q7=3,Q9=3,E7&gt;C9),1)+IF(AND(Q7=3,Q10=3,F7&gt;C10),1)+IF(AND(Q7=3,Q11=3,G7&gt;C11),1)</f>
        <v>0</v>
      </c>
      <c r="K7" s="481">
        <f>SUM(AND(T7=T8,D7&gt;C8),AND(T7=T9,E7&gt;C9),AND(T7=T10,F7&gt;C10),AND(T7=T11,G7&gt;C11))</f>
        <v>0</v>
      </c>
      <c r="L7" s="482">
        <f>IF(AND(Q7=1,Q8=1),D7-C8)+IF(AND(Q7=1,Q9=1),E7-C9)+IF(AND(Q7=1,Q10=1),F7-C10)+IF(AND(Q7=1,Q11=1),G7-C11)+IF(AND(Q7=2,Q8=2),D7-C8)+IF(AND(Q7=2,Q9=2),E7-C9)+IF(AND(Q7=2,Q10=2),F7-C10)+IF(AND(Q7=2,Q11=2),G7-C11)+IF(AND(Q7=3,Q8=3),D7-C8)+IF(AND(Q7=3,Q9=3),E7-C9)+IF(AND(Q7=3,Q10=3),F7-C10)+IF(AND(Q7=3,Q11=3),G7-C11)+IF(AND(Q7=4,Q8=4),D7-C8)+IF(AND(Q7=4,Q9=4),E7-C9)+IF(AND(Q7=4,Q10=4),F7-C10)+IF(AND(Q7=4,Q11=4),G7-C11)</f>
        <v>0</v>
      </c>
      <c r="M7" s="483">
        <f>SUM(AND(R7=R8,D7&gt;C8),AND(R7=R9,E7&gt;C9),AND(R7=R10,F7&gt;C10),AND(R7=R11,G7&gt;C11))</f>
        <v>0</v>
      </c>
      <c r="N7" s="537" t="str">
        <f>SUM(C7:G7)&amp;"-"&amp;SUM(C7:C11)</f>
        <v>26-8</v>
      </c>
      <c r="O7" s="538">
        <f>D7+E7+F7+G7-C8-C9-C10-C11</f>
        <v>18</v>
      </c>
      <c r="P7" s="485">
        <f>SUM(C7:G7,C7:C11)/SUM(C7:C11)</f>
        <v>4.25</v>
      </c>
      <c r="Q7" s="320">
        <f>VALUE(LEFT(H7,1))</f>
        <v>2</v>
      </c>
      <c r="R7" s="321">
        <f>Q7*100000+J7*10000+K7*1000+100*L7</f>
        <v>200000</v>
      </c>
      <c r="S7" s="486">
        <f>R7+M7*0.1+IF(ISNONTEXT(B7),0,0.01)+0.0001*O7</f>
        <v>200000.01180000001</v>
      </c>
      <c r="T7" s="487" t="str">
        <f>Q7&amp;J7</f>
        <v>20</v>
      </c>
      <c r="U7" s="477"/>
      <c r="V7" s="477"/>
      <c r="W7" s="477"/>
      <c r="X7" s="477"/>
      <c r="Y7" s="477"/>
      <c r="Z7" s="477"/>
      <c r="AA7" s="477"/>
      <c r="AB7" s="477"/>
      <c r="AC7" s="477"/>
      <c r="AD7" s="405">
        <f>SUM(AE7:AP7)</f>
        <v>365</v>
      </c>
      <c r="AE7" s="406">
        <f>IFERROR(INDEX(V!$R:$R,MATCH(AF7,V!$L:$L,0)),"")</f>
        <v>187</v>
      </c>
      <c r="AF7" s="407" t="str">
        <f>IFERROR(LEFT($B7,(FIND(",",$B7,1)-1)),"")</f>
        <v>Kenneth Muusikus</v>
      </c>
      <c r="AG7" s="406">
        <f>IFERROR(INDEX(V!$R:$R,MATCH(AH7,V!$L:$L,0)),"")</f>
        <v>178</v>
      </c>
      <c r="AH7" s="407" t="str">
        <f>IFERROR(MID($B7,FIND(", ",$B7)+2,256),"")</f>
        <v>Mait Metsla</v>
      </c>
      <c r="AI7" s="406" t="str">
        <f>IFERROR(INDEX(V!$R:$R,MATCH(AJ7,V!$L:$L,0)),"")</f>
        <v/>
      </c>
      <c r="AJ7" s="407" t="str">
        <f>IFERROR(MID($B7,FIND("^",SUBSTITUTE($B7,", ","^",1))+2,FIND("^",SUBSTITUTE($B7,", ","^",2))-FIND("^",SUBSTITUTE($B7,", ","^",1))-2),"")</f>
        <v/>
      </c>
      <c r="AK7" s="406" t="str">
        <f>IFERROR(INDEX(V!$R:$R,MATCH(AL7,V!$L:$L,0)),"")</f>
        <v/>
      </c>
      <c r="AL7" s="407" t="str">
        <f>IFERROR(MID($B7,FIND(", ",$B7,FIND(", ",$B7,FIND(", ",$B7))+1)+2,30000),"")</f>
        <v/>
      </c>
      <c r="AM7" s="406" t="str">
        <f>IFERROR(INDEX(V!$R:$R,MATCH(AN7,V!$L:$L,0)),"")</f>
        <v/>
      </c>
      <c r="AN7" s="407" t="str">
        <f>IFERROR(MID($B7,FIND(", ",$B7,FIND(", ",$B7)+1)+2,FIND(", ",$B7,FIND(", ",$B7,FIND(", ",$B7)+1)+1)-FIND(", ",$B7,FIND(", ",$B7)+1)-2),"")</f>
        <v/>
      </c>
      <c r="AO7" s="406" t="str">
        <f>IFERROR(INDEX(V!$R:$R,MATCH(AP7,V!$L:$L,0)),"")</f>
        <v/>
      </c>
      <c r="AP7" s="407" t="str">
        <f>IFERROR(MID($B7,FIND(", ",$B7,FIND(", ",$B7,FIND(", ",$B7)+1)+1)+2,30000),"")</f>
        <v/>
      </c>
    </row>
    <row r="8" spans="1:42" x14ac:dyDescent="0.2">
      <c r="A8" s="316">
        <v>2</v>
      </c>
      <c r="B8" s="488" t="s">
        <v>313</v>
      </c>
      <c r="C8" s="318">
        <v>4</v>
      </c>
      <c r="D8" s="319"/>
      <c r="E8" s="318">
        <v>13</v>
      </c>
      <c r="F8" s="318"/>
      <c r="G8" s="318"/>
      <c r="H8" s="317" t="str">
        <f>(IF(C8-D7&gt;0,1)+IF(E8-D9&gt;0,1)+IF(F8-D10&gt;0,1)+IF(G8-D11&gt;0,1))&amp;"-"&amp;(IF(C8-D7&lt;0,1)+IF(E8-D9&lt;0,1)+IF(F8-D10&lt;0,1)+IF(G8-D11&lt;0,1))</f>
        <v>1-1</v>
      </c>
      <c r="I8" s="318" t="str">
        <f>IF(AND(B8&lt;&gt;"",R$6=TRUE),A$6&amp;RANK(S8,S$7:S$11,0)," ")</f>
        <v>A2</v>
      </c>
      <c r="J8" s="489">
        <f>IF(AND(Q8=1,Q7=1,C8&gt;D7),1)+IF(AND(Q8=1,Q9=1,E8&gt;D9),1)+IF(AND(Q8=1,Q10=1,F8&gt;D10),1)+IF(AND(Q8=1,Q11=1,G8&gt;D11),1)+IF(AND(Q8=2,Q7=2,C8&gt;D7),1)+IF(AND(Q8=2,Q9=2,E8&gt;D9),1)+IF(AND(Q8=2,Q10=2,F8&gt;D10),1)+IF(AND(Q8=2,Q11=2,G8&gt;D11),1)+IF(AND(Q8=3,Q7=3,C8&gt;D7),1)+IF(AND(Q8=3,Q9=3,E8&gt;D9),1)+IF(AND(Q8=3,Q10=3,F8&gt;D10),1)+IF(AND(Q8=3,Q11=3,G8&gt;D11),1)</f>
        <v>0</v>
      </c>
      <c r="K8" s="483">
        <f>SUM(AND(T8=T7,C8&gt;D7),AND(T8=T9,E8&gt;D9),AND(T8=T10,F8&gt;D10),AND(T8=T11,G8&gt;D11))</f>
        <v>0</v>
      </c>
      <c r="L8" s="490">
        <f>IF(AND(Q8=1,Q7=1),C8-D7)+IF(AND(Q8=1,Q9=1),E8-D9)+IF(AND(Q8=1,Q10=1),F8-D10)+IF(AND(Q8=1,Q11=1),G8-D11)+IF(AND(Q8=2,Q7=2),C8-D7)+IF(AND(Q8=2,Q9=2),E8-D9)+IF(AND(Q8=2,Q10=2),F8-D10)+IF(AND(Q8=2,Q11=2),G8-D11)+IF(AND(Q8=3,Q7=3),C8-D7)+IF(AND(Q8=3,Q9=3),E8-D9)+IF(AND(Q8=3,Q10=3),F8-D10)+IF(AND(Q8=3,Q11=3),G8-D11)+IF(AND(Q8=4,Q7=4),C8-D7)+IF(AND(Q8=4,Q9=4),E8-D9)+IF(AND(Q8=4,Q10=4),F8-D10)+IF(AND(Q8=4,Q11=4),G8-D11)</f>
        <v>0</v>
      </c>
      <c r="M8" s="483">
        <f>SUM(AND(R8=R7,C8&gt;D7),AND(R8=R9,E8&gt;D9),AND(R8=R10,F8&gt;D10),AND(R8=R11,G8&gt;D11))</f>
        <v>0</v>
      </c>
      <c r="N8" s="537" t="str">
        <f>SUM(C8:G8)&amp;"-"&amp;SUM(D7:D11)</f>
        <v>17-15</v>
      </c>
      <c r="O8" s="538">
        <f>C8+E8+F8+G8-D7-D9-D10-D11</f>
        <v>2</v>
      </c>
      <c r="P8" s="485">
        <f>SUM(C8:G8,D7:D11)/SUM(D7:D11)</f>
        <v>2.1333333333333333</v>
      </c>
      <c r="Q8" s="491">
        <f>VALUE(LEFT(H8,1))</f>
        <v>1</v>
      </c>
      <c r="R8" s="321">
        <f>Q8*100000+J8*10000+K8*1000+100*L8</f>
        <v>100000</v>
      </c>
      <c r="S8" s="486">
        <f>R8+M8*0.1+IF(ISNONTEXT(B8),0,0.01)+0.0001*O8</f>
        <v>100000.01019999999</v>
      </c>
      <c r="T8" s="487" t="str">
        <f>Q8&amp;J8</f>
        <v>10</v>
      </c>
      <c r="U8" s="477"/>
      <c r="V8" s="477"/>
      <c r="W8" s="477"/>
      <c r="X8" s="477"/>
      <c r="Y8" s="477"/>
      <c r="Z8" s="477"/>
      <c r="AA8" s="477"/>
      <c r="AB8" s="477"/>
      <c r="AC8" s="485"/>
      <c r="AD8" s="405">
        <f t="shared" ref="AD8:AD31" si="0">SUM(AE8:AP8)</f>
        <v>278</v>
      </c>
      <c r="AE8" s="406">
        <f>IFERROR(INDEX(V!$R:$R,MATCH(AF8,V!$L:$L,0)),"")</f>
        <v>145</v>
      </c>
      <c r="AF8" s="407" t="str">
        <f t="shared" ref="AF8:AF31" si="1">IFERROR(LEFT($B8,(FIND(",",$B8,1)-1)),"")</f>
        <v>Aigi Orro</v>
      </c>
      <c r="AG8" s="406">
        <f>IFERROR(INDEX(V!$R:$R,MATCH(AH8,V!$L:$L,0)),"")</f>
        <v>133</v>
      </c>
      <c r="AH8" s="407" t="str">
        <f t="shared" ref="AH8:AH60" si="2">IFERROR(MID($B8,FIND(", ",$B8)+2,256),"")</f>
        <v>Kalle Orro</v>
      </c>
      <c r="AI8" s="406" t="str">
        <f>IFERROR(INDEX(V!$R:$R,MATCH(AJ8,V!$L:$L,0)),"")</f>
        <v/>
      </c>
      <c r="AJ8" s="407" t="str">
        <f t="shared" ref="AJ8:AJ31" si="3">IFERROR(MID($B8,FIND("^",SUBSTITUTE($B8,", ","^",1))+2,FIND("^",SUBSTITUTE($B8,", ","^",2))-FIND("^",SUBSTITUTE($B8,", ","^",1))-2),"")</f>
        <v/>
      </c>
      <c r="AK8" s="406" t="str">
        <f>IFERROR(INDEX(V!$R:$R,MATCH(AL8,V!$L:$L,0)),"")</f>
        <v/>
      </c>
      <c r="AL8" s="407" t="str">
        <f t="shared" ref="AL8:AL31" si="4">IFERROR(MID($B8,FIND(", ",$B8,FIND(", ",$B8,FIND(", ",$B8))+1)+2,30000),"")</f>
        <v/>
      </c>
      <c r="AM8" s="406" t="str">
        <f>IFERROR(INDEX(V!$R:$R,MATCH(AN8,V!$L:$L,0)),"")</f>
        <v/>
      </c>
      <c r="AN8" s="407" t="str">
        <f t="shared" ref="AN8:AN31" si="5">IFERROR(MID($B8,FIND(", ",$B8,FIND(", ",$B8)+1)+2,FIND(", ",$B8,FIND(", ",$B8,FIND(", ",$B8)+1)+1)-FIND(", ",$B8,FIND(", ",$B8)+1)-2),"")</f>
        <v/>
      </c>
      <c r="AO8" s="406" t="str">
        <f>IFERROR(INDEX(V!$R:$R,MATCH(AP8,V!$L:$L,0)),"")</f>
        <v/>
      </c>
      <c r="AP8" s="407" t="str">
        <f t="shared" ref="AP8:AP31" si="6">IFERROR(MID($B8,FIND(", ",$B8,FIND(", ",$B8,FIND(", ",$B8)+1)+1)+2,30000),"")</f>
        <v/>
      </c>
    </row>
    <row r="9" spans="1:42" x14ac:dyDescent="0.2">
      <c r="A9" s="316">
        <v>3</v>
      </c>
      <c r="B9" s="488" t="s">
        <v>279</v>
      </c>
      <c r="C9" s="318">
        <v>4</v>
      </c>
      <c r="D9" s="492">
        <v>2</v>
      </c>
      <c r="E9" s="319"/>
      <c r="F9" s="318"/>
      <c r="G9" s="318"/>
      <c r="H9" s="317" t="str">
        <f>(IF(C9-E7&gt;0,1)+IF(D9-E8&gt;0,1)+IF(F9-E10&gt;0,1)+IF(G9-E11&gt;0,1))&amp;"-"&amp;(IF(C9-E7&lt;0,1)+IF(D9-E8&lt;0,1)+IF(F9-E10&lt;0,1)+IF(G9-E11&lt;0,1))</f>
        <v>0-2</v>
      </c>
      <c r="I9" s="318" t="str">
        <f>IF(AND(B9&lt;&gt;"",R$6=TRUE),A$6&amp;RANK(S9,S$7:S$11,0)," ")</f>
        <v>A3</v>
      </c>
      <c r="J9" s="489">
        <f>IF(AND(Q9=1,Q7=1,C9&gt;E7),1)+IF(AND(Q9=1,Q8=1,D9&gt;E8),1)+IF(AND(Q9=1,Q10=1,F9&gt;E10),1)+IF(AND(Q9=1,Q11=1,G9&gt;E11),1)+IF(AND(Q9=2,Q7=2,C9&gt;E7),1)+IF(AND(Q9=2,Q8=2,D9&gt;E8),1)+IF(AND(Q9=2,Q10=2,F9&gt;E10),1)+IF(AND(Q9=2,Q11=2,G9&gt;E11),1)+IF(AND(Q9=3,Q7=3,C9&gt;E7),1)+IF(AND(Q9=3,Q8=3,D9&gt;E8),1)+IF(AND(Q9=3,Q10=3,F9&gt;E10),1)+IF(AND(Q9=3,Q11=3,G9&gt;E11),1)</f>
        <v>0</v>
      </c>
      <c r="K9" s="483">
        <f>SUM(AND(T9=T7,C9&gt;E7),AND(T9=T8,D9&gt;E8),AND(T9=T10,F9&gt;E10),AND(T9=T11,G9&gt;E11))</f>
        <v>0</v>
      </c>
      <c r="L9" s="490">
        <f>IF(AND(Q9=1,Q7=1),C9-E7)+IF(AND(Q9=1,Q8=1),D9-E8)+IF(AND(Q9=1,Q10=1),F9-E10)+IF(AND(Q9=1,Q11=1),G9-E11)+IF(AND(Q9=2,Q7=2),C9-E7)+IF(AND(Q9=2,Q8=2),D9-E8)+IF(AND(Q9=2,Q10=2),F9-E10)+IF(AND(Q9=2,Q11=2),G9-E11)+IF(AND(Q9=3,Q7=3),C9-E7)+IF(AND(Q9=3,Q8=3),D9-E8)+IF(AND(Q9=3,Q10=3),F9-E10)+IF(AND(Q9=3,Q11=3),G9-E11)+IF(AND(Q9=4,Q7=4),C9-E7)+IF(AND(Q9=4,Q8=4),D9-E8)+IF(AND(Q9=4,Q10=4),F9-E10)+IF(AND(Q9=4,Q11=4),G9-E11)</f>
        <v>0</v>
      </c>
      <c r="M9" s="483">
        <f>SUM(AND(R9=R7,C9&gt;E7),AND(R9=R8,D9&gt;E8),AND(R9=R10,F9&gt;E10),AND(R9=R11,G9&gt;E11))</f>
        <v>0</v>
      </c>
      <c r="N9" s="537" t="str">
        <f>SUM(C9:G9)&amp;"-"&amp;SUM(E7:E11)</f>
        <v>6-26</v>
      </c>
      <c r="O9" s="538">
        <f>C9+D9+F9+G9-E7-E8-E10-E11</f>
        <v>-20</v>
      </c>
      <c r="P9" s="485">
        <f>SUM(C9:G9,E7:E11)/SUM(E7:E11)</f>
        <v>1.2307692307692308</v>
      </c>
      <c r="Q9" s="491">
        <f>VALUE(LEFT(H9,1))</f>
        <v>0</v>
      </c>
      <c r="R9" s="321">
        <f>Q9*100000+J9*10000+K9*1000+100*L9</f>
        <v>0</v>
      </c>
      <c r="S9" s="486">
        <f>R9+M9*0.1+IF(ISNONTEXT(B9),0,0.01)+0.0001*O9</f>
        <v>8.0000000000000002E-3</v>
      </c>
      <c r="T9" s="487" t="str">
        <f>Q9&amp;J9</f>
        <v>00</v>
      </c>
      <c r="U9" s="477"/>
      <c r="V9" s="477"/>
      <c r="W9" s="477"/>
      <c r="X9" s="477"/>
      <c r="Y9" s="477"/>
      <c r="Z9" s="477"/>
      <c r="AA9" s="477"/>
      <c r="AB9" s="477"/>
      <c r="AC9" s="485"/>
      <c r="AD9" s="405">
        <f t="shared" si="0"/>
        <v>160</v>
      </c>
      <c r="AE9" s="406">
        <f>IFERROR(INDEX(V!$R:$R,MATCH(AF9,V!$L:$L,0)),"")</f>
        <v>81</v>
      </c>
      <c r="AF9" s="407" t="str">
        <f t="shared" si="1"/>
        <v>Jaan Saar</v>
      </c>
      <c r="AG9" s="406">
        <f>IFERROR(INDEX(V!$R:$R,MATCH(AH9,V!$L:$L,0)),"")</f>
        <v>79</v>
      </c>
      <c r="AH9" s="407" t="str">
        <f t="shared" si="2"/>
        <v>Liidia Põllu</v>
      </c>
      <c r="AI9" s="406" t="str">
        <f>IFERROR(INDEX(V!$R:$R,MATCH(AJ9,V!$L:$L,0)),"")</f>
        <v/>
      </c>
      <c r="AJ9" s="407" t="str">
        <f t="shared" si="3"/>
        <v/>
      </c>
      <c r="AK9" s="406" t="str">
        <f>IFERROR(INDEX(V!$R:$R,MATCH(AL9,V!$L:$L,0)),"")</f>
        <v/>
      </c>
      <c r="AL9" s="407" t="str">
        <f t="shared" si="4"/>
        <v/>
      </c>
      <c r="AM9" s="406" t="str">
        <f>IFERROR(INDEX(V!$R:$R,MATCH(AN9,V!$L:$L,0)),"")</f>
        <v/>
      </c>
      <c r="AN9" s="407" t="str">
        <f t="shared" si="5"/>
        <v/>
      </c>
      <c r="AO9" s="406" t="str">
        <f>IFERROR(INDEX(V!$R:$R,MATCH(AP9,V!$L:$L,0)),"")</f>
        <v/>
      </c>
      <c r="AP9" s="407" t="str">
        <f t="shared" si="6"/>
        <v/>
      </c>
    </row>
    <row r="10" spans="1:42" hidden="1" x14ac:dyDescent="0.2">
      <c r="A10" s="316">
        <v>4</v>
      </c>
      <c r="B10" s="493"/>
      <c r="C10" s="318"/>
      <c r="D10" s="492"/>
      <c r="E10" s="318"/>
      <c r="F10" s="319"/>
      <c r="G10" s="318"/>
      <c r="H10" s="317" t="str">
        <f>(IF(C10-F7&gt;0,1)+IF(D10-F8&gt;0,1)+IF(E10-F9&gt;0,1)+IF(G10-F11&gt;0,1))&amp;"-"&amp;(IF(C10-F7&lt;0,1)+IF(D10-F8&lt;0,1)+IF(E10-F9&lt;0,1)+IF(G10-F11&lt;0,1))</f>
        <v>0-0</v>
      </c>
      <c r="I10" s="318" t="str">
        <f>IF(AND(B10&lt;&gt;"",R$6=TRUE),A$6&amp;RANK(S10,S$7:S$11,0)," ")</f>
        <v xml:space="preserve"> </v>
      </c>
      <c r="J10" s="489">
        <f>IF(AND(Q10=1,Q7=1,C10&gt;F7),1)+IF(AND(Q10=1,Q8=1,D10&gt;F8),1)+IF(AND(Q10=1,Q9=1,E10&gt;F9),1)+IF(AND(Q10=1,Q11=1,G10&gt;F11),1)+IF(AND(Q10=2,Q7=2,C10&gt;F7),1)+IF(AND(Q10=2,Q8=2,D10&gt;F8),1)+IF(AND(Q10=2,Q9=2,E10&gt;F9),1)+IF(AND(Q10=2,Q11=2,G10&gt;F11),1)+IF(AND(Q10=3,Q7=3,C10&gt;F7),1)+IF(AND(Q10=3,Q8=3,D10&gt;F8),1)+IF(AND(Q10=3,Q9=3,E10&gt;F9),1)+IF(AND(Q10=3,Q11=3,G10&gt;F11),1)</f>
        <v>0</v>
      </c>
      <c r="K10" s="483">
        <f>SUM(AND(T10=T7,C10&gt;F7),AND(T10=T8,D10&gt;F8),AND(T10=T9,E10&gt;F9),AND(T10=T11,G10&gt;F11))</f>
        <v>0</v>
      </c>
      <c r="L10" s="490">
        <f>IF(AND(Q10=1,Q7=1),C10-F7)+IF(AND(Q10=1,Q8=1),D10-F8)+IF(AND(Q10=1,Q9=1),E10-F9)+IF(AND(Q10=1,Q11=1),G10-F11)+IF(AND(Q10=2,Q7=2),C10-F7)+IF(AND(Q10=2,Q8=2),D10-F8)+IF(AND(Q10=2,Q9=2),E10-F9)+IF(AND(Q10=2,Q11=2),G10-F11)+IF(AND(Q10=3,Q7=3),C10-F7)+IF(AND(Q10=3,Q8=3),D10-F8)+IF(AND(Q10=3,Q9=3),E10-F9)+IF(AND(Q10=3,Q11=3),G10-F11)+IF(AND(Q10=4,Q7=4),C10-F7)+IF(AND(Q10=4,Q8=4),D10-F8)+IF(AND(Q10=4,Q9=4),E10-F9)+IF(AND(Q10=4,Q11=4),G10-F11)</f>
        <v>0</v>
      </c>
      <c r="M10" s="483">
        <f>SUM(AND(R10=R7,C10&gt;F7),AND(R10=R8,D10&gt;F8),AND(R10=R9,E10&gt;F9),AND(R10=R11,G10&gt;F11))</f>
        <v>0</v>
      </c>
      <c r="N10" s="537" t="str">
        <f>SUM(C10:G10)&amp;"-"&amp;SUM(F7:F11)</f>
        <v>0-0</v>
      </c>
      <c r="O10" s="538">
        <f>C10+D10+E10+G10-F7-F8-F9-F11</f>
        <v>0</v>
      </c>
      <c r="P10" s="485" t="e">
        <f>SUM(C10:G10,F7:F11)/SUM(F7:F11)</f>
        <v>#DIV/0!</v>
      </c>
      <c r="Q10" s="491">
        <f>VALUE(LEFT(H10,1))</f>
        <v>0</v>
      </c>
      <c r="R10" s="321">
        <f>Q10*100000+J10*10000+K10*1000+100*L10</f>
        <v>0</v>
      </c>
      <c r="S10" s="486">
        <f>R10+M10*0.1+IF(ISNONTEXT(B10),0,0.01)+0.0001*O10</f>
        <v>0</v>
      </c>
      <c r="T10" s="487" t="str">
        <f>Q10&amp;J10</f>
        <v>00</v>
      </c>
      <c r="U10" s="477"/>
      <c r="V10" s="477"/>
      <c r="W10" s="477"/>
      <c r="X10" s="477"/>
      <c r="Y10" s="477"/>
      <c r="Z10" s="477"/>
      <c r="AA10" s="477"/>
      <c r="AB10" s="477"/>
      <c r="AC10" s="485"/>
      <c r="AD10" s="405">
        <f t="shared" si="0"/>
        <v>0</v>
      </c>
      <c r="AE10" s="406" t="str">
        <f>IFERROR(INDEX(V!$R:$R,MATCH(AF10,V!$L:$L,0)),"")</f>
        <v/>
      </c>
      <c r="AF10" s="407" t="str">
        <f t="shared" si="1"/>
        <v/>
      </c>
      <c r="AG10" s="406" t="str">
        <f>IFERROR(INDEX(V!$R:$R,MATCH(AH10,V!$L:$L,0)),"")</f>
        <v/>
      </c>
      <c r="AH10" s="407" t="str">
        <f t="shared" si="2"/>
        <v/>
      </c>
      <c r="AI10" s="406" t="str">
        <f>IFERROR(INDEX(V!$R:$R,MATCH(AJ10,V!$L:$L,0)),"")</f>
        <v/>
      </c>
      <c r="AJ10" s="407" t="str">
        <f t="shared" si="3"/>
        <v/>
      </c>
      <c r="AK10" s="406" t="str">
        <f>IFERROR(INDEX(V!$R:$R,MATCH(AL10,V!$L:$L,0)),"")</f>
        <v/>
      </c>
      <c r="AL10" s="407" t="str">
        <f t="shared" si="4"/>
        <v/>
      </c>
      <c r="AM10" s="406" t="str">
        <f>IFERROR(INDEX(V!$R:$R,MATCH(AN10,V!$L:$L,0)),"")</f>
        <v/>
      </c>
      <c r="AN10" s="407" t="str">
        <f t="shared" si="5"/>
        <v/>
      </c>
      <c r="AO10" s="406" t="str">
        <f>IFERROR(INDEX(V!$R:$R,MATCH(AP10,V!$L:$L,0)),"")</f>
        <v/>
      </c>
      <c r="AP10" s="407" t="str">
        <f t="shared" si="6"/>
        <v/>
      </c>
    </row>
    <row r="11" spans="1:42" hidden="1" x14ac:dyDescent="0.2">
      <c r="A11" s="316">
        <v>5</v>
      </c>
      <c r="B11" s="493"/>
      <c r="C11" s="318"/>
      <c r="D11" s="318"/>
      <c r="E11" s="318"/>
      <c r="F11" s="318"/>
      <c r="G11" s="319"/>
      <c r="H11" s="317" t="str">
        <f>(IF(C11-G7&gt;0,1)+IF(D11-G8&gt;0,1)+IF(E11-G9&gt;0,1)+IF(F11-G10&gt;0,1))&amp;"-"&amp;(IF(C11-G7&lt;0,1)+IF(D11-G8&lt;0,1)+IF(E11-G9&lt;0,1)+IF(F11-G10&lt;0,1))</f>
        <v>0-0</v>
      </c>
      <c r="I11" s="318" t="str">
        <f>IF(AND(B11&lt;&gt;"",R$6=TRUE),A$6&amp;RANK(S11,S$7:S$11,0)," ")</f>
        <v xml:space="preserve"> </v>
      </c>
      <c r="J11" s="489">
        <f>IF(AND(Q11=1,Q7=1,C11&gt;G7),1)+IF(AND(Q11=1,Q8=1,D11&gt;G8),1)+IF(AND(Q11=1,Q9=1,E11&gt;G9),1)+IF(AND(Q11=1,Q10=1,F11&gt;G10),1)+IF(AND(Q11=2,Q7=2,C11&gt;G7),1)+IF(AND(Q11=2,Q8=2,D11&gt;G8),1)+IF(AND(Q11=2,Q9=2,E11&gt;G9),1)+IF(AND(Q11=2,Q10=2,F11&gt;G10),1)+IF(AND(Q11=3,Q7=3,C11&gt;G7),1)+IF(AND(Q11=3,Q8=3,D11&gt;G8),1)+IF(AND(Q11=3,Q9=3,E11&gt;G9),1)+IF(AND(Q11=3,Q10=3,F11&gt;G10),1)</f>
        <v>0</v>
      </c>
      <c r="K11" s="483">
        <f>SUM(AND(T11=T7,C11&gt;G7),AND(T11=T8,D11&gt;G8),AND(T11=T9,E11&gt;G9),AND(T11=T10,F11&gt;G10))</f>
        <v>0</v>
      </c>
      <c r="L11" s="490">
        <f>IF(AND(Q11=1,Q7=1),C11-G7)+IF(AND(Q11=1,Q8=1),D11-G8)+IF(AND(Q11=1,Q9=1),E11-G9)+IF(AND(Q11=1,Q10=1),F11-G10)+IF(AND(Q11=2,Q7=2),C11-G7)+IF(AND(Q11=2,Q8=2),D11-G8)+IF(AND(Q11=2,Q9=2),E11-G9)+IF(AND(Q11=2,Q10=2),F11-G10)+IF(AND(Q11=3,Q7=3),C11-G7)+IF(AND(Q11=3,Q8=3),D11-G8)+IF(AND(Q11=3,Q9=3),E11-G9)+IF(AND(Q11=3,Q10=3),F11-G10)+IF(AND(Q11=4,Q7=4),C11-G7)+IF(AND(Q11=4,Q8=4),D11-G8)+IF(AND(Q11=4,Q9=4),E11-G9)+IF(AND(Q11=4,Q10=4),F11-G10)</f>
        <v>0</v>
      </c>
      <c r="M11" s="483">
        <f>SUM(AND(R11=R7,C11&gt;G7),AND(R11=R8,D11&gt;G8),AND(R11=R9,E11&gt;G9),AND(R11=R10,F11&gt;G10))</f>
        <v>0</v>
      </c>
      <c r="N11" s="537" t="str">
        <f>SUM(C11:G11)&amp;"-"&amp;SUM(G7:G11)</f>
        <v>0-0</v>
      </c>
      <c r="O11" s="538">
        <f>C11+D11+E11+F11-G7-G8-G9-G10</f>
        <v>0</v>
      </c>
      <c r="P11" s="485" t="e">
        <f>SUM(C11:G11,G7:G11)/SUM(G7:G11)</f>
        <v>#DIV/0!</v>
      </c>
      <c r="Q11" s="491">
        <f>VALUE(LEFT(H11,1))</f>
        <v>0</v>
      </c>
      <c r="R11" s="321">
        <f>Q11*100000+J11*10000+K11*1000+100*L11</f>
        <v>0</v>
      </c>
      <c r="S11" s="486">
        <f>R11+M11*0.1+IF(ISNONTEXT(B11),0,0.01)+0.0001*O11</f>
        <v>0</v>
      </c>
      <c r="T11" s="487" t="str">
        <f>Q11&amp;J11</f>
        <v>00</v>
      </c>
      <c r="U11" s="477"/>
      <c r="V11" s="477"/>
      <c r="W11" s="477"/>
      <c r="X11" s="477"/>
      <c r="Y11" s="477"/>
      <c r="Z11" s="477"/>
      <c r="AA11" s="477"/>
      <c r="AB11" s="477"/>
      <c r="AC11" s="485"/>
      <c r="AD11" s="405">
        <f t="shared" si="0"/>
        <v>0</v>
      </c>
      <c r="AE11" s="406" t="str">
        <f>IFERROR(INDEX(V!$R:$R,MATCH(AF11,V!$L:$L,0)),"")</f>
        <v/>
      </c>
      <c r="AF11" s="407" t="str">
        <f t="shared" si="1"/>
        <v/>
      </c>
      <c r="AG11" s="406" t="str">
        <f>IFERROR(INDEX(V!$R:$R,MATCH(AH11,V!$L:$L,0)),"")</f>
        <v/>
      </c>
      <c r="AH11" s="407" t="str">
        <f t="shared" si="2"/>
        <v/>
      </c>
      <c r="AI11" s="406" t="str">
        <f>IFERROR(INDEX(V!$R:$R,MATCH(AJ11,V!$L:$L,0)),"")</f>
        <v/>
      </c>
      <c r="AJ11" s="407" t="str">
        <f t="shared" si="3"/>
        <v/>
      </c>
      <c r="AK11" s="406" t="str">
        <f>IFERROR(INDEX(V!$R:$R,MATCH(AL11,V!$L:$L,0)),"")</f>
        <v/>
      </c>
      <c r="AL11" s="407" t="str">
        <f t="shared" si="4"/>
        <v/>
      </c>
      <c r="AM11" s="406" t="str">
        <f>IFERROR(INDEX(V!$R:$R,MATCH(AN11,V!$L:$L,0)),"")</f>
        <v/>
      </c>
      <c r="AN11" s="407" t="str">
        <f t="shared" si="5"/>
        <v/>
      </c>
      <c r="AO11" s="406" t="str">
        <f>IFERROR(INDEX(V!$R:$R,MATCH(AP11,V!$L:$L,0)),"")</f>
        <v/>
      </c>
      <c r="AP11" s="407" t="str">
        <f t="shared" si="6"/>
        <v/>
      </c>
    </row>
    <row r="12" spans="1:42" x14ac:dyDescent="0.2">
      <c r="A12" s="494"/>
      <c r="B12" s="495"/>
      <c r="C12" s="496"/>
      <c r="D12" s="497"/>
      <c r="E12" s="498"/>
      <c r="F12" s="498"/>
      <c r="G12" s="499"/>
      <c r="H12" s="500"/>
      <c r="I12" s="501"/>
      <c r="J12" s="477"/>
      <c r="K12" s="477"/>
      <c r="L12" s="477"/>
      <c r="M12" s="477"/>
      <c r="N12" s="539"/>
      <c r="O12" s="539"/>
      <c r="P12" s="477"/>
      <c r="Q12" s="477"/>
      <c r="R12" s="502" t="s">
        <v>264</v>
      </c>
      <c r="S12" s="477"/>
      <c r="T12" s="477"/>
      <c r="U12" s="477"/>
      <c r="V12" s="477"/>
      <c r="W12" s="477"/>
      <c r="X12" s="477"/>
      <c r="Y12" s="477"/>
      <c r="Z12" s="477"/>
      <c r="AA12" s="477"/>
      <c r="AB12" s="477"/>
      <c r="AC12" s="485"/>
      <c r="AD12" s="405">
        <f t="shared" si="0"/>
        <v>0</v>
      </c>
      <c r="AE12" s="406" t="str">
        <f>IFERROR(INDEX(V!$R:$R,MATCH(AF12,V!$L:$L,0)),"")</f>
        <v/>
      </c>
      <c r="AF12" s="407" t="str">
        <f t="shared" si="1"/>
        <v/>
      </c>
      <c r="AG12" s="406" t="str">
        <f>IFERROR(INDEX(V!$R:$R,MATCH(AH12,V!$L:$L,0)),"")</f>
        <v/>
      </c>
      <c r="AH12" s="407" t="str">
        <f t="shared" si="2"/>
        <v/>
      </c>
      <c r="AI12" s="406" t="str">
        <f>IFERROR(INDEX(V!$R:$R,MATCH(AJ12,V!$L:$L,0)),"")</f>
        <v/>
      </c>
      <c r="AJ12" s="407" t="str">
        <f t="shared" si="3"/>
        <v/>
      </c>
      <c r="AK12" s="406" t="str">
        <f>IFERROR(INDEX(V!$R:$R,MATCH(AL12,V!$L:$L,0)),"")</f>
        <v/>
      </c>
      <c r="AL12" s="407" t="str">
        <f t="shared" si="4"/>
        <v/>
      </c>
      <c r="AM12" s="406" t="str">
        <f>IFERROR(INDEX(V!$R:$R,MATCH(AN12,V!$L:$L,0)),"")</f>
        <v/>
      </c>
      <c r="AN12" s="407" t="str">
        <f t="shared" si="5"/>
        <v/>
      </c>
      <c r="AO12" s="406" t="str">
        <f>IFERROR(INDEX(V!$R:$R,MATCH(AP12,V!$L:$L,0)),"")</f>
        <v/>
      </c>
      <c r="AP12" s="407" t="str">
        <f t="shared" si="6"/>
        <v/>
      </c>
    </row>
    <row r="13" spans="1:42" x14ac:dyDescent="0.2">
      <c r="A13" s="316" t="s">
        <v>1</v>
      </c>
      <c r="B13" s="503"/>
      <c r="C13" s="467">
        <v>1</v>
      </c>
      <c r="D13" s="467">
        <v>2</v>
      </c>
      <c r="E13" s="467">
        <v>3</v>
      </c>
      <c r="F13" s="467"/>
      <c r="G13" s="467"/>
      <c r="H13" s="468" t="s">
        <v>168</v>
      </c>
      <c r="I13" s="468" t="s">
        <v>169</v>
      </c>
      <c r="J13" s="504" t="s">
        <v>257</v>
      </c>
      <c r="K13" s="505" t="s">
        <v>258</v>
      </c>
      <c r="L13" s="506" t="s">
        <v>259</v>
      </c>
      <c r="M13" s="506" t="s">
        <v>260</v>
      </c>
      <c r="N13" s="472" t="s">
        <v>170</v>
      </c>
      <c r="O13" s="472" t="s">
        <v>170</v>
      </c>
      <c r="P13" s="473" t="s">
        <v>261</v>
      </c>
      <c r="Q13" s="507" t="s">
        <v>21</v>
      </c>
      <c r="R13" s="507" t="b">
        <f>OR(AND(COUNTA(B14:B18)=3,COUNTA(C14:G18)=6),AND(COUNTA(B14:B18)=4,COUNTA(C14:G18)=12),AND(COUNTA(B14:B18)=5,COUNTA(C14:G18)=20))</f>
        <v>1</v>
      </c>
      <c r="S13" s="508" t="s">
        <v>262</v>
      </c>
      <c r="T13" s="509" t="s">
        <v>263</v>
      </c>
      <c r="U13" s="477"/>
      <c r="V13" s="477"/>
      <c r="W13" s="477"/>
      <c r="X13" s="477"/>
      <c r="Y13" s="477"/>
      <c r="Z13" s="477"/>
      <c r="AA13" s="477"/>
      <c r="AB13" s="477"/>
      <c r="AC13" s="485"/>
      <c r="AD13" s="405">
        <f t="shared" si="0"/>
        <v>0</v>
      </c>
      <c r="AE13" s="406" t="str">
        <f>IFERROR(INDEX(V!$R:$R,MATCH(AF13,V!$L:$L,0)),"")</f>
        <v/>
      </c>
      <c r="AF13" s="407" t="str">
        <f t="shared" si="1"/>
        <v/>
      </c>
      <c r="AG13" s="406" t="str">
        <f>IFERROR(INDEX(V!$R:$R,MATCH(AH13,V!$L:$L,0)),"")</f>
        <v/>
      </c>
      <c r="AH13" s="407" t="str">
        <f t="shared" si="2"/>
        <v/>
      </c>
      <c r="AI13" s="406" t="str">
        <f>IFERROR(INDEX(V!$R:$R,MATCH(AJ13,V!$L:$L,0)),"")</f>
        <v/>
      </c>
      <c r="AJ13" s="407" t="str">
        <f t="shared" si="3"/>
        <v/>
      </c>
      <c r="AK13" s="406" t="str">
        <f>IFERROR(INDEX(V!$R:$R,MATCH(AL13,V!$L:$L,0)),"")</f>
        <v/>
      </c>
      <c r="AL13" s="407" t="str">
        <f t="shared" si="4"/>
        <v/>
      </c>
      <c r="AM13" s="406" t="str">
        <f>IFERROR(INDEX(V!$R:$R,MATCH(AN13,V!$L:$L,0)),"")</f>
        <v/>
      </c>
      <c r="AN13" s="407" t="str">
        <f t="shared" si="5"/>
        <v/>
      </c>
      <c r="AO13" s="406" t="str">
        <f>IFERROR(INDEX(V!$R:$R,MATCH(AP13,V!$L:$L,0)),"")</f>
        <v/>
      </c>
      <c r="AP13" s="407" t="str">
        <f t="shared" si="6"/>
        <v/>
      </c>
    </row>
    <row r="14" spans="1:42" x14ac:dyDescent="0.2">
      <c r="A14" s="316">
        <v>1</v>
      </c>
      <c r="B14" s="510" t="s">
        <v>276</v>
      </c>
      <c r="C14" s="319"/>
      <c r="D14" s="318">
        <v>13</v>
      </c>
      <c r="E14" s="318">
        <v>13</v>
      </c>
      <c r="F14" s="318"/>
      <c r="G14" s="318"/>
      <c r="H14" s="317" t="str">
        <f>(IF(D14-C15&gt;0,1)+IF(E14-C16&gt;0,1)+IF(F14-C17&gt;0,1)+IF(G14-C18&gt;0,1))&amp;"-"&amp;(IF(D14-C15&lt;0,1)+IF(E14-C16&lt;0,1)+IF(F14-C17&lt;0,1)+IF(G14-C18&lt;0,1))</f>
        <v>2-0</v>
      </c>
      <c r="I14" s="318" t="str">
        <f>IF(AND(B14&lt;&gt;"",R$6=TRUE),A$13&amp;RANK(S14,S$14:S$18,0)," ")</f>
        <v>B1</v>
      </c>
      <c r="J14" s="480">
        <f>IF(AND(Q14=1,Q15=1,D14&gt;C15),1)+IF(AND(Q14=1,Q16=1,E14&gt;C16),1)+IF(AND(Q14=1,Q17=1,F14&gt;C17),1)+IF(AND(Q14=1,Q18=1,G14&gt;C18),1)+IF(AND(Q14=2,Q15=2,D14&gt;C15),1)+IF(AND(Q14=2,Q16=2,E14&gt;C16),1)+IF(AND(Q14=2,Q17=2,F14&gt;C17),1)+IF(AND(Q14=2,Q18=2,G14&gt;C18),1)+IF(AND(Q14=3,Q15=3,D14&gt;C15),1)+IF(AND(Q14=3,Q16=3,E14&gt;C16),1)+IF(AND(Q14=3,Q17=3,F14&gt;C17),1)+IF(AND(Q14=3,Q18=3,G14&gt;C18),1)</f>
        <v>0</v>
      </c>
      <c r="K14" s="481">
        <f>SUM(AND(T14=T15,D14&gt;C15),AND(T14=T16,E14&gt;C16),AND(T14=T17,F14&gt;C17),AND(T14=T18,G14&gt;C18))</f>
        <v>0</v>
      </c>
      <c r="L14" s="482">
        <f>IF(AND(Q14=1,Q15=1),D14-C15)+IF(AND(Q14=1,Q16=1),E14-C16)+IF(AND(Q14=1,Q17=1),F14-C17)+IF(AND(Q14=1,Q18=1),G14-C18)+IF(AND(Q14=2,Q15=2),D14-C15)+IF(AND(Q14=2,Q16=2),E14-C16)+IF(AND(Q14=2,Q17=2),F14-C17)+IF(AND(Q14=2,Q18=2),G14-C18)+IF(AND(Q14=3,Q15=3),D14-C15)+IF(AND(Q14=3,Q16=3),E14-C16)+IF(AND(Q14=3,Q17=3),F14-C17)+IF(AND(Q14=3,Q18=3),G14-C18)+IF(AND(Q14=4,Q15=4),D14-C15)+IF(AND(Q14=4,Q16=4),E14-C16)+IF(AND(Q14=4,Q17=4),F14-C17)+IF(AND(Q14=4,Q18=4),G14-C18)</f>
        <v>0</v>
      </c>
      <c r="M14" s="483">
        <f>SUM(AND(R14=R15,D14&gt;C15),AND(R14=R16,E14&gt;C16),AND(R14=R17,F14&gt;C17),AND(R14=R18,G14&gt;C18))</f>
        <v>0</v>
      </c>
      <c r="N14" s="537" t="str">
        <f>SUM(C14:G14)&amp;"-"&amp;SUM(C14:C18)</f>
        <v>26-8</v>
      </c>
      <c r="O14" s="538">
        <f>D14+E14+F14+G14-C15-C16-C17-C18</f>
        <v>18</v>
      </c>
      <c r="P14" s="485">
        <f>SUM(C14:G14,C14:C18)/SUM(C14:C18)</f>
        <v>4.25</v>
      </c>
      <c r="Q14" s="320">
        <f>VALUE(LEFT(H14,1))</f>
        <v>2</v>
      </c>
      <c r="R14" s="321">
        <f>Q14*100000+J14*10000+K14*1000+100*L14</f>
        <v>200000</v>
      </c>
      <c r="S14" s="486">
        <f>R14+M14*0.1+IF(ISNONTEXT(B14),0,0.01)+0.0001*O14</f>
        <v>200000.01180000001</v>
      </c>
      <c r="T14" s="487" t="str">
        <f>Q14&amp;J14</f>
        <v>20</v>
      </c>
      <c r="U14" s="477"/>
      <c r="V14" s="477"/>
      <c r="W14" s="477"/>
      <c r="X14" s="477"/>
      <c r="Y14" s="477"/>
      <c r="Z14" s="477"/>
      <c r="AA14" s="477"/>
      <c r="AB14" s="477"/>
      <c r="AC14" s="485"/>
      <c r="AD14" s="405">
        <f t="shared" si="0"/>
        <v>356</v>
      </c>
      <c r="AE14" s="406">
        <f>IFERROR(INDEX(V!$R:$R,MATCH(AF14,V!$L:$L,0)),"")</f>
        <v>178</v>
      </c>
      <c r="AF14" s="407" t="str">
        <f t="shared" si="1"/>
        <v>Jaan Sepp</v>
      </c>
      <c r="AG14" s="406">
        <f>IFERROR(INDEX(V!$R:$R,MATCH(AH14,V!$L:$L,0)),"")</f>
        <v>178</v>
      </c>
      <c r="AH14" s="407" t="str">
        <f t="shared" si="2"/>
        <v>Oskar Sepp</v>
      </c>
      <c r="AI14" s="406" t="str">
        <f>IFERROR(INDEX(V!$R:$R,MATCH(AJ14,V!$L:$L,0)),"")</f>
        <v/>
      </c>
      <c r="AJ14" s="407" t="str">
        <f t="shared" si="3"/>
        <v/>
      </c>
      <c r="AK14" s="406" t="str">
        <f>IFERROR(INDEX(V!$R:$R,MATCH(AL14,V!$L:$L,0)),"")</f>
        <v/>
      </c>
      <c r="AL14" s="407" t="str">
        <f t="shared" si="4"/>
        <v/>
      </c>
      <c r="AM14" s="406" t="str">
        <f>IFERROR(INDEX(V!$R:$R,MATCH(AN14,V!$L:$L,0)),"")</f>
        <v/>
      </c>
      <c r="AN14" s="407" t="str">
        <f t="shared" si="5"/>
        <v/>
      </c>
      <c r="AO14" s="406" t="str">
        <f>IFERROR(INDEX(V!$R:$R,MATCH(AP14,V!$L:$L,0)),"")</f>
        <v/>
      </c>
      <c r="AP14" s="407" t="str">
        <f t="shared" si="6"/>
        <v/>
      </c>
    </row>
    <row r="15" spans="1:42" x14ac:dyDescent="0.2">
      <c r="A15" s="316">
        <v>2</v>
      </c>
      <c r="B15" s="479" t="s">
        <v>483</v>
      </c>
      <c r="C15" s="318">
        <v>6</v>
      </c>
      <c r="D15" s="319"/>
      <c r="E15" s="318">
        <v>13</v>
      </c>
      <c r="F15" s="318"/>
      <c r="G15" s="318"/>
      <c r="H15" s="317" t="str">
        <f>(IF(C15-D14&gt;0,1)+IF(E15-D16&gt;0,1)+IF(F15-D17&gt;0,1)+IF(G15-D18&gt;0,1))&amp;"-"&amp;(IF(C15-D14&lt;0,1)+IF(E15-D16&lt;0,1)+IF(F15-D17&lt;0,1)+IF(G15-D18&lt;0,1))</f>
        <v>1-1</v>
      </c>
      <c r="I15" s="318" t="str">
        <f>IF(AND(B15&lt;&gt;"",R$6=TRUE),A$13&amp;RANK(S15,S$14:S$18,0)," ")</f>
        <v>B2</v>
      </c>
      <c r="J15" s="489">
        <f>IF(AND(Q15=1,Q14=1,C15&gt;D14),1)+IF(AND(Q15=1,Q16=1,E15&gt;D16),1)+IF(AND(Q15=1,Q17=1,F15&gt;D17),1)+IF(AND(Q15=1,Q18=1,G15&gt;D18),1)+IF(AND(Q15=2,Q14=2,C15&gt;D14),1)+IF(AND(Q15=2,Q16=2,E15&gt;D16),1)+IF(AND(Q15=2,Q17=2,F15&gt;D17),1)+IF(AND(Q15=2,Q18=2,G15&gt;D18),1)+IF(AND(Q15=3,Q14=3,C15&gt;D14),1)+IF(AND(Q15=3,Q16=3,E15&gt;D16),1)+IF(AND(Q15=3,Q17=3,F15&gt;D17),1)+IF(AND(Q15=3,Q18=3,G15&gt;D18),1)</f>
        <v>0</v>
      </c>
      <c r="K15" s="483">
        <f>SUM(AND(T15=T14,C15&gt;D14),AND(T15=T16,E15&gt;D16),AND(T15=T17,F15&gt;D17),AND(T15=T18,G15&gt;D18))</f>
        <v>0</v>
      </c>
      <c r="L15" s="490">
        <f>IF(AND(Q15=1,Q14=1),C15-D14)+IF(AND(Q15=1,Q16=1),E15-D16)+IF(AND(Q15=1,Q17=1),F15-D17)+IF(AND(Q15=1,Q18=1),G15-D18)+IF(AND(Q15=2,Q14=2),C15-D14)+IF(AND(Q15=2,Q16=2),E15-D16)+IF(AND(Q15=2,Q17=2),F15-D17)+IF(AND(Q15=2,Q18=2),G15-D18)+IF(AND(Q15=3,Q14=3),C15-D14)+IF(AND(Q15=3,Q16=3),E15-D16)+IF(AND(Q15=3,Q17=3),F15-D17)+IF(AND(Q15=3,Q18=3),G15-D18)+IF(AND(Q15=4,Q14=4),C15-D14)+IF(AND(Q15=4,Q16=4),E15-D16)+IF(AND(Q15=4,Q17=4),F15-D17)+IF(AND(Q15=4,Q18=4),G15-D18)</f>
        <v>0</v>
      </c>
      <c r="M15" s="483">
        <f>SUM(AND(R15=R14,C15&gt;D14),AND(R15=R16,E15&gt;D16),AND(R15=R17,F15&gt;D17),AND(R15=R18,G15&gt;D18))</f>
        <v>0</v>
      </c>
      <c r="N15" s="537" t="str">
        <f>SUM(C15:G15)&amp;"-"&amp;SUM(D14:D18)</f>
        <v>19-20</v>
      </c>
      <c r="O15" s="538">
        <f>C15+E15+F15+G15-D14-D16-D17-D18</f>
        <v>-1</v>
      </c>
      <c r="P15" s="485">
        <f>SUM(C15:G15,D14:D18)/SUM(D14:D18)</f>
        <v>1.95</v>
      </c>
      <c r="Q15" s="491">
        <f>VALUE(LEFT(H15,1))</f>
        <v>1</v>
      </c>
      <c r="R15" s="321">
        <f>Q15*100000+J15*10000+K15*1000+100*L15</f>
        <v>100000</v>
      </c>
      <c r="S15" s="486">
        <f>R15+M15*0.1+IF(ISNONTEXT(B15),0,0.01)+0.0001*O15</f>
        <v>100000.00989999999</v>
      </c>
      <c r="T15" s="487" t="str">
        <f>Q15&amp;J15</f>
        <v>10</v>
      </c>
      <c r="U15" s="477"/>
      <c r="V15" s="477"/>
      <c r="W15" s="477"/>
      <c r="X15" s="477"/>
      <c r="Y15" s="477"/>
      <c r="Z15" s="477"/>
      <c r="AA15" s="477"/>
      <c r="AB15" s="477"/>
      <c r="AC15" s="485"/>
      <c r="AD15" s="405">
        <f t="shared" si="0"/>
        <v>276.5</v>
      </c>
      <c r="AE15" s="406">
        <f>IFERROR(INDEX(V!$R:$R,MATCH(AF15,V!$L:$L,0)),"")</f>
        <v>150.5</v>
      </c>
      <c r="AF15" s="407" t="str">
        <f t="shared" si="1"/>
        <v>Karla Purgats</v>
      </c>
      <c r="AG15" s="406">
        <f>IFERROR(INDEX(V!$R:$R,MATCH(AH15,V!$L:$L,0)),"")</f>
        <v>126</v>
      </c>
      <c r="AH15" s="407" t="str">
        <f t="shared" si="2"/>
        <v>Oleg Rõndenkov</v>
      </c>
      <c r="AI15" s="406" t="str">
        <f>IFERROR(INDEX(V!$R:$R,MATCH(AJ15,V!$L:$L,0)),"")</f>
        <v/>
      </c>
      <c r="AJ15" s="407" t="str">
        <f t="shared" si="3"/>
        <v/>
      </c>
      <c r="AK15" s="406" t="str">
        <f>IFERROR(INDEX(V!$R:$R,MATCH(AL15,V!$L:$L,0)),"")</f>
        <v/>
      </c>
      <c r="AL15" s="407" t="str">
        <f t="shared" si="4"/>
        <v/>
      </c>
      <c r="AM15" s="406" t="str">
        <f>IFERROR(INDEX(V!$R:$R,MATCH(AN15,V!$L:$L,0)),"")</f>
        <v/>
      </c>
      <c r="AN15" s="407" t="str">
        <f t="shared" si="5"/>
        <v/>
      </c>
      <c r="AO15" s="406" t="str">
        <f>IFERROR(INDEX(V!$R:$R,MATCH(AP15,V!$L:$L,0)),"")</f>
        <v/>
      </c>
      <c r="AP15" s="407" t="str">
        <f t="shared" si="6"/>
        <v/>
      </c>
    </row>
    <row r="16" spans="1:42" x14ac:dyDescent="0.2">
      <c r="A16" s="316">
        <v>3</v>
      </c>
      <c r="B16" s="488" t="s">
        <v>280</v>
      </c>
      <c r="C16" s="318">
        <v>2</v>
      </c>
      <c r="D16" s="492">
        <v>7</v>
      </c>
      <c r="E16" s="319"/>
      <c r="F16" s="318"/>
      <c r="G16" s="318"/>
      <c r="H16" s="317" t="str">
        <f>(IF(C16-E14&gt;0,1)+IF(D16-E15&gt;0,1)+IF(F16-E17&gt;0,1)+IF(G16-E18&gt;0,1))&amp;"-"&amp;(IF(C16-E14&lt;0,1)+IF(D16-E15&lt;0,1)+IF(F16-E17&lt;0,1)+IF(G16-E18&lt;0,1))</f>
        <v>0-2</v>
      </c>
      <c r="I16" s="318" t="str">
        <f>IF(AND(B16&lt;&gt;"",R$6=TRUE),A$13&amp;RANK(S16,S$14:S$18,0)," ")</f>
        <v>B3</v>
      </c>
      <c r="J16" s="489">
        <f>IF(AND(Q16=1,Q14=1,C16&gt;E14),1)+IF(AND(Q16=1,Q15=1,D16&gt;E15),1)+IF(AND(Q16=1,Q17=1,F16&gt;E17),1)+IF(AND(Q16=1,Q18=1,G16&gt;E18),1)+IF(AND(Q16=2,Q14=2,C16&gt;E14),1)+IF(AND(Q16=2,Q15=2,D16&gt;E15),1)+IF(AND(Q16=2,Q17=2,F16&gt;E17),1)+IF(AND(Q16=2,Q18=2,G16&gt;E18),1)+IF(AND(Q16=3,Q14=3,C16&gt;E14),1)+IF(AND(Q16=3,Q15=3,D16&gt;E15),1)+IF(AND(Q16=3,Q17=3,F16&gt;E17),1)+IF(AND(Q16=3,Q18=3,G16&gt;E18),1)</f>
        <v>0</v>
      </c>
      <c r="K16" s="483">
        <f>SUM(AND(T16=T14,C16&gt;E14),AND(T16=T15,D16&gt;E15),AND(T16=T17,F16&gt;E17),AND(T16=T18,G16&gt;E18))</f>
        <v>0</v>
      </c>
      <c r="L16" s="490">
        <f>IF(AND(Q16=1,Q14=1),C16-E14)+IF(AND(Q16=1,Q15=1),D16-E15)+IF(AND(Q16=1,Q17=1),F16-E17)+IF(AND(Q16=1,Q18=1),G16-E18)+IF(AND(Q16=2,Q14=2),C16-E14)+IF(AND(Q16=2,Q15=2),D16-E15)+IF(AND(Q16=2,Q17=2),F16-E17)+IF(AND(Q16=2,Q18=2),G16-E18)+IF(AND(Q16=3,Q14=3),C16-E14)+IF(AND(Q16=3,Q15=3),D16-E15)+IF(AND(Q16=3,Q17=3),F16-E17)+IF(AND(Q16=3,Q18=3),G16-E18)+IF(AND(Q16=4,Q14=4),C16-E14)+IF(AND(Q16=4,Q15=4),D16-E15)+IF(AND(Q16=4,Q17=4),F16-E17)+IF(AND(Q16=4,Q18=4),G16-E18)</f>
        <v>0</v>
      </c>
      <c r="M16" s="483">
        <f>SUM(AND(R16=R14,C16&gt;E14),AND(R16=R15,D16&gt;E15),AND(R16=R17,F16&gt;E17),AND(R16=R18,G16&gt;E18))</f>
        <v>0</v>
      </c>
      <c r="N16" s="537" t="str">
        <f>SUM(C16:G16)&amp;"-"&amp;SUM(E14:E18)</f>
        <v>9-26</v>
      </c>
      <c r="O16" s="538">
        <f>C16+D16+F16+G16-E14-E15-E17-E18</f>
        <v>-17</v>
      </c>
      <c r="P16" s="485">
        <f>SUM(C16:G16,E14:E18)/SUM(E14:E18)</f>
        <v>1.3461538461538463</v>
      </c>
      <c r="Q16" s="491">
        <f>VALUE(LEFT(H16,1))</f>
        <v>0</v>
      </c>
      <c r="R16" s="321">
        <f>Q16*100000+J16*10000+K16*1000+100*L16</f>
        <v>0</v>
      </c>
      <c r="S16" s="486">
        <f>R16+M16*0.1+IF(ISNONTEXT(B16),0,0.01)+0.0001*O16</f>
        <v>8.3000000000000001E-3</v>
      </c>
      <c r="T16" s="487" t="str">
        <f>Q16&amp;J16</f>
        <v>00</v>
      </c>
      <c r="U16" s="477"/>
      <c r="V16" s="477"/>
      <c r="W16" s="477"/>
      <c r="X16" s="477"/>
      <c r="Y16" s="477"/>
      <c r="Z16" s="477"/>
      <c r="AA16" s="477"/>
      <c r="AB16" s="477"/>
      <c r="AC16" s="485"/>
      <c r="AD16" s="405">
        <f t="shared" si="0"/>
        <v>223</v>
      </c>
      <c r="AE16" s="406">
        <f>IFERROR(INDEX(V!$R:$R,MATCH(AF16,V!$L:$L,0)),"")</f>
        <v>118</v>
      </c>
      <c r="AF16" s="407" t="str">
        <f t="shared" si="1"/>
        <v>Enn Tokman</v>
      </c>
      <c r="AG16" s="406">
        <f>IFERROR(INDEX(V!$R:$R,MATCH(AH16,V!$L:$L,0)),"")</f>
        <v>105</v>
      </c>
      <c r="AH16" s="407" t="str">
        <f t="shared" si="2"/>
        <v>Tarmo Bombe</v>
      </c>
      <c r="AI16" s="406" t="str">
        <f>IFERROR(INDEX(V!$R:$R,MATCH(AJ16,V!$L:$L,0)),"")</f>
        <v/>
      </c>
      <c r="AJ16" s="407" t="str">
        <f t="shared" si="3"/>
        <v/>
      </c>
      <c r="AK16" s="406" t="str">
        <f>IFERROR(INDEX(V!$R:$R,MATCH(AL16,V!$L:$L,0)),"")</f>
        <v/>
      </c>
      <c r="AL16" s="407" t="str">
        <f t="shared" si="4"/>
        <v/>
      </c>
      <c r="AM16" s="406" t="str">
        <f>IFERROR(INDEX(V!$R:$R,MATCH(AN16,V!$L:$L,0)),"")</f>
        <v/>
      </c>
      <c r="AN16" s="407" t="str">
        <f t="shared" si="5"/>
        <v/>
      </c>
      <c r="AO16" s="406" t="str">
        <f>IFERROR(INDEX(V!$R:$R,MATCH(AP16,V!$L:$L,0)),"")</f>
        <v/>
      </c>
      <c r="AP16" s="407" t="str">
        <f t="shared" si="6"/>
        <v/>
      </c>
    </row>
    <row r="17" spans="1:42" hidden="1" x14ac:dyDescent="0.2">
      <c r="A17" s="316">
        <v>4</v>
      </c>
      <c r="B17" s="493"/>
      <c r="C17" s="318"/>
      <c r="D17" s="492"/>
      <c r="E17" s="318"/>
      <c r="F17" s="319"/>
      <c r="G17" s="511"/>
      <c r="H17" s="317" t="str">
        <f>(IF(C17-F14&gt;0,1)+IF(D17-F15&gt;0,1)+IF(E17-F16&gt;0,1)+IF(G17-F18&gt;0,1))&amp;"-"&amp;(IF(C17-F14&lt;0,1)+IF(D17-F15&lt;0,1)+IF(E17-F16&lt;0,1)+IF(G17-F18&lt;0,1))</f>
        <v>0-0</v>
      </c>
      <c r="I17" s="318" t="str">
        <f>IF(AND(B17&lt;&gt;"",R$6=TRUE),A$13&amp;RANK(S17,S$14:S$18,0)," ")</f>
        <v xml:space="preserve"> </v>
      </c>
      <c r="J17" s="489">
        <f>IF(AND(Q17=1,Q14=1,C17&gt;F14),1)+IF(AND(Q17=1,Q15=1,D17&gt;F15),1)+IF(AND(Q17=1,Q16=1,E17&gt;F16),1)+IF(AND(Q17=1,Q18=1,G17&gt;F18),1)+IF(AND(Q17=2,Q14=2,C17&gt;F14),1)+IF(AND(Q17=2,Q15=2,D17&gt;F15),1)+IF(AND(Q17=2,Q16=2,E17&gt;F16),1)+IF(AND(Q17=2,Q18=2,G17&gt;F18),1)+IF(AND(Q17=3,Q14=3,C17&gt;F14),1)+IF(AND(Q17=3,Q15=3,D17&gt;F15),1)+IF(AND(Q17=3,Q16=3,E17&gt;F16),1)+IF(AND(Q17=3,Q18=3,G17&gt;F18),1)</f>
        <v>0</v>
      </c>
      <c r="K17" s="483">
        <f>SUM(AND(T17=T14,C17&gt;F14),AND(T17=T15,D17&gt;F15),AND(T17=T16,E17&gt;F16),AND(T17=T18,G17&gt;F18))</f>
        <v>0</v>
      </c>
      <c r="L17" s="490">
        <f>IF(AND(Q17=1,Q14=1),C17-F14)+IF(AND(Q17=1,Q15=1),D17-F15)+IF(AND(Q17=1,Q16=1),E17-F16)+IF(AND(Q17=1,Q18=1),G17-F18)+IF(AND(Q17=2,Q14=2),C17-F14)+IF(AND(Q17=2,Q15=2),D17-F15)+IF(AND(Q17=2,Q16=2),E17-F16)+IF(AND(Q17=2,Q18=2),G17-F18)+IF(AND(Q17=3,Q14=3),C17-F14)+IF(AND(Q17=3,Q15=3),D17-F15)+IF(AND(Q17=3,Q16=3),E17-F16)+IF(AND(Q17=3,Q18=3),G17-F18)+IF(AND(Q17=4,Q14=4),C17-F14)+IF(AND(Q17=4,Q15=4),D17-F15)+IF(AND(Q17=4,Q16=4),E17-F16)+IF(AND(Q17=4,Q18=4),G17-F18)</f>
        <v>0</v>
      </c>
      <c r="M17" s="483">
        <f>SUM(AND(R17=R14,C17&gt;F14),AND(R17=R15,D17&gt;F15),AND(R17=R16,E17&gt;F16),AND(R17=R18,G17&gt;F18))</f>
        <v>0</v>
      </c>
      <c r="N17" s="537" t="str">
        <f>SUM(C17:G17)&amp;"-"&amp;SUM(F14:F18)</f>
        <v>0-0</v>
      </c>
      <c r="O17" s="538">
        <f>C17+D17+E17+G17-F14-F15-F16-F18</f>
        <v>0</v>
      </c>
      <c r="P17" s="485" t="e">
        <f>SUM(C17:G17,F14:F18)/SUM(F14:F18)</f>
        <v>#DIV/0!</v>
      </c>
      <c r="Q17" s="491">
        <f>VALUE(LEFT(H17,1))</f>
        <v>0</v>
      </c>
      <c r="R17" s="321">
        <f>Q17*100000+J17*10000+K17*1000+100*L17</f>
        <v>0</v>
      </c>
      <c r="S17" s="486">
        <f>R17+M17*0.1+IF(ISNONTEXT(B17),0,0.01)+0.0001*O17</f>
        <v>0</v>
      </c>
      <c r="T17" s="487" t="str">
        <f>Q17&amp;J17</f>
        <v>00</v>
      </c>
      <c r="U17" s="477"/>
      <c r="V17" s="477"/>
      <c r="W17" s="477"/>
      <c r="X17" s="477"/>
      <c r="Y17" s="477"/>
      <c r="Z17" s="477"/>
      <c r="AA17" s="477"/>
      <c r="AB17" s="477"/>
      <c r="AC17" s="485"/>
      <c r="AD17" s="405">
        <f t="shared" si="0"/>
        <v>0</v>
      </c>
      <c r="AE17" s="406" t="str">
        <f>IFERROR(INDEX(V!$R:$R,MATCH(AF17,V!$L:$L,0)),"")</f>
        <v/>
      </c>
      <c r="AF17" s="407" t="str">
        <f t="shared" si="1"/>
        <v/>
      </c>
      <c r="AG17" s="406" t="str">
        <f>IFERROR(INDEX(V!$R:$R,MATCH(AH17,V!$L:$L,0)),"")</f>
        <v/>
      </c>
      <c r="AH17" s="407" t="str">
        <f t="shared" si="2"/>
        <v/>
      </c>
      <c r="AI17" s="406" t="str">
        <f>IFERROR(INDEX(V!$R:$R,MATCH(AJ17,V!$L:$L,0)),"")</f>
        <v/>
      </c>
      <c r="AJ17" s="407" t="str">
        <f t="shared" si="3"/>
        <v/>
      </c>
      <c r="AK17" s="406" t="str">
        <f>IFERROR(INDEX(V!$R:$R,MATCH(AL17,V!$L:$L,0)),"")</f>
        <v/>
      </c>
      <c r="AL17" s="407" t="str">
        <f t="shared" si="4"/>
        <v/>
      </c>
      <c r="AM17" s="406" t="str">
        <f>IFERROR(INDEX(V!$R:$R,MATCH(AN17,V!$L:$L,0)),"")</f>
        <v/>
      </c>
      <c r="AN17" s="407" t="str">
        <f t="shared" si="5"/>
        <v/>
      </c>
      <c r="AO17" s="406" t="str">
        <f>IFERROR(INDEX(V!$R:$R,MATCH(AP17,V!$L:$L,0)),"")</f>
        <v/>
      </c>
      <c r="AP17" s="407" t="str">
        <f t="shared" si="6"/>
        <v/>
      </c>
    </row>
    <row r="18" spans="1:42" hidden="1" x14ac:dyDescent="0.2">
      <c r="A18" s="316">
        <v>5</v>
      </c>
      <c r="B18" s="493"/>
      <c r="C18" s="318"/>
      <c r="D18" s="318"/>
      <c r="E18" s="318"/>
      <c r="F18" s="318"/>
      <c r="G18" s="319"/>
      <c r="H18" s="317" t="str">
        <f>(IF(C18-G14&gt;0,1)+IF(D18-G15&gt;0,1)+IF(E18-G16&gt;0,1)+IF(F18-G17&gt;0,1))&amp;"-"&amp;(IF(C18-G14&lt;0,1)+IF(D18-G15&lt;0,1)+IF(E18-G16&lt;0,1)+IF(F18-G17&lt;0,1))</f>
        <v>0-0</v>
      </c>
      <c r="I18" s="318" t="str">
        <f>IF(AND(B18&lt;&gt;"",R$6=TRUE),A$13&amp;RANK(S18,S$14:S$18,0)," ")</f>
        <v xml:space="preserve"> </v>
      </c>
      <c r="J18" s="489">
        <f>IF(AND(Q18=1,Q14=1,C18&gt;G14),1)+IF(AND(Q18=1,Q15=1,D18&gt;G15),1)+IF(AND(Q18=1,Q16=1,E18&gt;G16),1)+IF(AND(Q18=1,Q17=1,F18&gt;G17),1)+IF(AND(Q18=2,Q14=2,C18&gt;G14),1)+IF(AND(Q18=2,Q15=2,D18&gt;G15),1)+IF(AND(Q18=2,Q16=2,E18&gt;G16),1)+IF(AND(Q18=2,Q17=2,F18&gt;G17),1)+IF(AND(Q18=3,Q14=3,C18&gt;G14),1)+IF(AND(Q18=3,Q15=3,D18&gt;G15),1)+IF(AND(Q18=3,Q16=3,E18&gt;G16),1)+IF(AND(Q18=3,Q17=3,F18&gt;G17),1)</f>
        <v>0</v>
      </c>
      <c r="K18" s="483">
        <f>SUM(AND(T18=T14,C18&gt;G14),AND(T18=T15,D18&gt;G15),AND(T18=T16,E18&gt;G16),AND(T18=T17,F18&gt;G17))</f>
        <v>0</v>
      </c>
      <c r="L18" s="490">
        <f>IF(AND(Q18=1,Q14=1),C18-G14)+IF(AND(Q18=1,Q15=1),D18-G15)+IF(AND(Q18=1,Q16=1),E18-G16)+IF(AND(Q18=1,Q17=1),F18-G17)+IF(AND(Q18=2,Q14=2),C18-G14)+IF(AND(Q18=2,Q15=2),D18-G15)+IF(AND(Q18=2,Q16=2),E18-G16)+IF(AND(Q18=2,Q17=2),F18-G17)+IF(AND(Q18=3,Q14=3),C18-G14)+IF(AND(Q18=3,Q15=3),D18-G15)+IF(AND(Q18=3,Q16=3),E18-G16)+IF(AND(Q18=3,Q17=3),F18-G17)+IF(AND(Q18=4,Q14=4),C18-G14)+IF(AND(Q18=4,Q15=4),D18-G15)+IF(AND(Q18=4,Q16=4),E18-G16)+IF(AND(Q18=4,Q17=4),F18-G17)</f>
        <v>0</v>
      </c>
      <c r="M18" s="483">
        <f>SUM(AND(R18=R14,C18&gt;G14),AND(R18=R15,D18&gt;G15),AND(R18=R16,E18&gt;G16),AND(R18=R17,F18&gt;G17))</f>
        <v>0</v>
      </c>
      <c r="N18" s="537" t="str">
        <f>SUM(C18:G18)&amp;"-"&amp;SUM(G14:G18)</f>
        <v>0-0</v>
      </c>
      <c r="O18" s="538">
        <f>C18+D18+E18+F18-G14-G15-G16-G17</f>
        <v>0</v>
      </c>
      <c r="P18" s="485" t="e">
        <f>SUM(C18:G18,G14:G18)/SUM(G14:G18)</f>
        <v>#DIV/0!</v>
      </c>
      <c r="Q18" s="491">
        <f>VALUE(LEFT(H18,1))</f>
        <v>0</v>
      </c>
      <c r="R18" s="321">
        <f>Q18*100000+J18*10000+K18*1000+100*L18</f>
        <v>0</v>
      </c>
      <c r="S18" s="486">
        <f>R18+M18*0.1+IF(ISNONTEXT(B18),0,0.01)+0.0001*O18</f>
        <v>0</v>
      </c>
      <c r="T18" s="487" t="str">
        <f>Q18&amp;J18</f>
        <v>00</v>
      </c>
      <c r="U18" s="477"/>
      <c r="V18" s="477"/>
      <c r="W18" s="477"/>
      <c r="X18" s="477"/>
      <c r="Y18" s="477"/>
      <c r="Z18" s="477"/>
      <c r="AA18" s="477"/>
      <c r="AB18" s="477"/>
      <c r="AC18" s="485"/>
      <c r="AD18" s="405">
        <f t="shared" si="0"/>
        <v>0</v>
      </c>
      <c r="AE18" s="406" t="str">
        <f>IFERROR(INDEX(V!$R:$R,MATCH(AF18,V!$L:$L,0)),"")</f>
        <v/>
      </c>
      <c r="AF18" s="407" t="str">
        <f t="shared" si="1"/>
        <v/>
      </c>
      <c r="AG18" s="406" t="str">
        <f>IFERROR(INDEX(V!$R:$R,MATCH(AH18,V!$L:$L,0)),"")</f>
        <v/>
      </c>
      <c r="AH18" s="407" t="str">
        <f t="shared" si="2"/>
        <v/>
      </c>
      <c r="AI18" s="406" t="str">
        <f>IFERROR(INDEX(V!$R:$R,MATCH(AJ18,V!$L:$L,0)),"")</f>
        <v/>
      </c>
      <c r="AJ18" s="407" t="str">
        <f t="shared" si="3"/>
        <v/>
      </c>
      <c r="AK18" s="406" t="str">
        <f>IFERROR(INDEX(V!$R:$R,MATCH(AL18,V!$L:$L,0)),"")</f>
        <v/>
      </c>
      <c r="AL18" s="407" t="str">
        <f t="shared" si="4"/>
        <v/>
      </c>
      <c r="AM18" s="406" t="str">
        <f>IFERROR(INDEX(V!$R:$R,MATCH(AN18,V!$L:$L,0)),"")</f>
        <v/>
      </c>
      <c r="AN18" s="407" t="str">
        <f t="shared" si="5"/>
        <v/>
      </c>
      <c r="AO18" s="406" t="str">
        <f>IFERROR(INDEX(V!$R:$R,MATCH(AP18,V!$L:$L,0)),"")</f>
        <v/>
      </c>
      <c r="AP18" s="407" t="str">
        <f t="shared" si="6"/>
        <v/>
      </c>
    </row>
    <row r="19" spans="1:42" x14ac:dyDescent="0.2">
      <c r="A19" s="494"/>
      <c r="B19" s="495"/>
      <c r="C19" s="496"/>
      <c r="D19" s="497"/>
      <c r="E19" s="496"/>
      <c r="F19" s="498"/>
      <c r="G19" s="499"/>
      <c r="H19" s="500"/>
      <c r="I19" s="512"/>
      <c r="J19" s="477"/>
      <c r="K19" s="477"/>
      <c r="L19" s="477"/>
      <c r="M19" s="477"/>
      <c r="N19" s="539"/>
      <c r="O19" s="539"/>
      <c r="P19" s="477"/>
      <c r="Q19" s="477"/>
      <c r="R19" s="502" t="s">
        <v>264</v>
      </c>
      <c r="S19" s="477"/>
      <c r="T19" s="477"/>
      <c r="U19" s="477"/>
      <c r="V19" s="477"/>
      <c r="W19" s="477"/>
      <c r="X19" s="477"/>
      <c r="Y19" s="477"/>
      <c r="Z19" s="477"/>
      <c r="AA19" s="477"/>
      <c r="AB19" s="477"/>
      <c r="AC19" s="485"/>
      <c r="AD19" s="405">
        <f t="shared" si="0"/>
        <v>0</v>
      </c>
      <c r="AE19" s="406" t="str">
        <f>IFERROR(INDEX(V!$R:$R,MATCH(AF19,V!$L:$L,0)),"")</f>
        <v/>
      </c>
      <c r="AF19" s="407" t="str">
        <f t="shared" si="1"/>
        <v/>
      </c>
      <c r="AG19" s="406" t="str">
        <f>IFERROR(INDEX(V!$R:$R,MATCH(AH19,V!$L:$L,0)),"")</f>
        <v/>
      </c>
      <c r="AH19" s="407" t="str">
        <f t="shared" si="2"/>
        <v/>
      </c>
      <c r="AI19" s="406" t="str">
        <f>IFERROR(INDEX(V!$R:$R,MATCH(AJ19,V!$L:$L,0)),"")</f>
        <v/>
      </c>
      <c r="AJ19" s="407" t="str">
        <f t="shared" si="3"/>
        <v/>
      </c>
      <c r="AK19" s="406" t="str">
        <f>IFERROR(INDEX(V!$R:$R,MATCH(AL19,V!$L:$L,0)),"")</f>
        <v/>
      </c>
      <c r="AL19" s="407" t="str">
        <f t="shared" si="4"/>
        <v/>
      </c>
      <c r="AM19" s="406" t="str">
        <f>IFERROR(INDEX(V!$R:$R,MATCH(AN19,V!$L:$L,0)),"")</f>
        <v/>
      </c>
      <c r="AN19" s="407" t="str">
        <f t="shared" si="5"/>
        <v/>
      </c>
      <c r="AO19" s="406" t="str">
        <f>IFERROR(INDEX(V!$R:$R,MATCH(AP19,V!$L:$L,0)),"")</f>
        <v/>
      </c>
      <c r="AP19" s="407" t="str">
        <f t="shared" si="6"/>
        <v/>
      </c>
    </row>
    <row r="20" spans="1:42" x14ac:dyDescent="0.2">
      <c r="A20" s="316" t="s">
        <v>2</v>
      </c>
      <c r="B20" s="503"/>
      <c r="C20" s="467">
        <v>1</v>
      </c>
      <c r="D20" s="467">
        <v>2</v>
      </c>
      <c r="E20" s="467">
        <v>3</v>
      </c>
      <c r="F20" s="467">
        <v>4</v>
      </c>
      <c r="G20" s="467"/>
      <c r="H20" s="468" t="s">
        <v>168</v>
      </c>
      <c r="I20" s="468" t="s">
        <v>169</v>
      </c>
      <c r="J20" s="504" t="s">
        <v>257</v>
      </c>
      <c r="K20" s="505" t="s">
        <v>258</v>
      </c>
      <c r="L20" s="506" t="s">
        <v>259</v>
      </c>
      <c r="M20" s="506" t="s">
        <v>260</v>
      </c>
      <c r="N20" s="472" t="s">
        <v>170</v>
      </c>
      <c r="O20" s="472" t="s">
        <v>170</v>
      </c>
      <c r="P20" s="473" t="s">
        <v>261</v>
      </c>
      <c r="Q20" s="507" t="s">
        <v>21</v>
      </c>
      <c r="R20" s="507" t="b">
        <f>OR(AND(COUNTA(B21:B25)=3,COUNTA(C21:G25)=6),AND(COUNTA(B21:B25)=4,COUNTA(C21:G25)=12),AND(COUNTA(B21:B25)=5,COUNTA(C21:G25)=20))</f>
        <v>1</v>
      </c>
      <c r="S20" s="508" t="s">
        <v>262</v>
      </c>
      <c r="T20" s="509" t="s">
        <v>263</v>
      </c>
      <c r="U20" s="477"/>
      <c r="V20" s="477"/>
      <c r="W20" s="477"/>
      <c r="X20" s="477"/>
      <c r="Y20" s="477"/>
      <c r="Z20" s="477"/>
      <c r="AA20" s="477"/>
      <c r="AB20" s="477"/>
      <c r="AC20" s="477"/>
      <c r="AD20" s="405">
        <f t="shared" si="0"/>
        <v>0</v>
      </c>
      <c r="AE20" s="406" t="str">
        <f>IFERROR(INDEX(V!$R:$R,MATCH(AF20,V!$L:$L,0)),"")</f>
        <v/>
      </c>
      <c r="AF20" s="407" t="str">
        <f t="shared" si="1"/>
        <v/>
      </c>
      <c r="AG20" s="406" t="str">
        <f>IFERROR(INDEX(V!$R:$R,MATCH(AH20,V!$L:$L,0)),"")</f>
        <v/>
      </c>
      <c r="AH20" s="407" t="str">
        <f t="shared" si="2"/>
        <v/>
      </c>
      <c r="AI20" s="406" t="str">
        <f>IFERROR(INDEX(V!$R:$R,MATCH(AJ20,V!$L:$L,0)),"")</f>
        <v/>
      </c>
      <c r="AJ20" s="407" t="str">
        <f t="shared" si="3"/>
        <v/>
      </c>
      <c r="AK20" s="406" t="str">
        <f>IFERROR(INDEX(V!$R:$R,MATCH(AL20,V!$L:$L,0)),"")</f>
        <v/>
      </c>
      <c r="AL20" s="407" t="str">
        <f t="shared" si="4"/>
        <v/>
      </c>
      <c r="AM20" s="406" t="str">
        <f>IFERROR(INDEX(V!$R:$R,MATCH(AN20,V!$L:$L,0)),"")</f>
        <v/>
      </c>
      <c r="AN20" s="407" t="str">
        <f t="shared" si="5"/>
        <v/>
      </c>
      <c r="AO20" s="406" t="str">
        <f>IFERROR(INDEX(V!$R:$R,MATCH(AP20,V!$L:$L,0)),"")</f>
        <v/>
      </c>
      <c r="AP20" s="407" t="str">
        <f t="shared" si="6"/>
        <v/>
      </c>
    </row>
    <row r="21" spans="1:42" x14ac:dyDescent="0.2">
      <c r="A21" s="316">
        <v>1</v>
      </c>
      <c r="B21" s="479" t="s">
        <v>272</v>
      </c>
      <c r="C21" s="319"/>
      <c r="D21" s="318">
        <v>8</v>
      </c>
      <c r="E21" s="318">
        <v>8</v>
      </c>
      <c r="F21" s="318">
        <v>10</v>
      </c>
      <c r="G21" s="318"/>
      <c r="H21" s="317" t="str">
        <f>(IF(D21-C22&gt;0,1)+IF(E21-C23&gt;0,1)+IF(F21-C24&gt;0,1)+IF(G21-C25&gt;0,1))&amp;"-"&amp;(IF(D21-C22&lt;0,1)+IF(E21-C23&lt;0,1)+IF(F21-C24&lt;0,1)+IF(G21-C25&lt;0,1))</f>
        <v>0-3</v>
      </c>
      <c r="I21" s="318" t="str">
        <f>IF(AND(B21&lt;&gt;"",R$20=TRUE),A$20&amp;RANK(S21,S$21:S$25,0)," ")</f>
        <v>C4</v>
      </c>
      <c r="J21" s="480">
        <f>IF(AND(Q21=1,Q22=1,D21&gt;C22),1)+IF(AND(Q21=1,Q23=1,E21&gt;C23),1)+IF(AND(Q21=1,Q24=1,F21&gt;C24),1)+IF(AND(Q21=1,Q25=1,G21&gt;C25),1)+IF(AND(Q21=2,Q22=2,D21&gt;C22),1)+IF(AND(Q21=2,Q23=2,E21&gt;C23),1)+IF(AND(Q21=2,Q24=2,F21&gt;C24),1)+IF(AND(Q21=2,Q25=2,G21&gt;C25),1)+IF(AND(Q21=3,Q22=3,D21&gt;C22),1)+IF(AND(Q21=3,Q23=3,E21&gt;C23),1)+IF(AND(Q21=3,Q24=3,F21&gt;C24),1)+IF(AND(Q21=3,Q25=3,G21&gt;C25),1)</f>
        <v>0</v>
      </c>
      <c r="K21" s="481">
        <f>SUM(AND(T21=T22,D21&gt;C22),AND(T21=T23,E21&gt;C23),AND(T21=T24,F21&gt;C24),AND(T21=T25,G21&gt;C25))</f>
        <v>0</v>
      </c>
      <c r="L21" s="482">
        <f>IF(AND(Q21=1,Q22=1),D21-C22)+IF(AND(Q21=1,Q23=1),E21-C23)+IF(AND(Q21=1,Q24=1),F21-C24)+IF(AND(Q21=1,Q25=1),G21-C25)+IF(AND(Q21=2,Q22=2),D21-C22)+IF(AND(Q21=2,Q23=2),E21-C23)+IF(AND(Q21=2,Q24=2),F21-C24)+IF(AND(Q21=2,Q25=2),G21-C25)+IF(AND(Q21=3,Q22=3),D21-C22)+IF(AND(Q21=3,Q23=3),E21-C23)+IF(AND(Q21=3,Q24=3),F21-C24)+IF(AND(Q21=3,Q25=3),G21-C25)+IF(AND(Q21=4,Q22=4),D21-C22)+IF(AND(Q21=4,Q23=4),E21-C23)+IF(AND(Q21=4,Q24=4),F21-C24)+IF(AND(Q21=4,Q25=4),G21-C25)</f>
        <v>0</v>
      </c>
      <c r="M21" s="483">
        <f>SUM(AND(R21=R22,D21&gt;C22),AND(R21=R23,E21&gt;C23),AND(R21=R24,F21&gt;C24),AND(R21=R25,G21&gt;C25))</f>
        <v>0</v>
      </c>
      <c r="N21" s="537" t="str">
        <f>SUM(C21:G21)&amp;"-"&amp;SUM(C21:C25)</f>
        <v>26-39</v>
      </c>
      <c r="O21" s="538">
        <f>D21+E21+F21+G21-C22-C23-C24-C25</f>
        <v>-13</v>
      </c>
      <c r="P21" s="485">
        <f>SUM(C21:G21,C21:C25)/SUM(C21:C25)</f>
        <v>1.6666666666666667</v>
      </c>
      <c r="Q21" s="320">
        <f>VALUE(LEFT(H21,1))</f>
        <v>0</v>
      </c>
      <c r="R21" s="321">
        <f>Q21*100000+J21*10000+K21*1000+100*L21</f>
        <v>0</v>
      </c>
      <c r="S21" s="486">
        <f>R21+M21*0.1+IF(ISNONTEXT(B21),0,0.01)+0.0001*O21</f>
        <v>8.6999999999999994E-3</v>
      </c>
      <c r="T21" s="487" t="str">
        <f>Q21&amp;J21</f>
        <v>00</v>
      </c>
      <c r="U21" s="477"/>
      <c r="V21" s="477"/>
      <c r="W21" s="477"/>
      <c r="X21" s="477"/>
      <c r="Y21" s="477"/>
      <c r="Z21" s="477"/>
      <c r="AA21" s="477"/>
      <c r="AB21" s="477"/>
      <c r="AC21" s="477"/>
      <c r="AD21" s="405">
        <f t="shared" si="0"/>
        <v>272</v>
      </c>
      <c r="AE21" s="406">
        <f>IFERROR(INDEX(V!$R:$R,MATCH(AF21,V!$L:$L,0)),"")</f>
        <v>148</v>
      </c>
      <c r="AF21" s="407" t="str">
        <f t="shared" si="1"/>
        <v>Andrei Grintšak</v>
      </c>
      <c r="AG21" s="406">
        <f>IFERROR(INDEX(V!$R:$R,MATCH(AH21,V!$L:$L,0)),"")</f>
        <v>124</v>
      </c>
      <c r="AH21" s="407" t="str">
        <f t="shared" si="2"/>
        <v>Boriss Klubov</v>
      </c>
      <c r="AI21" s="406" t="str">
        <f>IFERROR(INDEX(V!$R:$R,MATCH(AJ21,V!$L:$L,0)),"")</f>
        <v/>
      </c>
      <c r="AJ21" s="407" t="str">
        <f t="shared" si="3"/>
        <v/>
      </c>
      <c r="AK21" s="406" t="str">
        <f>IFERROR(INDEX(V!$R:$R,MATCH(AL21,V!$L:$L,0)),"")</f>
        <v/>
      </c>
      <c r="AL21" s="407" t="str">
        <f t="shared" si="4"/>
        <v/>
      </c>
      <c r="AM21" s="406" t="str">
        <f>IFERROR(INDEX(V!$R:$R,MATCH(AN21,V!$L:$L,0)),"")</f>
        <v/>
      </c>
      <c r="AN21" s="407" t="str">
        <f t="shared" si="5"/>
        <v/>
      </c>
      <c r="AO21" s="406" t="str">
        <f>IFERROR(INDEX(V!$R:$R,MATCH(AP21,V!$L:$L,0)),"")</f>
        <v/>
      </c>
      <c r="AP21" s="407" t="str">
        <f t="shared" si="6"/>
        <v/>
      </c>
    </row>
    <row r="22" spans="1:42" x14ac:dyDescent="0.2">
      <c r="A22" s="316">
        <v>2</v>
      </c>
      <c r="B22" s="488" t="s">
        <v>270</v>
      </c>
      <c r="C22" s="318">
        <v>13</v>
      </c>
      <c r="D22" s="319"/>
      <c r="E22" s="318">
        <v>13</v>
      </c>
      <c r="F22" s="318">
        <v>7</v>
      </c>
      <c r="G22" s="318"/>
      <c r="H22" s="317" t="str">
        <f>(IF(C22-D21&gt;0,1)+IF(E22-D23&gt;0,1)+IF(F22-D24&gt;0,1)+IF(G22-D25&gt;0,1))&amp;"-"&amp;(IF(C22-D21&lt;0,1)+IF(E22-D23&lt;0,1)+IF(F22-D24&lt;0,1)+IF(G22-D25&lt;0,1))</f>
        <v>2-1</v>
      </c>
      <c r="I22" s="318" t="str">
        <f t="shared" ref="I22:I25" si="7">IF(AND(B22&lt;&gt;"",R$20=TRUE),A$20&amp;RANK(S22,S$21:S$25,0)," ")</f>
        <v>C2</v>
      </c>
      <c r="J22" s="489">
        <f>IF(AND(Q22=1,Q21=1,C22&gt;D21),1)+IF(AND(Q22=1,Q23=1,E22&gt;D23),1)+IF(AND(Q22=1,Q24=1,F22&gt;D24),1)+IF(AND(Q22=1,Q25=1,G22&gt;D25),1)+IF(AND(Q22=2,Q21=2,C22&gt;D21),1)+IF(AND(Q22=2,Q23=2,E22&gt;D23),1)+IF(AND(Q22=2,Q24=2,F22&gt;D24),1)+IF(AND(Q22=2,Q25=2,G22&gt;D25),1)+IF(AND(Q22=3,Q21=3,C22&gt;D21),1)+IF(AND(Q22=3,Q23=3,E22&gt;D23),1)+IF(AND(Q22=3,Q24=3,F22&gt;D24),1)+IF(AND(Q22=3,Q25=3,G22&gt;D25),1)</f>
        <v>0</v>
      </c>
      <c r="K22" s="483">
        <f>SUM(AND(T22=T21,C22&gt;D21),AND(T22=T23,E22&gt;D23),AND(T22=T24,F22&gt;D24),AND(T22=T25,G22&gt;D25))</f>
        <v>0</v>
      </c>
      <c r="L22" s="490">
        <f>IF(AND(Q22=1,Q21=1),C22-D21)+IF(AND(Q22=1,Q23=1),E22-D23)+IF(AND(Q22=1,Q24=1),F22-D24)+IF(AND(Q22=1,Q25=1),G22-D25)+IF(AND(Q22=2,Q21=2),C22-D21)+IF(AND(Q22=2,Q23=2),E22-D23)+IF(AND(Q22=2,Q24=2),F22-D24)+IF(AND(Q22=2,Q25=2),G22-D25)+IF(AND(Q22=3,Q21=3),C22-D21)+IF(AND(Q22=3,Q23=3),E22-D23)+IF(AND(Q22=3,Q24=3),F22-D24)+IF(AND(Q22=3,Q25=3),G22-D25)+IF(AND(Q22=4,Q21=4),C22-D21)+IF(AND(Q22=4,Q23=4),E22-D23)+IF(AND(Q22=4,Q24=4),F22-D24)+IF(AND(Q22=4,Q25=4),G22-D25)</f>
        <v>0</v>
      </c>
      <c r="M22" s="483">
        <f>SUM(AND(R22=R21,C22&gt;D21),AND(R22=R23,E22&gt;D23),AND(R22=R24,F22&gt;D24),AND(R22=R25,G22&gt;D25))</f>
        <v>0</v>
      </c>
      <c r="N22" s="537" t="str">
        <f>SUM(C22:G22)&amp;"-"&amp;SUM(D21:D25)</f>
        <v>33-28</v>
      </c>
      <c r="O22" s="538">
        <f>C22+E22+F22+G22-D21-D23-D24-D25</f>
        <v>5</v>
      </c>
      <c r="P22" s="485">
        <f>SUM(C22:G22,D21:D25)/SUM(D21:D25)</f>
        <v>2.1785714285714284</v>
      </c>
      <c r="Q22" s="491">
        <f>VALUE(LEFT(H22,1))</f>
        <v>2</v>
      </c>
      <c r="R22" s="321">
        <f>Q22*100000+J22*10000+K22*1000+100*L22</f>
        <v>200000</v>
      </c>
      <c r="S22" s="486">
        <f>R22+M22*0.1+IF(ISNONTEXT(B22),0,0.01)+0.0001*O22</f>
        <v>200000.0105</v>
      </c>
      <c r="T22" s="487" t="str">
        <f>Q22&amp;J22</f>
        <v>20</v>
      </c>
      <c r="U22" s="477"/>
      <c r="V22" s="477"/>
      <c r="W22" s="477"/>
      <c r="X22" s="477"/>
      <c r="Y22" s="477"/>
      <c r="Z22" s="477"/>
      <c r="AA22" s="477"/>
      <c r="AB22" s="477"/>
      <c r="AC22" s="477"/>
      <c r="AD22" s="405">
        <f t="shared" si="0"/>
        <v>302</v>
      </c>
      <c r="AE22" s="406">
        <f>IFERROR(INDEX(V!$R:$R,MATCH(AF22,V!$L:$L,0)),"")</f>
        <v>164</v>
      </c>
      <c r="AF22" s="407" t="str">
        <f t="shared" si="1"/>
        <v>Kaspar Mänd</v>
      </c>
      <c r="AG22" s="406">
        <f>IFERROR(INDEX(V!$R:$R,MATCH(AH22,V!$L:$L,0)),"")</f>
        <v>138</v>
      </c>
      <c r="AH22" s="407" t="str">
        <f t="shared" si="2"/>
        <v>Urmas Randlaine</v>
      </c>
      <c r="AI22" s="406" t="str">
        <f>IFERROR(INDEX(V!$R:$R,MATCH(AJ22,V!$L:$L,0)),"")</f>
        <v/>
      </c>
      <c r="AJ22" s="407" t="str">
        <f t="shared" si="3"/>
        <v/>
      </c>
      <c r="AK22" s="406" t="str">
        <f>IFERROR(INDEX(V!$R:$R,MATCH(AL22,V!$L:$L,0)),"")</f>
        <v/>
      </c>
      <c r="AL22" s="407" t="str">
        <f t="shared" si="4"/>
        <v/>
      </c>
      <c r="AM22" s="406" t="str">
        <f>IFERROR(INDEX(V!$R:$R,MATCH(AN22,V!$L:$L,0)),"")</f>
        <v/>
      </c>
      <c r="AN22" s="407" t="str">
        <f t="shared" si="5"/>
        <v/>
      </c>
      <c r="AO22" s="406" t="str">
        <f>IFERROR(INDEX(V!$R:$R,MATCH(AP22,V!$L:$L,0)),"")</f>
        <v/>
      </c>
      <c r="AP22" s="407" t="str">
        <f t="shared" si="6"/>
        <v/>
      </c>
    </row>
    <row r="23" spans="1:42" x14ac:dyDescent="0.2">
      <c r="A23" s="316">
        <v>3</v>
      </c>
      <c r="B23" s="488" t="s">
        <v>281</v>
      </c>
      <c r="C23" s="318">
        <v>13</v>
      </c>
      <c r="D23" s="492">
        <v>7</v>
      </c>
      <c r="E23" s="319"/>
      <c r="F23" s="318">
        <v>2</v>
      </c>
      <c r="G23" s="318"/>
      <c r="H23" s="317" t="str">
        <f>(IF(C23-E21&gt;0,1)+IF(D23-E22&gt;0,1)+IF(F23-E24&gt;0,1)+IF(G23-E25&gt;0,1))&amp;"-"&amp;(IF(C23-E21&lt;0,1)+IF(D23-E22&lt;0,1)+IF(F23-E24&lt;0,1)+IF(G23-E25&lt;0,1))</f>
        <v>1-2</v>
      </c>
      <c r="I23" s="318" t="str">
        <f t="shared" si="7"/>
        <v>C3</v>
      </c>
      <c r="J23" s="489">
        <f>IF(AND(Q23=1,Q21=1,C23&gt;E21),1)+IF(AND(Q23=1,Q22=1,D23&gt;E22),1)+IF(AND(Q23=1,Q24=1,F23&gt;E24),1)+IF(AND(Q23=1,Q25=1,G23&gt;E25),1)+IF(AND(Q23=2,Q21=2,C23&gt;E21),1)+IF(AND(Q23=2,Q22=2,D23&gt;E22),1)+IF(AND(Q23=2,Q24=2,F23&gt;E24),1)+IF(AND(Q23=2,Q25=2,G23&gt;E25),1)+IF(AND(Q23=3,Q21=3,C23&gt;E21),1)+IF(AND(Q23=3,Q22=3,D23&gt;E22),1)+IF(AND(Q23=3,Q24=3,F23&gt;E24),1)+IF(AND(Q23=3,Q25=3,G23&gt;E25),1)</f>
        <v>0</v>
      </c>
      <c r="K23" s="483">
        <f>SUM(AND(T23=T21,C23&gt;E21),AND(T23=T22,D23&gt;E22),AND(T23=T24,F23&gt;E24),AND(T23=T25,G23&gt;E25))</f>
        <v>0</v>
      </c>
      <c r="L23" s="490">
        <f>IF(AND(Q23=1,Q21=1),C23-E21)+IF(AND(Q23=1,Q22=1),D23-E22)+IF(AND(Q23=1,Q24=1),F23-E24)+IF(AND(Q23=1,Q25=1),G23-E25)+IF(AND(Q23=2,Q21=2),C23-E21)+IF(AND(Q23=2,Q22=2),D23-E22)+IF(AND(Q23=2,Q24=2),F23-E24)+IF(AND(Q23=2,Q25=2),G23-E25)+IF(AND(Q23=3,Q21=3),C23-E21)+IF(AND(Q23=3,Q22=3),D23-E22)+IF(AND(Q23=3,Q24=3),F23-E24)+IF(AND(Q23=3,Q25=3),G23-E25)+IF(AND(Q23=4,Q21=4),C23-E21)+IF(AND(Q23=4,Q22=4),D23-E22)+IF(AND(Q23=4,Q24=4),F23-E24)+IF(AND(Q23=4,Q25=4),G23-E25)</f>
        <v>0</v>
      </c>
      <c r="M23" s="483">
        <f>SUM(AND(R23=R21,C23&gt;E21),AND(R23=R22,D23&gt;E22),AND(R23=R24,F23&gt;E24),AND(R23=R25,G23&gt;E25))</f>
        <v>0</v>
      </c>
      <c r="N23" s="537" t="str">
        <f>SUM(C23:G23)&amp;"-"&amp;SUM(E21:E25)</f>
        <v>22-34</v>
      </c>
      <c r="O23" s="538">
        <f>C23+D23+F23+G23-E21-E22-E24-E25</f>
        <v>-12</v>
      </c>
      <c r="P23" s="485">
        <f>SUM(C23:G23,E21:E25)/SUM(E21:E25)</f>
        <v>1.6470588235294117</v>
      </c>
      <c r="Q23" s="491">
        <f>VALUE(LEFT(H23,1))</f>
        <v>1</v>
      </c>
      <c r="R23" s="321">
        <f>Q23*100000+J23*10000+K23*1000+100*L23</f>
        <v>100000</v>
      </c>
      <c r="S23" s="486">
        <f>R23+M23*0.1+IF(ISNONTEXT(B23),0,0.01)+0.0001*O23</f>
        <v>100000.0088</v>
      </c>
      <c r="T23" s="487" t="str">
        <f>Q23&amp;J23</f>
        <v>10</v>
      </c>
      <c r="U23" s="477"/>
      <c r="V23" s="477"/>
      <c r="W23" s="477"/>
      <c r="X23" s="477"/>
      <c r="Y23" s="477"/>
      <c r="Z23" s="477"/>
      <c r="AA23" s="477"/>
      <c r="AB23" s="477"/>
      <c r="AC23" s="477"/>
      <c r="AD23" s="405">
        <f t="shared" si="0"/>
        <v>176</v>
      </c>
      <c r="AE23" s="406">
        <f>IFERROR(INDEX(V!$R:$R,MATCH(AF23,V!$L:$L,0)),"")</f>
        <v>90</v>
      </c>
      <c r="AF23" s="407" t="str">
        <f t="shared" si="1"/>
        <v>Henri Mitt</v>
      </c>
      <c r="AG23" s="406">
        <f>IFERROR(INDEX(V!$R:$R,MATCH(AH23,V!$L:$L,0)),"")</f>
        <v>86</v>
      </c>
      <c r="AH23" s="407" t="str">
        <f t="shared" si="2"/>
        <v>Meelis Luud</v>
      </c>
      <c r="AI23" s="406" t="str">
        <f>IFERROR(INDEX(V!$R:$R,MATCH(AJ23,V!$L:$L,0)),"")</f>
        <v/>
      </c>
      <c r="AJ23" s="407" t="str">
        <f t="shared" si="3"/>
        <v/>
      </c>
      <c r="AK23" s="406" t="str">
        <f>IFERROR(INDEX(V!$R:$R,MATCH(AL23,V!$L:$L,0)),"")</f>
        <v/>
      </c>
      <c r="AL23" s="407" t="str">
        <f t="shared" si="4"/>
        <v/>
      </c>
      <c r="AM23" s="406" t="str">
        <f>IFERROR(INDEX(V!$R:$R,MATCH(AN23,V!$L:$L,0)),"")</f>
        <v/>
      </c>
      <c r="AN23" s="407" t="str">
        <f t="shared" si="5"/>
        <v/>
      </c>
      <c r="AO23" s="406" t="str">
        <f>IFERROR(INDEX(V!$R:$R,MATCH(AP23,V!$L:$L,0)),"")</f>
        <v/>
      </c>
      <c r="AP23" s="407" t="str">
        <f t="shared" si="6"/>
        <v/>
      </c>
    </row>
    <row r="24" spans="1:42" x14ac:dyDescent="0.2">
      <c r="A24" s="316">
        <v>4</v>
      </c>
      <c r="B24" s="488" t="s">
        <v>484</v>
      </c>
      <c r="C24" s="318">
        <v>13</v>
      </c>
      <c r="D24" s="492">
        <v>13</v>
      </c>
      <c r="E24" s="318">
        <v>13</v>
      </c>
      <c r="F24" s="319"/>
      <c r="G24" s="511"/>
      <c r="H24" s="317" t="str">
        <f>(IF(C24-F21&gt;0,1)+IF(D24-F22&gt;0,1)+IF(E24-F23&gt;0,1)+IF(G24-F25&gt;0,1))&amp;"-"&amp;(IF(C24-F21&lt;0,1)+IF(D24-F22&lt;0,1)+IF(E24-F23&lt;0,1)+IF(G24-F25&lt;0,1))</f>
        <v>3-0</v>
      </c>
      <c r="I24" s="318" t="str">
        <f t="shared" si="7"/>
        <v>C1</v>
      </c>
      <c r="J24" s="489">
        <f>IF(AND(Q24=1,Q21=1,C24&gt;F21),1)+IF(AND(Q24=1,Q22=1,D24&gt;F22),1)+IF(AND(Q24=1,Q23=1,E24&gt;F23),1)+IF(AND(Q24=1,Q25=1,G24&gt;F25),1)+IF(AND(Q24=2,Q21=2,C24&gt;F21),1)+IF(AND(Q24=2,Q22=2,D24&gt;F22),1)+IF(AND(Q24=2,Q23=2,E24&gt;F23),1)+IF(AND(Q24=2,Q25=2,G24&gt;F25),1)+IF(AND(Q24=3,Q21=3,C24&gt;F21),1)+IF(AND(Q24=3,Q22=3,D24&gt;F22),1)+IF(AND(Q24=3,Q23=3,E24&gt;F23),1)+IF(AND(Q24=3,Q25=3,G24&gt;F25),1)</f>
        <v>0</v>
      </c>
      <c r="K24" s="483">
        <f>SUM(AND(T24=T21,C24&gt;F21),AND(T24=T22,D24&gt;F22),AND(T24=T23,E24&gt;F23),AND(T24=T25,G24&gt;F25))</f>
        <v>0</v>
      </c>
      <c r="L24" s="490">
        <f>IF(AND(Q24=1,Q21=1),C24-F21)+IF(AND(Q24=1,Q22=1),D24-F22)+IF(AND(Q24=1,Q23=1),E24-F23)+IF(AND(Q24=1,Q25=1),G24-F25)+IF(AND(Q24=2,Q21=2),C24-F21)+IF(AND(Q24=2,Q22=2),D24-F22)+IF(AND(Q24=2,Q23=2),E24-F23)+IF(AND(Q24=2,Q25=2),G24-F25)+IF(AND(Q24=3,Q21=3),C24-F21)+IF(AND(Q24=3,Q22=3),D24-F22)+IF(AND(Q24=3,Q23=3),E24-F23)+IF(AND(Q24=3,Q25=3),G24-F25)+IF(AND(Q24=4,Q21=4),C24-F21)+IF(AND(Q24=4,Q22=4),D24-F22)+IF(AND(Q24=4,Q23=4),E24-F23)+IF(AND(Q24=4,Q25=4),G24-F25)</f>
        <v>0</v>
      </c>
      <c r="M24" s="483">
        <f>SUM(AND(R24=R21,C24&gt;F21),AND(R24=R22,D24&gt;F22),AND(R24=R23,E24&gt;F23),AND(R24=R25,G24&gt;F25))</f>
        <v>0</v>
      </c>
      <c r="N24" s="537" t="str">
        <f>SUM(C24:G24)&amp;"-"&amp;SUM(F21:F25)</f>
        <v>39-19</v>
      </c>
      <c r="O24" s="538">
        <f>C24+D24+E24+G24-F21-F22-F23-F25</f>
        <v>20</v>
      </c>
      <c r="P24" s="485">
        <f>SUM(C24:G24,F21:F25)/SUM(F21:F25)</f>
        <v>3.0526315789473686</v>
      </c>
      <c r="Q24" s="491">
        <f>VALUE(LEFT(H24,1))</f>
        <v>3</v>
      </c>
      <c r="R24" s="321">
        <f>Q24*100000+J24*10000+K24*1000+100*L24</f>
        <v>300000</v>
      </c>
      <c r="S24" s="486">
        <f>R24+M24*0.1+IF(ISNONTEXT(B24),0,0.01)+0.0001*O24</f>
        <v>300000.01199999999</v>
      </c>
      <c r="T24" s="487" t="str">
        <f>Q24&amp;J24</f>
        <v>30</v>
      </c>
      <c r="U24" s="477"/>
      <c r="V24" s="477"/>
      <c r="W24" s="477"/>
      <c r="X24" s="477"/>
      <c r="Y24" s="477"/>
      <c r="Z24" s="477"/>
      <c r="AA24" s="477"/>
      <c r="AB24" s="477"/>
      <c r="AC24" s="477"/>
      <c r="AD24" s="405">
        <f t="shared" si="0"/>
        <v>116</v>
      </c>
      <c r="AE24" s="406">
        <f>IFERROR(INDEX(V!$R:$R,MATCH(AF24,V!$L:$L,0)),"")</f>
        <v>56</v>
      </c>
      <c r="AF24" s="407" t="str">
        <f t="shared" si="1"/>
        <v>Ivar Viljaste</v>
      </c>
      <c r="AG24" s="406">
        <f>IFERROR(INDEX(V!$R:$R,MATCH(AH24,V!$L:$L,0)),"")</f>
        <v>60</v>
      </c>
      <c r="AH24" s="407" t="str">
        <f t="shared" si="2"/>
        <v>Tõnis Neiland</v>
      </c>
      <c r="AI24" s="406" t="str">
        <f>IFERROR(INDEX(V!$R:$R,MATCH(AJ24,V!$L:$L,0)),"")</f>
        <v/>
      </c>
      <c r="AJ24" s="407" t="str">
        <f t="shared" si="3"/>
        <v/>
      </c>
      <c r="AK24" s="406" t="str">
        <f>IFERROR(INDEX(V!$R:$R,MATCH(AL24,V!$L:$L,0)),"")</f>
        <v/>
      </c>
      <c r="AL24" s="407" t="str">
        <f t="shared" si="4"/>
        <v/>
      </c>
      <c r="AM24" s="406" t="str">
        <f>IFERROR(INDEX(V!$R:$R,MATCH(AN24,V!$L:$L,0)),"")</f>
        <v/>
      </c>
      <c r="AN24" s="407" t="str">
        <f t="shared" si="5"/>
        <v/>
      </c>
      <c r="AO24" s="406" t="str">
        <f>IFERROR(INDEX(V!$R:$R,MATCH(AP24,V!$L:$L,0)),"")</f>
        <v/>
      </c>
      <c r="AP24" s="407" t="str">
        <f t="shared" si="6"/>
        <v/>
      </c>
    </row>
    <row r="25" spans="1:42" hidden="1" x14ac:dyDescent="0.2">
      <c r="A25" s="316">
        <v>5</v>
      </c>
      <c r="B25" s="493"/>
      <c r="C25" s="318"/>
      <c r="D25" s="318"/>
      <c r="E25" s="318"/>
      <c r="F25" s="318"/>
      <c r="G25" s="319"/>
      <c r="H25" s="317" t="str">
        <f>(IF(C25-G21&gt;0,1)+IF(D25-G22&gt;0,1)+IF(E25-G23&gt;0,1)+IF(F25-G24&gt;0,1))&amp;"-"&amp;(IF(C25-G21&lt;0,1)+IF(D25-G22&lt;0,1)+IF(E25-G23&lt;0,1)+IF(F25-G24&lt;0,1))</f>
        <v>0-0</v>
      </c>
      <c r="I25" s="318" t="str">
        <f t="shared" si="7"/>
        <v xml:space="preserve"> </v>
      </c>
      <c r="J25" s="489">
        <f>IF(AND(Q25=1,Q21=1,C25&gt;G21),1)+IF(AND(Q25=1,Q22=1,D25&gt;G22),1)+IF(AND(Q25=1,Q23=1,E25&gt;G23),1)+IF(AND(Q25=1,Q24=1,F25&gt;G24),1)+IF(AND(Q25=2,Q21=2,C25&gt;G21),1)+IF(AND(Q25=2,Q22=2,D25&gt;G22),1)+IF(AND(Q25=2,Q23=2,E25&gt;G23),1)+IF(AND(Q25=2,Q24=2,F25&gt;G24),1)+IF(AND(Q25=3,Q21=3,C25&gt;G21),1)+IF(AND(Q25=3,Q22=3,D25&gt;G22),1)+IF(AND(Q25=3,Q23=3,E25&gt;G23),1)+IF(AND(Q25=3,Q24=3,F25&gt;G24),1)</f>
        <v>0</v>
      </c>
      <c r="K25" s="483">
        <f>SUM(AND(T25=T21,C25&gt;G21),AND(T25=T22,D25&gt;G22),AND(T25=T23,E25&gt;G23),AND(T25=T24,F25&gt;G24))</f>
        <v>0</v>
      </c>
      <c r="L25" s="490">
        <f>IF(AND(Q25=1,Q21=1),C25-G21)+IF(AND(Q25=1,Q22=1),D25-G22)+IF(AND(Q25=1,Q23=1),E25-G23)+IF(AND(Q25=1,Q24=1),F25-G24)+IF(AND(Q25=2,Q21=2),C25-G21)+IF(AND(Q25=2,Q22=2),D25-G22)+IF(AND(Q25=2,Q23=2),E25-G23)+IF(AND(Q25=2,Q24=2),F25-G24)+IF(AND(Q25=3,Q21=3),C25-G21)+IF(AND(Q25=3,Q22=3),D25-G22)+IF(AND(Q25=3,Q23=3),E25-G23)+IF(AND(Q25=3,Q24=3),F25-G24)+IF(AND(Q25=4,Q21=4),C25-G21)+IF(AND(Q25=4,Q22=4),D25-G22)+IF(AND(Q25=4,Q23=4),E25-G23)+IF(AND(Q25=4,Q24=4),F25-G24)</f>
        <v>0</v>
      </c>
      <c r="M25" s="483">
        <f>SUM(AND(R25=R21,C25&gt;G21),AND(R25=R22,D25&gt;G22),AND(R25=R23,E25&gt;G23),AND(R25=R24,F25&gt;G24))</f>
        <v>0</v>
      </c>
      <c r="N25" s="537" t="str">
        <f>SUM(C25:G25)&amp;"-"&amp;SUM(G21:G25)</f>
        <v>0-0</v>
      </c>
      <c r="O25" s="538">
        <f>C25+D25+E25+F25-G21-G22-G23-G24</f>
        <v>0</v>
      </c>
      <c r="P25" s="485" t="e">
        <f>SUM(C25:G25,G21:G25)/SUM(G21:G25)</f>
        <v>#DIV/0!</v>
      </c>
      <c r="Q25" s="491">
        <f>VALUE(LEFT(H25,1))</f>
        <v>0</v>
      </c>
      <c r="R25" s="321">
        <f>Q25*100000+J25*10000+K25*1000+100*L25</f>
        <v>0</v>
      </c>
      <c r="S25" s="486">
        <f>R25+M25*0.1+IF(ISNONTEXT(B25),0,0.01)+0.0001*O25</f>
        <v>0</v>
      </c>
      <c r="T25" s="487" t="str">
        <f>Q25&amp;J25</f>
        <v>00</v>
      </c>
      <c r="U25" s="477"/>
      <c r="V25" s="477"/>
      <c r="W25" s="477"/>
      <c r="X25" s="477"/>
      <c r="Y25" s="477"/>
      <c r="Z25" s="477"/>
      <c r="AA25" s="477"/>
      <c r="AB25" s="477"/>
      <c r="AC25" s="477"/>
      <c r="AD25" s="405">
        <f t="shared" si="0"/>
        <v>0</v>
      </c>
      <c r="AE25" s="406" t="str">
        <f>IFERROR(INDEX(V!$R:$R,MATCH(AF25,V!$L:$L,0)),"")</f>
        <v/>
      </c>
      <c r="AF25" s="407" t="str">
        <f t="shared" si="1"/>
        <v/>
      </c>
      <c r="AG25" s="406" t="str">
        <f>IFERROR(INDEX(V!$R:$R,MATCH(AH25,V!$L:$L,0)),"")</f>
        <v/>
      </c>
      <c r="AH25" s="407" t="str">
        <f t="shared" si="2"/>
        <v/>
      </c>
      <c r="AI25" s="406" t="str">
        <f>IFERROR(INDEX(V!$R:$R,MATCH(AJ25,V!$L:$L,0)),"")</f>
        <v/>
      </c>
      <c r="AJ25" s="407" t="str">
        <f t="shared" si="3"/>
        <v/>
      </c>
      <c r="AK25" s="406" t="str">
        <f>IFERROR(INDEX(V!$R:$R,MATCH(AL25,V!$L:$L,0)),"")</f>
        <v/>
      </c>
      <c r="AL25" s="407" t="str">
        <f t="shared" si="4"/>
        <v/>
      </c>
      <c r="AM25" s="406" t="str">
        <f>IFERROR(INDEX(V!$R:$R,MATCH(AN25,V!$L:$L,0)),"")</f>
        <v/>
      </c>
      <c r="AN25" s="407" t="str">
        <f t="shared" si="5"/>
        <v/>
      </c>
      <c r="AO25" s="406" t="str">
        <f>IFERROR(INDEX(V!$R:$R,MATCH(AP25,V!$L:$L,0)),"")</f>
        <v/>
      </c>
      <c r="AP25" s="407" t="str">
        <f t="shared" si="6"/>
        <v/>
      </c>
    </row>
    <row r="26" spans="1:42" x14ac:dyDescent="0.2">
      <c r="A26" s="513"/>
      <c r="B26" s="514"/>
      <c r="C26" s="499"/>
      <c r="D26" s="499"/>
      <c r="E26" s="499"/>
      <c r="F26" s="515"/>
      <c r="G26" s="515"/>
      <c r="H26" s="516"/>
      <c r="I26" s="517"/>
      <c r="J26" s="477"/>
      <c r="K26" s="477"/>
      <c r="L26" s="477"/>
      <c r="M26" s="477"/>
      <c r="N26" s="539"/>
      <c r="O26" s="539"/>
      <c r="P26" s="477"/>
      <c r="Q26" s="477"/>
      <c r="R26" s="502" t="s">
        <v>264</v>
      </c>
      <c r="S26" s="477"/>
      <c r="T26" s="477"/>
      <c r="U26" s="477"/>
      <c r="V26" s="477"/>
      <c r="W26" s="477"/>
      <c r="X26" s="477"/>
      <c r="Y26" s="477"/>
      <c r="Z26" s="477"/>
      <c r="AA26" s="477"/>
      <c r="AB26" s="477"/>
      <c r="AC26" s="477"/>
      <c r="AD26" s="405">
        <f t="shared" si="0"/>
        <v>0</v>
      </c>
      <c r="AE26" s="406" t="str">
        <f>IFERROR(INDEX(V!$R:$R,MATCH(AF26,V!$L:$L,0)),"")</f>
        <v/>
      </c>
      <c r="AF26" s="407" t="str">
        <f t="shared" si="1"/>
        <v/>
      </c>
      <c r="AG26" s="406" t="str">
        <f>IFERROR(INDEX(V!$R:$R,MATCH(AH26,V!$L:$L,0)),"")</f>
        <v/>
      </c>
      <c r="AH26" s="407" t="str">
        <f t="shared" si="2"/>
        <v/>
      </c>
      <c r="AI26" s="406" t="str">
        <f>IFERROR(INDEX(V!$R:$R,MATCH(AJ26,V!$L:$L,0)),"")</f>
        <v/>
      </c>
      <c r="AJ26" s="407" t="str">
        <f t="shared" si="3"/>
        <v/>
      </c>
      <c r="AK26" s="406" t="str">
        <f>IFERROR(INDEX(V!$R:$R,MATCH(AL26,V!$L:$L,0)),"")</f>
        <v/>
      </c>
      <c r="AL26" s="407" t="str">
        <f t="shared" si="4"/>
        <v/>
      </c>
      <c r="AM26" s="406" t="str">
        <f>IFERROR(INDEX(V!$R:$R,MATCH(AN26,V!$L:$L,0)),"")</f>
        <v/>
      </c>
      <c r="AN26" s="407" t="str">
        <f t="shared" si="5"/>
        <v/>
      </c>
      <c r="AO26" s="406" t="str">
        <f>IFERROR(INDEX(V!$R:$R,MATCH(AP26,V!$L:$L,0)),"")</f>
        <v/>
      </c>
      <c r="AP26" s="407" t="str">
        <f t="shared" si="6"/>
        <v/>
      </c>
    </row>
    <row r="27" spans="1:42" x14ac:dyDescent="0.2">
      <c r="A27" s="316" t="s">
        <v>3</v>
      </c>
      <c r="B27" s="503"/>
      <c r="C27" s="467">
        <v>1</v>
      </c>
      <c r="D27" s="467">
        <v>2</v>
      </c>
      <c r="E27" s="467">
        <v>3</v>
      </c>
      <c r="F27" s="467">
        <v>4</v>
      </c>
      <c r="G27" s="467"/>
      <c r="H27" s="468" t="s">
        <v>168</v>
      </c>
      <c r="I27" s="468" t="s">
        <v>169</v>
      </c>
      <c r="J27" s="504" t="s">
        <v>257</v>
      </c>
      <c r="K27" s="505" t="s">
        <v>258</v>
      </c>
      <c r="L27" s="506" t="s">
        <v>259</v>
      </c>
      <c r="M27" s="506" t="s">
        <v>260</v>
      </c>
      <c r="N27" s="472" t="s">
        <v>170</v>
      </c>
      <c r="O27" s="472" t="s">
        <v>170</v>
      </c>
      <c r="P27" s="473" t="s">
        <v>261</v>
      </c>
      <c r="Q27" s="507" t="s">
        <v>21</v>
      </c>
      <c r="R27" s="507" t="b">
        <f>OR(AND(COUNTA(B28:B32)=3,COUNTA(C28:G32)=6),AND(COUNTA(B28:B32)=4,COUNTA(C28:G32)=12),AND(COUNTA(B28:B32)=5,COUNTA(C28:G32)=20))</f>
        <v>1</v>
      </c>
      <c r="S27" s="508" t="s">
        <v>262</v>
      </c>
      <c r="T27" s="509" t="s">
        <v>263</v>
      </c>
      <c r="U27" s="477"/>
      <c r="V27" s="477"/>
      <c r="W27" s="477"/>
      <c r="X27" s="477"/>
      <c r="Y27" s="477"/>
      <c r="Z27" s="477"/>
      <c r="AA27" s="477"/>
      <c r="AB27" s="477"/>
      <c r="AC27" s="477"/>
      <c r="AD27" s="405">
        <f t="shared" si="0"/>
        <v>0</v>
      </c>
      <c r="AE27" s="406" t="str">
        <f>IFERROR(INDEX(V!$R:$R,MATCH(AF27,V!$L:$L,0)),"")</f>
        <v/>
      </c>
      <c r="AF27" s="407" t="str">
        <f t="shared" si="1"/>
        <v/>
      </c>
      <c r="AG27" s="406" t="str">
        <f>IFERROR(INDEX(V!$R:$R,MATCH(AH27,V!$L:$L,0)),"")</f>
        <v/>
      </c>
      <c r="AH27" s="407" t="str">
        <f t="shared" si="2"/>
        <v/>
      </c>
      <c r="AI27" s="406" t="str">
        <f>IFERROR(INDEX(V!$R:$R,MATCH(AJ27,V!$L:$L,0)),"")</f>
        <v/>
      </c>
      <c r="AJ27" s="407" t="str">
        <f t="shared" si="3"/>
        <v/>
      </c>
      <c r="AK27" s="406" t="str">
        <f>IFERROR(INDEX(V!$R:$R,MATCH(AL27,V!$L:$L,0)),"")</f>
        <v/>
      </c>
      <c r="AL27" s="407" t="str">
        <f t="shared" si="4"/>
        <v/>
      </c>
      <c r="AM27" s="406" t="str">
        <f>IFERROR(INDEX(V!$R:$R,MATCH(AN27,V!$L:$L,0)),"")</f>
        <v/>
      </c>
      <c r="AN27" s="407" t="str">
        <f t="shared" si="5"/>
        <v/>
      </c>
      <c r="AO27" s="406" t="str">
        <f>IFERROR(INDEX(V!$R:$R,MATCH(AP27,V!$L:$L,0)),"")</f>
        <v/>
      </c>
      <c r="AP27" s="407" t="str">
        <f t="shared" si="6"/>
        <v/>
      </c>
    </row>
    <row r="28" spans="1:42" x14ac:dyDescent="0.2">
      <c r="A28" s="316">
        <v>1</v>
      </c>
      <c r="B28" s="518" t="s">
        <v>431</v>
      </c>
      <c r="C28" s="319"/>
      <c r="D28" s="318">
        <v>13</v>
      </c>
      <c r="E28" s="318">
        <v>13</v>
      </c>
      <c r="F28" s="318">
        <v>13</v>
      </c>
      <c r="G28" s="318"/>
      <c r="H28" s="317" t="str">
        <f>(IF(D28-C29&gt;0,1)+IF(E28-C30&gt;0,1)+IF(F28-C31&gt;0,1)+IF(G28-C32&gt;0,1))&amp;"-"&amp;(IF(D28-C29&lt;0,1)+IF(E28-C30&lt;0,1)+IF(F28-C31&lt;0,1)+IF(G28-C32&lt;0,1))</f>
        <v>3-0</v>
      </c>
      <c r="I28" s="318" t="str">
        <f>IF(AND(B28&lt;&gt;"",R$27=TRUE),A$27&amp;RANK(S28,S$28:S$32,0)," ")</f>
        <v>D1</v>
      </c>
      <c r="J28" s="480">
        <f>IF(AND(Q28=1,Q29=1,D28&gt;C29),1)+IF(AND(Q28=1,Q30=1,E28&gt;C30),1)+IF(AND(Q28=1,Q31=1,F28&gt;C31),1)+IF(AND(Q28=1,Q32=1,G28&gt;C32),1)+IF(AND(Q28=2,Q29=2,D28&gt;C29),1)+IF(AND(Q28=2,Q30=2,E28&gt;C30),1)+IF(AND(Q28=2,Q31=2,F28&gt;C31),1)+IF(AND(Q28=2,Q32=2,G28&gt;C32),1)+IF(AND(Q28=3,Q29=3,D28&gt;C29),1)+IF(AND(Q28=3,Q30=3,E28&gt;C30),1)+IF(AND(Q28=3,Q31=3,F28&gt;C31),1)+IF(AND(Q28=3,Q32=3,G28&gt;C32),1)</f>
        <v>0</v>
      </c>
      <c r="K28" s="481">
        <f>SUM(AND(T28=T29,D28&gt;C29),AND(T28=T30,E28&gt;C30),AND(T28=T31,F28&gt;C31),AND(T28=T32,G28&gt;C32))</f>
        <v>0</v>
      </c>
      <c r="L28" s="482">
        <f>IF(AND(Q28=1,Q29=1),D28-C29)+IF(AND(Q28=1,Q30=1),E28-C30)+IF(AND(Q28=1,Q31=1),F28-C31)+IF(AND(Q28=1,Q32=1),G28-C32)+IF(AND(Q28=2,Q29=2),D28-C29)+IF(AND(Q28=2,Q30=2),E28-C30)+IF(AND(Q28=2,Q31=2),F28-C31)+IF(AND(Q28=2,Q32=2),G28-C32)+IF(AND(Q28=3,Q29=3),D28-C29)+IF(AND(Q28=3,Q30=3),E28-C30)+IF(AND(Q28=3,Q31=3),F28-C31)+IF(AND(Q28=3,Q32=3),G28-C32)+IF(AND(Q28=4,Q29=4),D28-C29)+IF(AND(Q28=4,Q30=4),E28-C30)+IF(AND(Q28=4,Q31=4),F28-C31)+IF(AND(Q28=4,Q32=4),G28-C32)</f>
        <v>0</v>
      </c>
      <c r="M28" s="483">
        <f>SUM(AND(R28=R29,D28&gt;C29),AND(R28=R30,E28&gt;C30),AND(R28=R31,F28&gt;C31),AND(R28=R32,G28&gt;C32))</f>
        <v>0</v>
      </c>
      <c r="N28" s="537" t="str">
        <f>SUM(C28:G28)&amp;"-"&amp;SUM(C28:C32)</f>
        <v>39-16</v>
      </c>
      <c r="O28" s="538">
        <f>D28+E28+F28+G28-C29-C30-C31-C32</f>
        <v>23</v>
      </c>
      <c r="P28" s="485">
        <f>SUM(C28:G28,C28:C32)/SUM(C28:C32)</f>
        <v>3.4375</v>
      </c>
      <c r="Q28" s="320">
        <f>VALUE(LEFT(H28,1))</f>
        <v>3</v>
      </c>
      <c r="R28" s="321">
        <f>Q28*100000+J28*10000+K28*1000+100*L28</f>
        <v>300000</v>
      </c>
      <c r="S28" s="486">
        <f>R28+M28*0.1+IF(ISNONTEXT(B28),0,0.01)+0.0001*O28</f>
        <v>300000.0123</v>
      </c>
      <c r="T28" s="487" t="str">
        <f>Q28&amp;J28</f>
        <v>30</v>
      </c>
      <c r="U28" s="477"/>
      <c r="V28" s="477"/>
      <c r="W28" s="477"/>
      <c r="X28" s="477"/>
      <c r="Y28" s="477"/>
      <c r="Z28" s="477"/>
      <c r="AA28" s="477"/>
      <c r="AB28" s="477"/>
      <c r="AC28" s="477"/>
      <c r="AD28" s="405">
        <f t="shared" si="0"/>
        <v>245</v>
      </c>
      <c r="AE28" s="406">
        <f>IFERROR(INDEX(V!$R:$R,MATCH(AF28,V!$L:$L,0)),"")</f>
        <v>133.5</v>
      </c>
      <c r="AF28" s="407" t="str">
        <f t="shared" si="1"/>
        <v>Tõnu Piik</v>
      </c>
      <c r="AG28" s="406">
        <f>IFERROR(INDEX(V!$R:$R,MATCH(AH28,V!$L:$L,0)),"")</f>
        <v>111.5</v>
      </c>
      <c r="AH28" s="407" t="str">
        <f t="shared" si="2"/>
        <v>Ülo Piik</v>
      </c>
      <c r="AI28" s="406" t="str">
        <f>IFERROR(INDEX(V!$R:$R,MATCH(AJ28,V!$L:$L,0)),"")</f>
        <v/>
      </c>
      <c r="AJ28" s="407" t="str">
        <f t="shared" si="3"/>
        <v/>
      </c>
      <c r="AK28" s="406" t="str">
        <f>IFERROR(INDEX(V!$R:$R,MATCH(AL28,V!$L:$L,0)),"")</f>
        <v/>
      </c>
      <c r="AL28" s="407" t="str">
        <f t="shared" si="4"/>
        <v/>
      </c>
      <c r="AM28" s="406" t="str">
        <f>IFERROR(INDEX(V!$R:$R,MATCH(AN28,V!$L:$L,0)),"")</f>
        <v/>
      </c>
      <c r="AN28" s="407" t="str">
        <f t="shared" si="5"/>
        <v/>
      </c>
      <c r="AO28" s="406" t="str">
        <f>IFERROR(INDEX(V!$R:$R,MATCH(AP28,V!$L:$L,0)),"")</f>
        <v/>
      </c>
      <c r="AP28" s="407" t="str">
        <f t="shared" si="6"/>
        <v/>
      </c>
    </row>
    <row r="29" spans="1:42" x14ac:dyDescent="0.2">
      <c r="A29" s="316">
        <v>2</v>
      </c>
      <c r="B29" s="488" t="s">
        <v>282</v>
      </c>
      <c r="C29" s="318">
        <v>9</v>
      </c>
      <c r="D29" s="319"/>
      <c r="E29" s="318">
        <v>8</v>
      </c>
      <c r="F29" s="318">
        <v>13</v>
      </c>
      <c r="G29" s="318"/>
      <c r="H29" s="317" t="str">
        <f>(IF(C29-D28&gt;0,1)+IF(E29-D30&gt;0,1)+IF(F29-D31&gt;0,1)+IF(G29-D32&gt;0,1))&amp;"-"&amp;(IF(C29-D28&lt;0,1)+IF(E29-D30&lt;0,1)+IF(F29-D31&lt;0,1)+IF(G29-D32&lt;0,1))</f>
        <v>1-2</v>
      </c>
      <c r="I29" s="318" t="str">
        <f t="shared" ref="I29:I32" si="8">IF(AND(B29&lt;&gt;"",R$27=TRUE),A$27&amp;RANK(S29,S$28:S$32,0)," ")</f>
        <v>D3</v>
      </c>
      <c r="J29" s="489">
        <f>IF(AND(Q29=1,Q28=1,C29&gt;D28),1)+IF(AND(Q29=1,Q30=1,E29&gt;D30),1)+IF(AND(Q29=1,Q31=1,F29&gt;D31),1)+IF(AND(Q29=1,Q32=1,G29&gt;D32),1)+IF(AND(Q29=2,Q28=2,C29&gt;D28),1)+IF(AND(Q29=2,Q30=2,E29&gt;D30),1)+IF(AND(Q29=2,Q31=2,F29&gt;D31),1)+IF(AND(Q29=2,Q32=2,G29&gt;D32),1)+IF(AND(Q29=3,Q28=3,C29&gt;D28),1)+IF(AND(Q29=3,Q30=3,E29&gt;D30),1)+IF(AND(Q29=3,Q31=3,F29&gt;D31),1)+IF(AND(Q29=3,Q32=3,G29&gt;D32),1)</f>
        <v>0</v>
      </c>
      <c r="K29" s="483">
        <f>SUM(AND(T29=T28,C29&gt;D28),AND(T29=T30,E29&gt;D30),AND(T29=T31,F29&gt;D31),AND(T29=T32,G29&gt;D32))</f>
        <v>0</v>
      </c>
      <c r="L29" s="490">
        <f>IF(AND(Q29=1,Q28=1),C29-D28)+IF(AND(Q29=1,Q30=1),E29-D30)+IF(AND(Q29=1,Q31=1),F29-D31)+IF(AND(Q29=1,Q32=1),G29-D32)+IF(AND(Q29=2,Q28=2),C29-D28)+IF(AND(Q29=2,Q30=2),E29-D30)+IF(AND(Q29=2,Q31=2),F29-D31)+IF(AND(Q29=2,Q32=2),G29-D32)+IF(AND(Q29=3,Q28=3),C29-D28)+IF(AND(Q29=3,Q30=3),E29-D30)+IF(AND(Q29=3,Q31=3),F29-D31)+IF(AND(Q29=3,Q32=3),G29-D32)+IF(AND(Q29=4,Q28=4),C29-D28)+IF(AND(Q29=4,Q30=4),E29-D30)+IF(AND(Q29=4,Q31=4),F29-D31)+IF(AND(Q29=4,Q32=4),G29-D32)</f>
        <v>0</v>
      </c>
      <c r="M29" s="483">
        <f>SUM(AND(R29=R28,C29&gt;D28),AND(R29=R30,E29&gt;D30),AND(R29=R31,F29&gt;D31),AND(R29=R32,G29&gt;D32))</f>
        <v>0</v>
      </c>
      <c r="N29" s="537" t="str">
        <f>SUM(C29:G29)&amp;"-"&amp;SUM(D28:D32)</f>
        <v>30-35</v>
      </c>
      <c r="O29" s="538">
        <f>C29+E29+F29+G29-D28-D30-D31-D32</f>
        <v>-5</v>
      </c>
      <c r="P29" s="485">
        <f>SUM(C29:G29,D28:D32)/SUM(D28:D32)</f>
        <v>1.8571428571428572</v>
      </c>
      <c r="Q29" s="491">
        <f>VALUE(LEFT(H29,1))</f>
        <v>1</v>
      </c>
      <c r="R29" s="321">
        <f>Q29*100000+J29*10000+K29*1000+100*L29</f>
        <v>100000</v>
      </c>
      <c r="S29" s="486">
        <f>R29+M29*0.1+IF(ISNONTEXT(B29),0,0.01)+0.0001*O29</f>
        <v>100000.0095</v>
      </c>
      <c r="T29" s="487" t="str">
        <f>Q29&amp;J29</f>
        <v>10</v>
      </c>
      <c r="U29" s="477"/>
      <c r="V29" s="477"/>
      <c r="W29" s="477"/>
      <c r="X29" s="477"/>
      <c r="Y29" s="477"/>
      <c r="Z29" s="477"/>
      <c r="AA29" s="477"/>
      <c r="AB29" s="477"/>
      <c r="AC29" s="477"/>
      <c r="AD29" s="405">
        <f t="shared" si="0"/>
        <v>320</v>
      </c>
      <c r="AE29" s="406">
        <f>IFERROR(INDEX(V!$R:$R,MATCH(AF29,V!$L:$L,0)),"")</f>
        <v>168</v>
      </c>
      <c r="AF29" s="407" t="str">
        <f t="shared" si="1"/>
        <v>Matti Vinni</v>
      </c>
      <c r="AG29" s="406">
        <f>IFERROR(INDEX(V!$R:$R,MATCH(AH29,V!$L:$L,0)),"")</f>
        <v>152</v>
      </c>
      <c r="AH29" s="407" t="str">
        <f t="shared" si="2"/>
        <v>Vladimir Ogneštšikov</v>
      </c>
      <c r="AI29" s="406" t="str">
        <f>IFERROR(INDEX(V!$R:$R,MATCH(AJ29,V!$L:$L,0)),"")</f>
        <v/>
      </c>
      <c r="AJ29" s="407" t="str">
        <f t="shared" si="3"/>
        <v/>
      </c>
      <c r="AK29" s="406" t="str">
        <f>IFERROR(INDEX(V!$R:$R,MATCH(AL29,V!$L:$L,0)),"")</f>
        <v/>
      </c>
      <c r="AL29" s="407" t="str">
        <f t="shared" si="4"/>
        <v/>
      </c>
      <c r="AM29" s="406" t="str">
        <f>IFERROR(INDEX(V!$R:$R,MATCH(AN29,V!$L:$L,0)),"")</f>
        <v/>
      </c>
      <c r="AN29" s="407" t="str">
        <f t="shared" si="5"/>
        <v/>
      </c>
      <c r="AO29" s="406" t="str">
        <f>IFERROR(INDEX(V!$R:$R,MATCH(AP29,V!$L:$L,0)),"")</f>
        <v/>
      </c>
      <c r="AP29" s="407" t="str">
        <f t="shared" si="6"/>
        <v/>
      </c>
    </row>
    <row r="30" spans="1:42" x14ac:dyDescent="0.2">
      <c r="A30" s="316">
        <v>3</v>
      </c>
      <c r="B30" s="488" t="s">
        <v>485</v>
      </c>
      <c r="C30" s="318">
        <v>1</v>
      </c>
      <c r="D30" s="492">
        <v>13</v>
      </c>
      <c r="E30" s="319"/>
      <c r="F30" s="318">
        <v>13</v>
      </c>
      <c r="G30" s="318"/>
      <c r="H30" s="317" t="str">
        <f>(IF(C30-E28&gt;0,1)+IF(D30-E29&gt;0,1)+IF(F30-E31&gt;0,1)+IF(G30-E32&gt;0,1))&amp;"-"&amp;(IF(C30-E28&lt;0,1)+IF(D30-E29&lt;0,1)+IF(F30-E31&lt;0,1)+IF(G30-E32&lt;0,1))</f>
        <v>2-1</v>
      </c>
      <c r="I30" s="318" t="str">
        <f t="shared" si="8"/>
        <v>D2</v>
      </c>
      <c r="J30" s="489">
        <f>IF(AND(Q30=1,Q28=1,C30&gt;E28),1)+IF(AND(Q30=1,Q29=1,D30&gt;E29),1)+IF(AND(Q30=1,Q31=1,F30&gt;E31),1)+IF(AND(Q30=1,Q32=1,G30&gt;E32),1)+IF(AND(Q30=2,Q28=2,C30&gt;E28),1)+IF(AND(Q30=2,Q29=2,D30&gt;E29),1)+IF(AND(Q30=2,Q31=2,F30&gt;E31),1)+IF(AND(Q30=2,Q32=2,G30&gt;E32),1)+IF(AND(Q30=3,Q28=3,C30&gt;E28),1)+IF(AND(Q30=3,Q29=3,D30&gt;E29),1)+IF(AND(Q30=3,Q31=3,F30&gt;E31),1)+IF(AND(Q30=3,Q32=3,G30&gt;E32),1)</f>
        <v>0</v>
      </c>
      <c r="K30" s="483">
        <f>SUM(AND(T30=T28,C30&gt;E28),AND(T30=T29,D30&gt;E29),AND(T30=T31,F30&gt;E31),AND(T30=T32,G30&gt;E32))</f>
        <v>0</v>
      </c>
      <c r="L30" s="490">
        <f>IF(AND(Q30=1,Q28=1),C30-E28)+IF(AND(Q30=1,Q29=1),D30-E29)+IF(AND(Q30=1,Q31=1),F30-E31)+IF(AND(Q30=1,Q32=1),G30-E32)+IF(AND(Q30=2,Q28=2),C30-E28)+IF(AND(Q30=2,Q29=2),D30-E29)+IF(AND(Q30=2,Q31=2),F30-E31)+IF(AND(Q30=2,Q32=2),G30-E32)+IF(AND(Q30=3,Q28=3),C30-E28)+IF(AND(Q30=3,Q29=3),D30-E29)+IF(AND(Q30=3,Q31=3),F30-E31)+IF(AND(Q30=3,Q32=3),G30-E32)+IF(AND(Q30=4,Q28=4),C30-E28)+IF(AND(Q30=4,Q29=4),D30-E29)+IF(AND(Q30=4,Q31=4),F30-E31)+IF(AND(Q30=4,Q32=4),G30-E32)</f>
        <v>0</v>
      </c>
      <c r="M30" s="483">
        <f>SUM(AND(R30=R28,C30&gt;E28),AND(R30=R29,D30&gt;E29),AND(R30=R31,F30&gt;E31),AND(R30=R32,G30&gt;E32))</f>
        <v>0</v>
      </c>
      <c r="N30" s="537" t="str">
        <f>SUM(C30:G30)&amp;"-"&amp;SUM(E28:E32)</f>
        <v>27-27</v>
      </c>
      <c r="O30" s="538">
        <f>C30+D30+F30+G30-E28-E29-E31-E32</f>
        <v>0</v>
      </c>
      <c r="P30" s="485">
        <f>SUM(C30:G30,E28:E32)/SUM(E28:E32)</f>
        <v>2</v>
      </c>
      <c r="Q30" s="491">
        <f>VALUE(LEFT(H30,1))</f>
        <v>2</v>
      </c>
      <c r="R30" s="321">
        <f>Q30*100000+J30*10000+K30*1000+100*L30</f>
        <v>200000</v>
      </c>
      <c r="S30" s="486">
        <f>R30+M30*0.1+IF(ISNONTEXT(B30),0,0.01)+0.0001*O30</f>
        <v>200000.01</v>
      </c>
      <c r="T30" s="487" t="str">
        <f>Q30&amp;J30</f>
        <v>20</v>
      </c>
      <c r="U30" s="477"/>
      <c r="V30" s="477"/>
      <c r="W30" s="477"/>
      <c r="X30" s="477"/>
      <c r="Y30" s="477"/>
      <c r="Z30" s="477"/>
      <c r="AA30" s="477"/>
      <c r="AB30" s="477"/>
      <c r="AC30" s="477"/>
      <c r="AD30" s="405">
        <f t="shared" si="0"/>
        <v>141</v>
      </c>
      <c r="AE30" s="406">
        <f>IFERROR(INDEX(V!$R:$R,MATCH(AF30,V!$L:$L,0)),"")</f>
        <v>84</v>
      </c>
      <c r="AF30" s="407" t="str">
        <f t="shared" si="1"/>
        <v>Aarne Välja</v>
      </c>
      <c r="AG30" s="406">
        <f>IFERROR(INDEX(V!$R:$R,MATCH(AH30,V!$L:$L,0)),"")</f>
        <v>57</v>
      </c>
      <c r="AH30" s="407" t="str">
        <f t="shared" si="2"/>
        <v>Tõnu Kapper</v>
      </c>
      <c r="AI30" s="406" t="str">
        <f>IFERROR(INDEX(V!$R:$R,MATCH(AJ30,V!$L:$L,0)),"")</f>
        <v/>
      </c>
      <c r="AJ30" s="407" t="str">
        <f t="shared" si="3"/>
        <v/>
      </c>
      <c r="AK30" s="406" t="str">
        <f>IFERROR(INDEX(V!$R:$R,MATCH(AL30,V!$L:$L,0)),"")</f>
        <v/>
      </c>
      <c r="AL30" s="407" t="str">
        <f t="shared" si="4"/>
        <v/>
      </c>
      <c r="AM30" s="406" t="str">
        <f>IFERROR(INDEX(V!$R:$R,MATCH(AN30,V!$L:$L,0)),"")</f>
        <v/>
      </c>
      <c r="AN30" s="407" t="str">
        <f t="shared" si="5"/>
        <v/>
      </c>
      <c r="AO30" s="406" t="str">
        <f>IFERROR(INDEX(V!$R:$R,MATCH(AP30,V!$L:$L,0)),"")</f>
        <v/>
      </c>
      <c r="AP30" s="407" t="str">
        <f t="shared" si="6"/>
        <v/>
      </c>
    </row>
    <row r="31" spans="1:42" x14ac:dyDescent="0.2">
      <c r="A31" s="316">
        <v>4</v>
      </c>
      <c r="B31" s="493" t="s">
        <v>312</v>
      </c>
      <c r="C31" s="318">
        <v>6</v>
      </c>
      <c r="D31" s="492">
        <v>9</v>
      </c>
      <c r="E31" s="318">
        <v>6</v>
      </c>
      <c r="F31" s="319"/>
      <c r="G31" s="511"/>
      <c r="H31" s="317" t="str">
        <f>(IF(C31-F28&gt;0,1)+IF(D31-F29&gt;0,1)+IF(E31-F30&gt;0,1)+IF(G31-F32&gt;0,1))&amp;"-"&amp;(IF(C31-F28&lt;0,1)+IF(D31-F29&lt;0,1)+IF(E31-F30&lt;0,1)+IF(G31-F32&lt;0,1))</f>
        <v>0-3</v>
      </c>
      <c r="I31" s="318" t="str">
        <f t="shared" si="8"/>
        <v>D4</v>
      </c>
      <c r="J31" s="489">
        <f>IF(AND(Q31=1,Q28=1,C31&gt;F28),1)+IF(AND(Q31=1,Q29=1,D31&gt;F29),1)+IF(AND(Q31=1,Q30=1,E31&gt;F30),1)+IF(AND(Q31=1,Q32=1,G31&gt;F32),1)+IF(AND(Q31=2,Q28=2,C31&gt;F28),1)+IF(AND(Q31=2,Q29=2,D31&gt;F29),1)+IF(AND(Q31=2,Q30=2,E31&gt;F30),1)+IF(AND(Q31=2,Q32=2,G31&gt;F32),1)+IF(AND(Q31=3,Q28=3,C31&gt;F28),1)+IF(AND(Q31=3,Q29=3,D31&gt;F29),1)+IF(AND(Q31=3,Q30=3,E31&gt;F30),1)+IF(AND(Q31=3,Q32=3,G31&gt;F32),1)</f>
        <v>0</v>
      </c>
      <c r="K31" s="483">
        <f>SUM(AND(T31=T28,C31&gt;F28),AND(T31=T29,D31&gt;F29),AND(T31=T30,E31&gt;F30),AND(T31=T32,G31&gt;F32))</f>
        <v>0</v>
      </c>
      <c r="L31" s="490">
        <f>IF(AND(Q31=1,Q28=1),C31-F28)+IF(AND(Q31=1,Q29=1),D31-F29)+IF(AND(Q31=1,Q30=1),E31-F30)+IF(AND(Q31=1,Q32=1),G31-F32)+IF(AND(Q31=2,Q28=2),C31-F28)+IF(AND(Q31=2,Q29=2),D31-F29)+IF(AND(Q31=2,Q30=2),E31-F30)+IF(AND(Q31=2,Q32=2),G31-F32)+IF(AND(Q31=3,Q28=3),C31-F28)+IF(AND(Q31=3,Q29=3),D31-F29)+IF(AND(Q31=3,Q30=3),E31-F30)+IF(AND(Q31=3,Q32=3),G31-F32)+IF(AND(Q31=4,Q28=4),C31-F28)+IF(AND(Q31=4,Q29=4),D31-F29)+IF(AND(Q31=4,Q30=4),E31-F30)+IF(AND(Q31=4,Q32=4),G31-F32)</f>
        <v>0</v>
      </c>
      <c r="M31" s="483">
        <f>SUM(AND(R31=R28,C31&gt;F28),AND(R31=R29,D31&gt;F29),AND(R31=R30,E31&gt;F30),AND(R31=R32,G31&gt;F32))</f>
        <v>0</v>
      </c>
      <c r="N31" s="537" t="str">
        <f>SUM(C31:G31)&amp;"-"&amp;SUM(F28:F32)</f>
        <v>21-39</v>
      </c>
      <c r="O31" s="538">
        <f>C31+D31+E31+G31-F28-F29-F30-F32</f>
        <v>-18</v>
      </c>
      <c r="P31" s="485">
        <f>SUM(C31:G31,F28:F32)/SUM(F28:F32)</f>
        <v>1.5384615384615385</v>
      </c>
      <c r="Q31" s="491">
        <f>VALUE(LEFT(H31,1))</f>
        <v>0</v>
      </c>
      <c r="R31" s="321">
        <f>Q31*100000+J31*10000+K31*1000+100*L31</f>
        <v>0</v>
      </c>
      <c r="S31" s="486">
        <f>R31+M31*0.1+IF(ISNONTEXT(B31),0,0.01)+0.0001*O31</f>
        <v>8.2000000000000007E-3</v>
      </c>
      <c r="T31" s="487" t="str">
        <f>Q31&amp;J31</f>
        <v>00</v>
      </c>
      <c r="U31" s="477"/>
      <c r="V31" s="477"/>
      <c r="W31" s="477"/>
      <c r="X31" s="477"/>
      <c r="Y31" s="477"/>
      <c r="Z31" s="477"/>
      <c r="AA31" s="477"/>
      <c r="AB31" s="477"/>
      <c r="AC31" s="477"/>
      <c r="AD31" s="405">
        <f t="shared" si="0"/>
        <v>122</v>
      </c>
      <c r="AE31" s="406">
        <f>IFERROR(INDEX(V!$R:$R,MATCH(AF31,V!$L:$L,0)),"")</f>
        <v>65</v>
      </c>
      <c r="AF31" s="407" t="str">
        <f t="shared" si="1"/>
        <v>Illar Tõnurist</v>
      </c>
      <c r="AG31" s="406">
        <f>IFERROR(INDEX(V!$R:$R,MATCH(AH31,V!$L:$L,0)),"")</f>
        <v>57</v>
      </c>
      <c r="AH31" s="407" t="str">
        <f t="shared" si="2"/>
        <v>Klavdia Piik</v>
      </c>
      <c r="AI31" s="406" t="str">
        <f>IFERROR(INDEX(V!$R:$R,MATCH(AJ31,V!$L:$L,0)),"")</f>
        <v/>
      </c>
      <c r="AJ31" s="407" t="str">
        <f t="shared" si="3"/>
        <v/>
      </c>
      <c r="AK31" s="406" t="str">
        <f>IFERROR(INDEX(V!$R:$R,MATCH(AL31,V!$L:$L,0)),"")</f>
        <v/>
      </c>
      <c r="AL31" s="407" t="str">
        <f t="shared" si="4"/>
        <v/>
      </c>
      <c r="AM31" s="406" t="str">
        <f>IFERROR(INDEX(V!$R:$R,MATCH(AN31,V!$L:$L,0)),"")</f>
        <v/>
      </c>
      <c r="AN31" s="407" t="str">
        <f t="shared" si="5"/>
        <v/>
      </c>
      <c r="AO31" s="406" t="str">
        <f>IFERROR(INDEX(V!$R:$R,MATCH(AP31,V!$L:$L,0)),"")</f>
        <v/>
      </c>
      <c r="AP31" s="407" t="str">
        <f t="shared" si="6"/>
        <v/>
      </c>
    </row>
    <row r="32" spans="1:42" hidden="1" x14ac:dyDescent="0.2">
      <c r="A32" s="316">
        <v>5</v>
      </c>
      <c r="B32" s="493"/>
      <c r="C32" s="318"/>
      <c r="D32" s="318"/>
      <c r="E32" s="318"/>
      <c r="F32" s="318"/>
      <c r="G32" s="319"/>
      <c r="H32" s="317" t="str">
        <f>(IF(C32-G28&gt;0,1)+IF(D32-G29&gt;0,1)+IF(E32-G30&gt;0,1)+IF(F32-G31&gt;0,1))&amp;"-"&amp;(IF(C32-G28&lt;0,1)+IF(D32-G29&lt;0,1)+IF(E32-G30&lt;0,1)+IF(F32-G31&lt;0,1))</f>
        <v>0-0</v>
      </c>
      <c r="I32" s="318" t="str">
        <f t="shared" si="8"/>
        <v xml:space="preserve"> </v>
      </c>
      <c r="J32" s="489">
        <f>IF(AND(Q32=1,Q28=1,C32&gt;G28),1)+IF(AND(Q32=1,Q29=1,D32&gt;G29),1)+IF(AND(Q32=1,Q30=1,E32&gt;G30),1)+IF(AND(Q32=1,Q31=1,F32&gt;G31),1)+IF(AND(Q32=2,Q28=2,C32&gt;G28),1)+IF(AND(Q32=2,Q29=2,D32&gt;G29),1)+IF(AND(Q32=2,Q30=2,E32&gt;G30),1)+IF(AND(Q32=2,Q31=2,F32&gt;G31),1)+IF(AND(Q32=3,Q28=3,C32&gt;G28),1)+IF(AND(Q32=3,Q29=3,D32&gt;G29),1)+IF(AND(Q32=3,Q30=3,E32&gt;G30),1)+IF(AND(Q32=3,Q31=3,F32&gt;G31),1)</f>
        <v>0</v>
      </c>
      <c r="K32" s="483">
        <f>SUM(AND(T32=T28,C32&gt;G28),AND(T32=T29,D32&gt;G29),AND(T32=T30,E32&gt;G30),AND(T32=T31,F32&gt;G31))</f>
        <v>0</v>
      </c>
      <c r="L32" s="490">
        <f>IF(AND(Q32=1,Q28=1),C32-G28)+IF(AND(Q32=1,Q29=1),D32-G29)+IF(AND(Q32=1,Q30=1),E32-G30)+IF(AND(Q32=1,Q31=1),F32-G31)+IF(AND(Q32=2,Q28=2),C32-G28)+IF(AND(Q32=2,Q29=2),D32-G29)+IF(AND(Q32=2,Q30=2),E32-G30)+IF(AND(Q32=2,Q31=2),F32-G31)+IF(AND(Q32=3,Q28=3),C32-G28)+IF(AND(Q32=3,Q29=3),D32-G29)+IF(AND(Q32=3,Q30=3),E32-G30)+IF(AND(Q32=3,Q31=3),F32-G31)+IF(AND(Q32=4,Q28=4),C32-G28)+IF(AND(Q32=4,Q29=4),D32-G29)+IF(AND(Q32=4,Q30=4),E32-G30)+IF(AND(Q32=4,Q31=4),F32-G31)</f>
        <v>0</v>
      </c>
      <c r="M32" s="483">
        <f>SUM(AND(R32=R28,C32&gt;G28),AND(R32=R29,D32&gt;G29),AND(R32=R30,E32&gt;G30),AND(R32=R31,F32&gt;G31))</f>
        <v>0</v>
      </c>
      <c r="N32" s="537" t="str">
        <f>SUM(C32:G32)&amp;"-"&amp;SUM(G28:G32)</f>
        <v>0-0</v>
      </c>
      <c r="O32" s="538">
        <f>C32+D32+E32+F32-G28-G29-G30-G31</f>
        <v>0</v>
      </c>
      <c r="P32" s="485" t="e">
        <f>SUM(C32:G32,G28:G32)/SUM(G28:G32)</f>
        <v>#DIV/0!</v>
      </c>
      <c r="Q32" s="491">
        <f>VALUE(LEFT(H32,1))</f>
        <v>0</v>
      </c>
      <c r="R32" s="321">
        <f>Q32*100000+J32*10000+K32*1000+100*L32</f>
        <v>0</v>
      </c>
      <c r="S32" s="486">
        <f>R32+M32*0.1+IF(ISNONTEXT(B32),0,0.01)+0.0001*O32</f>
        <v>0</v>
      </c>
      <c r="T32" s="487" t="str">
        <f>Q32&amp;J32</f>
        <v>00</v>
      </c>
      <c r="U32" s="477"/>
      <c r="V32" s="477"/>
      <c r="W32" s="477"/>
      <c r="X32" s="477"/>
      <c r="Y32" s="477"/>
      <c r="Z32" s="477"/>
      <c r="AA32" s="477"/>
      <c r="AB32" s="477"/>
      <c r="AC32" s="477"/>
      <c r="AH32" s="407" t="str">
        <f t="shared" si="2"/>
        <v/>
      </c>
    </row>
    <row r="33" spans="22:34" hidden="1" x14ac:dyDescent="0.2">
      <c r="V33" s="477"/>
      <c r="W33" s="477"/>
      <c r="X33" s="477"/>
      <c r="Y33" s="477"/>
      <c r="Z33" s="477"/>
      <c r="AA33" s="477"/>
      <c r="AB33" s="477"/>
      <c r="AC33" s="477"/>
      <c r="AH33" s="407" t="str">
        <f t="shared" si="2"/>
        <v/>
      </c>
    </row>
    <row r="34" spans="22:34" hidden="1" x14ac:dyDescent="0.2">
      <c r="V34" s="477"/>
      <c r="W34" s="477"/>
      <c r="X34" s="477"/>
      <c r="Y34" s="477"/>
      <c r="Z34" s="477"/>
      <c r="AA34" s="477"/>
      <c r="AB34" s="477"/>
      <c r="AC34" s="477"/>
      <c r="AH34" s="407" t="str">
        <f t="shared" si="2"/>
        <v/>
      </c>
    </row>
    <row r="35" spans="22:34" hidden="1" x14ac:dyDescent="0.2">
      <c r="V35" s="477"/>
      <c r="W35" s="477"/>
      <c r="X35" s="477"/>
      <c r="Y35" s="477"/>
      <c r="Z35" s="477"/>
      <c r="AA35" s="477"/>
      <c r="AB35" s="477"/>
      <c r="AC35" s="477"/>
      <c r="AH35" s="407" t="str">
        <f t="shared" si="2"/>
        <v/>
      </c>
    </row>
    <row r="36" spans="22:34" hidden="1" x14ac:dyDescent="0.2">
      <c r="V36" s="477"/>
      <c r="W36" s="477"/>
      <c r="X36" s="477"/>
      <c r="Y36" s="477"/>
      <c r="Z36" s="477"/>
      <c r="AA36" s="477"/>
      <c r="AB36" s="477"/>
      <c r="AC36" s="477"/>
      <c r="AH36" s="407" t="str">
        <f t="shared" si="2"/>
        <v/>
      </c>
    </row>
    <row r="37" spans="22:34" hidden="1" x14ac:dyDescent="0.2">
      <c r="V37" s="477"/>
      <c r="W37" s="477"/>
      <c r="X37" s="477"/>
      <c r="Y37" s="477"/>
      <c r="Z37" s="477"/>
      <c r="AA37" s="477"/>
      <c r="AB37" s="477"/>
      <c r="AC37" s="477"/>
      <c r="AH37" s="407" t="str">
        <f t="shared" si="2"/>
        <v/>
      </c>
    </row>
    <row r="38" spans="22:34" hidden="1" x14ac:dyDescent="0.2">
      <c r="V38" s="477"/>
      <c r="W38" s="477"/>
      <c r="X38" s="477"/>
      <c r="Y38" s="477"/>
      <c r="Z38" s="477"/>
      <c r="AA38" s="477"/>
      <c r="AB38" s="477"/>
      <c r="AC38" s="477"/>
      <c r="AH38" s="407" t="str">
        <f t="shared" si="2"/>
        <v/>
      </c>
    </row>
    <row r="39" spans="22:34" hidden="1" x14ac:dyDescent="0.2">
      <c r="V39" s="477"/>
      <c r="W39" s="477"/>
      <c r="X39" s="477"/>
      <c r="Y39" s="477"/>
      <c r="Z39" s="477"/>
      <c r="AA39" s="477"/>
      <c r="AB39" s="477"/>
      <c r="AC39" s="477"/>
      <c r="AH39" s="407" t="str">
        <f t="shared" si="2"/>
        <v/>
      </c>
    </row>
    <row r="40" spans="22:34" hidden="1" x14ac:dyDescent="0.2">
      <c r="V40" s="477"/>
      <c r="W40" s="477"/>
      <c r="X40" s="477"/>
      <c r="Y40" s="477"/>
      <c r="Z40" s="477"/>
      <c r="AA40" s="477"/>
      <c r="AB40" s="477"/>
      <c r="AC40" s="477"/>
      <c r="AH40" s="407" t="str">
        <f t="shared" si="2"/>
        <v/>
      </c>
    </row>
    <row r="41" spans="22:34" hidden="1" x14ac:dyDescent="0.2">
      <c r="V41" s="477"/>
      <c r="W41" s="477"/>
      <c r="X41" s="477"/>
      <c r="Y41" s="477"/>
      <c r="Z41" s="477"/>
      <c r="AA41" s="477"/>
      <c r="AB41" s="477"/>
      <c r="AC41" s="477"/>
      <c r="AH41" s="407" t="str">
        <f t="shared" si="2"/>
        <v/>
      </c>
    </row>
    <row r="42" spans="22:34" hidden="1" x14ac:dyDescent="0.2">
      <c r="V42" s="477"/>
      <c r="W42" s="477"/>
      <c r="X42" s="477"/>
      <c r="Y42" s="477"/>
      <c r="Z42" s="477"/>
      <c r="AA42" s="477"/>
      <c r="AB42" s="477"/>
      <c r="AC42" s="477"/>
      <c r="AH42" s="407" t="str">
        <f t="shared" si="2"/>
        <v/>
      </c>
    </row>
    <row r="43" spans="22:34" hidden="1" x14ac:dyDescent="0.2">
      <c r="V43" s="477"/>
      <c r="W43" s="477"/>
      <c r="X43" s="477"/>
      <c r="Y43" s="477"/>
      <c r="Z43" s="477"/>
      <c r="AA43" s="477"/>
      <c r="AB43" s="477"/>
      <c r="AC43" s="477"/>
      <c r="AH43" s="407" t="str">
        <f t="shared" si="2"/>
        <v/>
      </c>
    </row>
    <row r="44" spans="22:34" hidden="1" x14ac:dyDescent="0.2">
      <c r="V44" s="477"/>
      <c r="W44" s="477"/>
      <c r="X44" s="477"/>
      <c r="Y44" s="477"/>
      <c r="Z44" s="477"/>
      <c r="AA44" s="477"/>
      <c r="AB44" s="477"/>
      <c r="AC44" s="477"/>
      <c r="AH44" s="407" t="str">
        <f t="shared" si="2"/>
        <v/>
      </c>
    </row>
    <row r="45" spans="22:34" hidden="1" x14ac:dyDescent="0.2">
      <c r="V45" s="477"/>
      <c r="W45" s="477"/>
      <c r="X45" s="477"/>
      <c r="Y45" s="477"/>
      <c r="Z45" s="477"/>
      <c r="AA45" s="477"/>
      <c r="AB45" s="477"/>
      <c r="AC45" s="477"/>
      <c r="AH45" s="407" t="str">
        <f t="shared" si="2"/>
        <v/>
      </c>
    </row>
    <row r="46" spans="22:34" hidden="1" x14ac:dyDescent="0.2">
      <c r="V46" s="477"/>
      <c r="W46" s="477"/>
      <c r="X46" s="477"/>
      <c r="Y46" s="477"/>
      <c r="Z46" s="477"/>
      <c r="AA46" s="477"/>
      <c r="AB46" s="477"/>
      <c r="AC46" s="477"/>
      <c r="AH46" s="407" t="str">
        <f t="shared" si="2"/>
        <v/>
      </c>
    </row>
    <row r="47" spans="22:34" hidden="1" x14ac:dyDescent="0.2">
      <c r="V47" s="477"/>
      <c r="W47" s="477"/>
      <c r="X47" s="477"/>
      <c r="Y47" s="477"/>
      <c r="Z47" s="477"/>
      <c r="AA47" s="477"/>
      <c r="AB47" s="477"/>
      <c r="AC47" s="477"/>
      <c r="AH47" s="407" t="str">
        <f t="shared" si="2"/>
        <v/>
      </c>
    </row>
    <row r="48" spans="22:34" hidden="1" x14ac:dyDescent="0.2">
      <c r="V48" s="477"/>
      <c r="W48" s="477"/>
      <c r="X48" s="477"/>
      <c r="Y48" s="477"/>
      <c r="Z48" s="477"/>
      <c r="AA48" s="477"/>
      <c r="AB48" s="477"/>
      <c r="AC48" s="477"/>
      <c r="AH48" s="407" t="str">
        <f t="shared" si="2"/>
        <v/>
      </c>
    </row>
    <row r="49" spans="1:34" hidden="1" x14ac:dyDescent="0.2">
      <c r="V49" s="477"/>
      <c r="W49" s="477"/>
      <c r="X49" s="477"/>
      <c r="Y49" s="477"/>
      <c r="Z49" s="477"/>
      <c r="AA49" s="477"/>
      <c r="AB49" s="477"/>
      <c r="AC49" s="477"/>
      <c r="AH49" s="407" t="str">
        <f t="shared" si="2"/>
        <v/>
      </c>
    </row>
    <row r="50" spans="1:34" hidden="1" x14ac:dyDescent="0.2">
      <c r="V50" s="477"/>
      <c r="W50" s="477"/>
      <c r="X50" s="477"/>
      <c r="Y50" s="477"/>
      <c r="Z50" s="477"/>
      <c r="AA50" s="477"/>
      <c r="AB50" s="477"/>
      <c r="AC50" s="477"/>
      <c r="AH50" s="407" t="str">
        <f t="shared" si="2"/>
        <v/>
      </c>
    </row>
    <row r="51" spans="1:34" hidden="1" x14ac:dyDescent="0.2">
      <c r="V51" s="477"/>
      <c r="W51" s="477"/>
      <c r="X51" s="477"/>
      <c r="Y51" s="477"/>
      <c r="Z51" s="477"/>
      <c r="AA51" s="477"/>
      <c r="AB51" s="477"/>
      <c r="AC51" s="477"/>
      <c r="AH51" s="407" t="str">
        <f t="shared" si="2"/>
        <v/>
      </c>
    </row>
    <row r="52" spans="1:34" hidden="1" x14ac:dyDescent="0.2">
      <c r="V52" s="477"/>
      <c r="W52" s="477"/>
      <c r="X52" s="477"/>
      <c r="Y52" s="477"/>
      <c r="Z52" s="477"/>
      <c r="AA52" s="477"/>
      <c r="AB52" s="477"/>
      <c r="AC52" s="477"/>
      <c r="AH52" s="407" t="str">
        <f t="shared" si="2"/>
        <v/>
      </c>
    </row>
    <row r="53" spans="1:34" hidden="1" x14ac:dyDescent="0.2">
      <c r="V53" s="477"/>
      <c r="W53" s="477"/>
      <c r="X53" s="477"/>
      <c r="Y53" s="477"/>
      <c r="Z53" s="477"/>
      <c r="AA53" s="477"/>
      <c r="AB53" s="477"/>
      <c r="AC53" s="477"/>
      <c r="AH53" s="407" t="str">
        <f t="shared" si="2"/>
        <v/>
      </c>
    </row>
    <row r="54" spans="1:34" hidden="1" x14ac:dyDescent="0.2">
      <c r="V54" s="477"/>
      <c r="W54" s="477"/>
      <c r="X54" s="477"/>
      <c r="Y54" s="477"/>
      <c r="Z54" s="477"/>
      <c r="AA54" s="477"/>
      <c r="AB54" s="477"/>
      <c r="AC54" s="477"/>
      <c r="AH54" s="407" t="str">
        <f t="shared" si="2"/>
        <v/>
      </c>
    </row>
    <row r="55" spans="1:34" hidden="1" x14ac:dyDescent="0.2">
      <c r="V55" s="477"/>
      <c r="W55" s="477"/>
      <c r="X55" s="477"/>
      <c r="Y55" s="477"/>
      <c r="Z55" s="477"/>
      <c r="AA55" s="477"/>
      <c r="AB55" s="477"/>
      <c r="AC55" s="477"/>
      <c r="AH55" s="407" t="str">
        <f t="shared" si="2"/>
        <v/>
      </c>
    </row>
    <row r="56" spans="1:34" hidden="1" x14ac:dyDescent="0.2">
      <c r="V56" s="477"/>
      <c r="W56" s="477"/>
      <c r="X56" s="477"/>
      <c r="Y56" s="477"/>
      <c r="Z56" s="477"/>
      <c r="AA56" s="477"/>
      <c r="AB56" s="477"/>
      <c r="AC56" s="477"/>
      <c r="AH56" s="407" t="str">
        <f t="shared" si="2"/>
        <v/>
      </c>
    </row>
    <row r="57" spans="1:34" hidden="1" x14ac:dyDescent="0.2">
      <c r="V57" s="477"/>
      <c r="W57" s="477"/>
      <c r="X57" s="477"/>
      <c r="Y57" s="477"/>
      <c r="Z57" s="477"/>
      <c r="AA57" s="477"/>
      <c r="AB57" s="477"/>
      <c r="AC57" s="477"/>
      <c r="AH57" s="407" t="str">
        <f t="shared" si="2"/>
        <v/>
      </c>
    </row>
    <row r="58" spans="1:34" hidden="1" x14ac:dyDescent="0.2">
      <c r="V58" s="477"/>
      <c r="W58" s="477"/>
      <c r="X58" s="477"/>
      <c r="Y58" s="477"/>
      <c r="Z58" s="477"/>
      <c r="AA58" s="477"/>
      <c r="AB58" s="477"/>
      <c r="AC58" s="477"/>
      <c r="AH58" s="407" t="str">
        <f t="shared" si="2"/>
        <v/>
      </c>
    </row>
    <row r="59" spans="1:34" hidden="1" x14ac:dyDescent="0.2">
      <c r="V59" s="477"/>
      <c r="W59" s="477"/>
      <c r="X59" s="477"/>
      <c r="Y59" s="477"/>
      <c r="Z59" s="477"/>
      <c r="AA59" s="477"/>
      <c r="AB59" s="477"/>
      <c r="AC59" s="477"/>
      <c r="AH59" s="407" t="str">
        <f t="shared" si="2"/>
        <v/>
      </c>
    </row>
    <row r="60" spans="1:34" hidden="1" x14ac:dyDescent="0.2">
      <c r="V60" s="477"/>
      <c r="W60" s="477"/>
      <c r="X60" s="477"/>
      <c r="Y60" s="477"/>
      <c r="Z60" s="477"/>
      <c r="AA60" s="477"/>
      <c r="AB60" s="477"/>
      <c r="AC60" s="477"/>
      <c r="AH60" s="407" t="str">
        <f t="shared" si="2"/>
        <v/>
      </c>
    </row>
    <row r="62" spans="1:34" x14ac:dyDescent="0.2">
      <c r="A62" s="79"/>
      <c r="B62" s="322" t="s">
        <v>171</v>
      </c>
      <c r="C62" s="283" t="s">
        <v>175</v>
      </c>
      <c r="D62" s="445"/>
      <c r="E62" s="79"/>
      <c r="F62" s="62"/>
      <c r="G62" s="79"/>
      <c r="H62" s="79"/>
      <c r="I62" s="79"/>
      <c r="J62" s="79"/>
      <c r="K62" s="62"/>
      <c r="L62" s="79"/>
      <c r="M62" s="62"/>
      <c r="N62" s="79"/>
      <c r="O62" s="299"/>
      <c r="P62" s="62"/>
      <c r="Q62" s="62"/>
      <c r="R62" s="62"/>
      <c r="S62" s="62"/>
      <c r="T62" s="62"/>
      <c r="U62" s="62"/>
    </row>
    <row r="63" spans="1:34" x14ac:dyDescent="0.2">
      <c r="A63" s="79"/>
      <c r="B63" s="322" t="s">
        <v>174</v>
      </c>
      <c r="C63" s="283" t="s">
        <v>191</v>
      </c>
      <c r="D63" s="79"/>
      <c r="E63" s="79"/>
      <c r="F63" s="62"/>
      <c r="G63" s="79"/>
      <c r="H63" s="79"/>
      <c r="I63" s="79"/>
      <c r="J63" s="79"/>
      <c r="K63" s="62"/>
      <c r="L63" s="79"/>
      <c r="M63" s="62"/>
      <c r="N63" s="79"/>
      <c r="O63" s="299"/>
      <c r="P63" s="62"/>
      <c r="Q63" s="62"/>
      <c r="R63" s="62"/>
      <c r="S63" s="62"/>
      <c r="T63" s="62"/>
      <c r="U63" s="62"/>
    </row>
    <row r="64" spans="1:34" x14ac:dyDescent="0.2">
      <c r="A64" s="79"/>
      <c r="B64" s="322" t="s">
        <v>177</v>
      </c>
      <c r="C64" s="283" t="s">
        <v>183</v>
      </c>
      <c r="D64" s="79"/>
      <c r="E64" s="79"/>
      <c r="F64" s="62"/>
      <c r="G64" s="79"/>
      <c r="H64" s="79"/>
      <c r="I64" s="79"/>
      <c r="J64" s="79"/>
      <c r="K64" s="62"/>
      <c r="L64" s="79"/>
      <c r="M64" s="62"/>
      <c r="N64" s="79"/>
      <c r="O64" s="299"/>
      <c r="P64" s="62"/>
      <c r="Q64" s="62"/>
      <c r="R64" s="62"/>
      <c r="S64" s="62"/>
      <c r="T64" s="62"/>
      <c r="U64" s="62"/>
    </row>
    <row r="65" spans="1:21" x14ac:dyDescent="0.2">
      <c r="A65" s="79"/>
      <c r="B65" s="79"/>
      <c r="C65" s="79"/>
      <c r="D65" s="79"/>
      <c r="E65" s="79"/>
      <c r="F65" s="79"/>
      <c r="G65" s="79"/>
      <c r="H65" s="79"/>
      <c r="I65" s="79"/>
      <c r="J65" s="79"/>
      <c r="K65" s="62"/>
      <c r="L65" s="79"/>
      <c r="M65" s="62"/>
      <c r="N65" s="79"/>
      <c r="O65" s="299"/>
      <c r="P65" s="62"/>
      <c r="Q65" s="62"/>
      <c r="R65" s="62"/>
      <c r="S65" s="62"/>
      <c r="T65" s="62"/>
      <c r="U65" s="62"/>
    </row>
    <row r="66" spans="1:21" x14ac:dyDescent="0.2">
      <c r="A66" s="79"/>
      <c r="B66" s="322" t="s">
        <v>171</v>
      </c>
      <c r="C66" s="283" t="s">
        <v>184</v>
      </c>
      <c r="D66" s="283" t="s">
        <v>183</v>
      </c>
      <c r="E66" s="79"/>
      <c r="F66" s="79"/>
      <c r="G66" s="79"/>
      <c r="H66" s="79"/>
      <c r="I66" s="79"/>
      <c r="J66" s="79"/>
      <c r="K66" s="62"/>
      <c r="L66" s="79"/>
      <c r="M66" s="62"/>
      <c r="N66" s="79"/>
      <c r="O66" s="299"/>
      <c r="P66" s="62"/>
      <c r="Q66" s="62"/>
      <c r="R66" s="62"/>
      <c r="S66" s="62"/>
      <c r="T66" s="62"/>
      <c r="U66" s="62"/>
    </row>
    <row r="67" spans="1:21" x14ac:dyDescent="0.2">
      <c r="A67" s="79"/>
      <c r="B67" s="322" t="s">
        <v>174</v>
      </c>
      <c r="C67" s="283" t="s">
        <v>175</v>
      </c>
      <c r="D67" s="283" t="s">
        <v>173</v>
      </c>
      <c r="E67" s="79"/>
      <c r="F67" s="79"/>
      <c r="G67" s="79"/>
      <c r="H67" s="79"/>
      <c r="I67" s="79"/>
      <c r="J67" s="79"/>
      <c r="K67" s="62"/>
      <c r="L67" s="79"/>
      <c r="M67" s="62"/>
      <c r="N67" s="79"/>
      <c r="O67" s="299"/>
      <c r="P67" s="62"/>
      <c r="Q67" s="62"/>
      <c r="R67" s="62"/>
      <c r="S67" s="62"/>
      <c r="T67" s="62"/>
      <c r="U67" s="62"/>
    </row>
    <row r="68" spans="1:21" x14ac:dyDescent="0.2">
      <c r="A68" s="79"/>
      <c r="B68" s="322" t="s">
        <v>177</v>
      </c>
      <c r="C68" s="283" t="s">
        <v>191</v>
      </c>
      <c r="D68" s="283" t="s">
        <v>179</v>
      </c>
      <c r="E68" s="79"/>
      <c r="F68" s="79"/>
      <c r="G68" s="79"/>
      <c r="H68" s="79"/>
      <c r="I68" s="79"/>
      <c r="J68" s="79"/>
      <c r="K68" s="62"/>
      <c r="L68" s="79"/>
      <c r="M68" s="62"/>
      <c r="N68" s="79"/>
      <c r="O68" s="299"/>
      <c r="P68" s="62"/>
      <c r="Q68" s="62"/>
      <c r="R68" s="62"/>
      <c r="S68" s="62"/>
      <c r="T68" s="62"/>
      <c r="U68" s="62"/>
    </row>
    <row r="69" spans="1:21" hidden="1" x14ac:dyDescent="0.2">
      <c r="A69" s="79"/>
      <c r="B69" s="330"/>
      <c r="C69" s="140"/>
      <c r="D69" s="140"/>
      <c r="E69" s="79"/>
      <c r="F69" s="79"/>
      <c r="G69" s="79"/>
      <c r="H69" s="79"/>
      <c r="I69" s="79"/>
      <c r="J69" s="79"/>
      <c r="K69" s="62"/>
      <c r="L69" s="79"/>
      <c r="M69" s="62"/>
      <c r="N69" s="79"/>
      <c r="O69" s="299"/>
      <c r="P69" s="62"/>
      <c r="Q69" s="62"/>
      <c r="R69" s="62"/>
      <c r="S69" s="62"/>
      <c r="T69" s="62"/>
      <c r="U69" s="62"/>
    </row>
    <row r="70" spans="1:21" hidden="1" x14ac:dyDescent="0.2">
      <c r="A70" s="79"/>
      <c r="B70" s="322" t="s">
        <v>171</v>
      </c>
      <c r="C70" s="283" t="s">
        <v>172</v>
      </c>
      <c r="D70" s="283" t="s">
        <v>173</v>
      </c>
      <c r="E70" s="79"/>
      <c r="F70" s="62"/>
      <c r="G70" s="62"/>
      <c r="H70" s="79"/>
      <c r="I70" s="79"/>
      <c r="J70" s="79"/>
      <c r="K70" s="62"/>
      <c r="L70" s="79"/>
      <c r="M70" s="62"/>
      <c r="N70" s="79"/>
      <c r="O70" s="299"/>
      <c r="P70" s="62"/>
      <c r="Q70" s="62"/>
      <c r="R70" s="62"/>
      <c r="S70" s="62"/>
      <c r="T70" s="62"/>
      <c r="U70" s="62"/>
    </row>
    <row r="71" spans="1:21" hidden="1" x14ac:dyDescent="0.2">
      <c r="A71" s="79"/>
      <c r="B71" s="322" t="s">
        <v>174</v>
      </c>
      <c r="C71" s="283" t="s">
        <v>184</v>
      </c>
      <c r="D71" s="283" t="s">
        <v>183</v>
      </c>
      <c r="E71" s="79"/>
      <c r="F71" s="62"/>
      <c r="G71" s="62"/>
      <c r="H71" s="62"/>
      <c r="I71" s="79"/>
      <c r="J71" s="79"/>
      <c r="K71" s="62"/>
      <c r="L71" s="79"/>
      <c r="M71" s="62"/>
      <c r="N71" s="79"/>
      <c r="O71" s="299"/>
      <c r="P71" s="62"/>
      <c r="Q71" s="62"/>
      <c r="R71" s="62"/>
      <c r="S71" s="62"/>
      <c r="T71" s="62"/>
      <c r="U71" s="62"/>
    </row>
    <row r="72" spans="1:21" hidden="1" x14ac:dyDescent="0.2">
      <c r="A72" s="79"/>
      <c r="B72" s="322" t="s">
        <v>177</v>
      </c>
      <c r="C72" s="283" t="s">
        <v>175</v>
      </c>
      <c r="D72" s="283" t="s">
        <v>176</v>
      </c>
      <c r="E72" s="79"/>
      <c r="F72" s="62"/>
      <c r="G72" s="62"/>
      <c r="H72" s="79"/>
      <c r="I72" s="79"/>
      <c r="J72" s="79"/>
      <c r="K72" s="62"/>
      <c r="L72" s="79"/>
      <c r="M72" s="62"/>
      <c r="N72" s="79"/>
      <c r="O72" s="299"/>
      <c r="P72" s="62"/>
      <c r="Q72" s="62"/>
      <c r="R72" s="62"/>
      <c r="S72" s="62"/>
      <c r="T72" s="62"/>
      <c r="U72" s="62"/>
    </row>
    <row r="73" spans="1:21" hidden="1" x14ac:dyDescent="0.2">
      <c r="A73" s="79"/>
      <c r="B73" s="322" t="s">
        <v>180</v>
      </c>
      <c r="C73" s="446" t="s">
        <v>191</v>
      </c>
      <c r="D73" s="283" t="s">
        <v>181</v>
      </c>
      <c r="E73" s="79"/>
      <c r="F73" s="62"/>
      <c r="G73" s="62"/>
      <c r="H73" s="79"/>
      <c r="I73" s="79"/>
      <c r="J73" s="79"/>
      <c r="K73" s="62"/>
      <c r="L73" s="79"/>
      <c r="M73" s="62"/>
      <c r="N73" s="79"/>
      <c r="O73" s="299"/>
      <c r="P73" s="62"/>
      <c r="Q73" s="62"/>
      <c r="R73" s="62"/>
      <c r="S73" s="62"/>
      <c r="T73" s="62"/>
      <c r="U73" s="62"/>
    </row>
    <row r="74" spans="1:21" hidden="1" x14ac:dyDescent="0.2">
      <c r="A74" s="79"/>
      <c r="B74" s="322" t="s">
        <v>182</v>
      </c>
      <c r="C74" s="283" t="s">
        <v>178</v>
      </c>
      <c r="D74" s="283" t="s">
        <v>179</v>
      </c>
      <c r="E74" s="79"/>
      <c r="F74" s="62"/>
      <c r="G74" s="62"/>
      <c r="H74" s="79"/>
      <c r="I74" s="79"/>
      <c r="J74" s="79"/>
      <c r="K74" s="62"/>
      <c r="L74" s="79"/>
      <c r="M74" s="62"/>
      <c r="N74" s="79"/>
      <c r="O74" s="299"/>
      <c r="P74" s="62"/>
      <c r="Q74" s="62"/>
      <c r="R74" s="62"/>
      <c r="S74" s="62"/>
      <c r="T74" s="62"/>
      <c r="U74" s="62"/>
    </row>
    <row r="75" spans="1:21" hidden="1" x14ac:dyDescent="0.2"/>
    <row r="76" spans="1:21" hidden="1" x14ac:dyDescent="0.2"/>
    <row r="77" spans="1:21" hidden="1" x14ac:dyDescent="0.2"/>
    <row r="78" spans="1:21" hidden="1" x14ac:dyDescent="0.2"/>
    <row r="79" spans="1:21" hidden="1" x14ac:dyDescent="0.2"/>
    <row r="80" spans="1:21"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spans="1:9" hidden="1" x14ac:dyDescent="0.2"/>
    <row r="98" spans="1:9" hidden="1" x14ac:dyDescent="0.2"/>
    <row r="100" spans="1:9" x14ac:dyDescent="0.2">
      <c r="A100" s="286" t="s">
        <v>192</v>
      </c>
      <c r="B100" s="287"/>
      <c r="C100" s="288"/>
      <c r="D100" s="288"/>
      <c r="E100" s="288"/>
      <c r="F100" s="285"/>
      <c r="G100" s="283"/>
      <c r="H100" s="269"/>
      <c r="I100" s="151"/>
    </row>
    <row r="101" spans="1:9" x14ac:dyDescent="0.2">
      <c r="A101" s="269"/>
      <c r="B101" s="269"/>
      <c r="C101" s="269"/>
      <c r="D101" s="269"/>
      <c r="E101" s="269"/>
      <c r="F101" s="269"/>
      <c r="G101" s="269"/>
      <c r="H101" s="269"/>
      <c r="I101" s="151"/>
    </row>
    <row r="102" spans="1:9" x14ac:dyDescent="0.2">
      <c r="A102" s="300" t="s">
        <v>193</v>
      </c>
      <c r="B102" s="289" t="str">
        <f>IFERROR(INDEX(B$1:B$100,MATCH(A102,I$1:I$100,0)),"")</f>
        <v>Kenneth Muusikus, Mait Metsla</v>
      </c>
      <c r="C102" s="301">
        <v>13</v>
      </c>
      <c r="D102" s="269"/>
      <c r="E102" s="269"/>
      <c r="F102" s="269"/>
      <c r="G102" s="269"/>
      <c r="H102" s="269"/>
      <c r="I102" s="151"/>
    </row>
    <row r="103" spans="1:9" x14ac:dyDescent="0.2">
      <c r="A103" s="302"/>
      <c r="B103" s="449"/>
      <c r="C103" s="303" t="str">
        <f>IF(COUNT(C102,C104)=2,IF(C102&gt;C104,B102,B104),"")</f>
        <v>Kenneth Muusikus, Mait Metsla</v>
      </c>
      <c r="D103" s="269"/>
      <c r="E103" s="301">
        <v>10</v>
      </c>
      <c r="F103" s="269"/>
      <c r="G103" s="269"/>
      <c r="H103" s="269"/>
      <c r="I103" s="269"/>
    </row>
    <row r="104" spans="1:9" x14ac:dyDescent="0.2">
      <c r="A104" s="302" t="s">
        <v>194</v>
      </c>
      <c r="B104" s="450" t="str">
        <f>IFERROR(INDEX(B$1:B$100,MATCH(A104,I$1:I$100,0)),"")</f>
        <v>Aarne Välja, Tõnu Kapper</v>
      </c>
      <c r="C104" s="304">
        <v>3</v>
      </c>
      <c r="D104" s="336"/>
      <c r="E104" s="269"/>
      <c r="F104" s="269"/>
      <c r="G104" s="269"/>
      <c r="H104" s="269"/>
      <c r="I104" s="269"/>
    </row>
    <row r="105" spans="1:9" x14ac:dyDescent="0.2">
      <c r="A105" s="302"/>
      <c r="B105" s="292"/>
      <c r="C105" s="269"/>
      <c r="D105" s="305"/>
      <c r="E105" s="303" t="str">
        <f>IF(COUNT(E103,E107)=2,IF(E103&gt;E107,C103,C107),"")</f>
        <v>Jaan Sepp, Oskar Sepp</v>
      </c>
      <c r="F105" s="269"/>
      <c r="G105" s="301">
        <v>11</v>
      </c>
      <c r="H105" s="269"/>
      <c r="I105" s="269"/>
    </row>
    <row r="106" spans="1:9" x14ac:dyDescent="0.2">
      <c r="A106" s="302" t="s">
        <v>195</v>
      </c>
      <c r="B106" s="289" t="str">
        <f>IFERROR(INDEX(B$1:B$100,MATCH(A106,I$1:I$100,0)),"")</f>
        <v>Jaan Sepp, Oskar Sepp</v>
      </c>
      <c r="C106" s="301">
        <v>13</v>
      </c>
      <c r="D106" s="305"/>
      <c r="E106" s="306"/>
      <c r="F106" s="336"/>
      <c r="G106" s="269"/>
      <c r="H106" s="269"/>
      <c r="I106" s="269"/>
    </row>
    <row r="107" spans="1:9" x14ac:dyDescent="0.2">
      <c r="A107" s="302"/>
      <c r="B107" s="449"/>
      <c r="C107" s="303" t="str">
        <f>IF(COUNT(C106,C108)=2,IF(C106&gt;C108,B106,B108),"")</f>
        <v>Jaan Sepp, Oskar Sepp</v>
      </c>
      <c r="D107" s="451"/>
      <c r="E107" s="304">
        <v>13</v>
      </c>
      <c r="F107" s="305"/>
      <c r="G107" s="269"/>
      <c r="H107" s="269"/>
      <c r="I107" s="269"/>
    </row>
    <row r="108" spans="1:9" x14ac:dyDescent="0.2">
      <c r="A108" s="302" t="s">
        <v>196</v>
      </c>
      <c r="B108" s="450" t="str">
        <f>IFERROR(INDEX(B$1:B$100,MATCH(A108,I$1:I$100,0)),"")</f>
        <v>Kaspar Mänd, Urmas Randlaine</v>
      </c>
      <c r="C108" s="304">
        <v>7</v>
      </c>
      <c r="D108" s="269"/>
      <c r="E108" s="287"/>
      <c r="F108" s="305"/>
      <c r="G108" s="269"/>
      <c r="H108" s="269"/>
      <c r="I108" s="269"/>
    </row>
    <row r="109" spans="1:9" ht="13.5" thickBot="1" x14ac:dyDescent="0.25">
      <c r="A109" s="268"/>
      <c r="B109" s="292"/>
      <c r="C109" s="269"/>
      <c r="D109" s="269"/>
      <c r="E109" s="287"/>
      <c r="F109" s="305"/>
      <c r="G109" s="269"/>
      <c r="H109" s="452" t="str">
        <f>IF(COUNT(G105,G113)=2,IF(G105&gt;G113,E105,E113),"")</f>
        <v>Ivar Viljaste, Tõnis Neiland</v>
      </c>
      <c r="I109" s="269"/>
    </row>
    <row r="110" spans="1:9" x14ac:dyDescent="0.2">
      <c r="A110" s="300" t="s">
        <v>197</v>
      </c>
      <c r="B110" s="289" t="str">
        <f>IFERROR(INDEX(B$1:B$100,MATCH(A110,I$1:I$100,0)),"")</f>
        <v>Ivar Viljaste, Tõnis Neiland</v>
      </c>
      <c r="C110" s="301">
        <v>13</v>
      </c>
      <c r="D110" s="269"/>
      <c r="E110" s="269"/>
      <c r="F110" s="305"/>
      <c r="G110" s="307"/>
      <c r="H110" s="290" t="s">
        <v>185</v>
      </c>
      <c r="I110" s="453"/>
    </row>
    <row r="111" spans="1:9" x14ac:dyDescent="0.2">
      <c r="A111" s="302"/>
      <c r="B111" s="449"/>
      <c r="C111" s="303" t="str">
        <f>IF(COUNT(C110,C112)=2,IF(C110&gt;C112,B110,B112),"")</f>
        <v>Ivar Viljaste, Tõnis Neiland</v>
      </c>
      <c r="D111" s="269"/>
      <c r="E111" s="301">
        <v>13</v>
      </c>
      <c r="F111" s="305"/>
      <c r="G111" s="287"/>
      <c r="H111" s="269"/>
      <c r="I111" s="269"/>
    </row>
    <row r="112" spans="1:9" x14ac:dyDescent="0.2">
      <c r="A112" s="302" t="s">
        <v>198</v>
      </c>
      <c r="B112" s="450" t="str">
        <f>IFERROR(INDEX(B$1:B$100,MATCH(A112,I$1:I$100,0)),"")</f>
        <v>Karla Purgats, Oleg Rõndenkov</v>
      </c>
      <c r="C112" s="304">
        <v>5</v>
      </c>
      <c r="D112" s="336"/>
      <c r="E112" s="269"/>
      <c r="F112" s="305"/>
      <c r="G112" s="287"/>
      <c r="H112" s="269"/>
      <c r="I112" s="269"/>
    </row>
    <row r="113" spans="1:9" x14ac:dyDescent="0.2">
      <c r="A113" s="302"/>
      <c r="B113" s="292"/>
      <c r="C113" s="269"/>
      <c r="D113" s="305"/>
      <c r="E113" s="303" t="str">
        <f>IF(COUNT(E111,E115)=2,IF(E111&gt;E115,C111,C115),"")</f>
        <v>Ivar Viljaste, Tõnis Neiland</v>
      </c>
      <c r="F113" s="451"/>
      <c r="G113" s="304">
        <v>13</v>
      </c>
      <c r="H113" s="269"/>
      <c r="I113" s="269"/>
    </row>
    <row r="114" spans="1:9" ht="13.5" thickBot="1" x14ac:dyDescent="0.25">
      <c r="A114" s="302" t="s">
        <v>200</v>
      </c>
      <c r="B114" s="289" t="str">
        <f>IFERROR(INDEX(B$1:B$100,MATCH(A114,I$1:I$100,0)),"")</f>
        <v>Tõnu Piik, Ülo Piik</v>
      </c>
      <c r="C114" s="301">
        <v>11</v>
      </c>
      <c r="D114" s="305"/>
      <c r="E114" s="306"/>
      <c r="F114" s="287"/>
      <c r="G114" s="287"/>
      <c r="H114" s="452" t="str">
        <f>IF(COUNT(G105,G113)=2,IF(G105&lt;G113,E105,E113),"")</f>
        <v>Jaan Sepp, Oskar Sepp</v>
      </c>
      <c r="I114" s="454"/>
    </row>
    <row r="115" spans="1:9" x14ac:dyDescent="0.2">
      <c r="A115" s="302"/>
      <c r="B115" s="449"/>
      <c r="C115" s="303" t="str">
        <f>IF(COUNT(C114,C116)=2,IF(C114&gt;C116,B114,B116),"")</f>
        <v>Aigi Orro, Kalle Orro</v>
      </c>
      <c r="D115" s="451"/>
      <c r="E115" s="304">
        <v>8</v>
      </c>
      <c r="F115" s="269"/>
      <c r="G115" s="287"/>
      <c r="H115" s="290" t="s">
        <v>186</v>
      </c>
      <c r="I115" s="287"/>
    </row>
    <row r="116" spans="1:9" x14ac:dyDescent="0.2">
      <c r="A116" s="302" t="s">
        <v>199</v>
      </c>
      <c r="B116" s="450" t="str">
        <f>IFERROR(INDEX(B$1:B$100,MATCH(A116,I$1:I$100,0)),"")</f>
        <v>Aigi Orro, Kalle Orro</v>
      </c>
      <c r="C116" s="304">
        <v>13</v>
      </c>
      <c r="D116" s="269"/>
      <c r="E116" s="287"/>
      <c r="F116" s="287"/>
      <c r="G116" s="287"/>
      <c r="H116" s="269"/>
      <c r="I116" s="269"/>
    </row>
    <row r="117" spans="1:9" x14ac:dyDescent="0.2">
      <c r="A117" s="268"/>
      <c r="B117" s="292"/>
      <c r="C117" s="269"/>
      <c r="D117" s="269"/>
      <c r="E117" s="284" t="str">
        <f>IF(COUNT(E103,E107)=2,IF(E103&lt;E107,C103,C107),"")</f>
        <v>Kenneth Muusikus, Mait Metsla</v>
      </c>
      <c r="F117" s="269"/>
      <c r="G117" s="301">
        <v>13</v>
      </c>
      <c r="H117" s="269"/>
      <c r="I117" s="269"/>
    </row>
    <row r="118" spans="1:9" ht="13.5" thickBot="1" x14ac:dyDescent="0.25">
      <c r="A118" s="269"/>
      <c r="B118" s="269"/>
      <c r="C118" s="269"/>
      <c r="D118" s="269"/>
      <c r="E118" s="455"/>
      <c r="F118" s="336"/>
      <c r="G118" s="454"/>
      <c r="H118" s="452" t="str">
        <f>IF(COUNT(G117,G119)=2,IF(G117&gt;G119,E117,E119),"")</f>
        <v>Kenneth Muusikus, Mait Metsla</v>
      </c>
      <c r="I118" s="454"/>
    </row>
    <row r="119" spans="1:9" x14ac:dyDescent="0.2">
      <c r="A119" s="269"/>
      <c r="B119" s="269"/>
      <c r="C119" s="269"/>
      <c r="D119" s="269"/>
      <c r="E119" s="456" t="str">
        <f>IF(COUNT(E111,E115)=2,IF(E111&lt;E115,C111,C115),"")</f>
        <v>Aigi Orro, Kalle Orro</v>
      </c>
      <c r="F119" s="451"/>
      <c r="G119" s="304">
        <v>11</v>
      </c>
      <c r="H119" s="296" t="s">
        <v>187</v>
      </c>
      <c r="I119" s="287"/>
    </row>
    <row r="120" spans="1:9" x14ac:dyDescent="0.2">
      <c r="A120" s="269"/>
      <c r="B120" s="269"/>
      <c r="C120" s="269"/>
      <c r="D120" s="269"/>
      <c r="E120" s="269"/>
      <c r="F120" s="269"/>
      <c r="G120" s="269"/>
      <c r="H120" s="287"/>
      <c r="I120" s="287"/>
    </row>
    <row r="121" spans="1:9" ht="13.5" thickBot="1" x14ac:dyDescent="0.25">
      <c r="A121" s="269"/>
      <c r="B121" s="269"/>
      <c r="C121" s="269"/>
      <c r="D121" s="269"/>
      <c r="E121" s="287"/>
      <c r="F121" s="287"/>
      <c r="G121" s="269"/>
      <c r="H121" s="452" t="str">
        <f>IF(COUNT(G117,G119)=2,IF(G117&lt;G119,E117,E119),"")</f>
        <v>Aigi Orro, Kalle Orro</v>
      </c>
      <c r="I121" s="454"/>
    </row>
    <row r="122" spans="1:9" x14ac:dyDescent="0.2">
      <c r="A122" s="269"/>
      <c r="B122" s="269"/>
      <c r="C122" s="269"/>
      <c r="D122" s="269"/>
      <c r="E122" s="269"/>
      <c r="F122" s="269"/>
      <c r="G122" s="269"/>
      <c r="H122" s="268" t="s">
        <v>188</v>
      </c>
      <c r="I122" s="269"/>
    </row>
    <row r="123" spans="1:9" x14ac:dyDescent="0.2">
      <c r="A123" s="269"/>
      <c r="B123" s="269"/>
      <c r="C123" s="456" t="str">
        <f>IF(COUNT(C102,C104)=2,IF(C102&lt;C104,B102,B104),"")</f>
        <v>Aarne Välja, Tõnu Kapper</v>
      </c>
      <c r="D123" s="269"/>
      <c r="E123" s="301">
        <v>10</v>
      </c>
      <c r="F123" s="301"/>
      <c r="G123" s="301"/>
      <c r="H123" s="269"/>
      <c r="I123" s="269"/>
    </row>
    <row r="124" spans="1:9" x14ac:dyDescent="0.2">
      <c r="A124" s="269"/>
      <c r="B124" s="269"/>
      <c r="C124" s="457"/>
      <c r="D124" s="337"/>
      <c r="E124" s="303" t="str">
        <f>IF(COUNT(E123,E125)=2,IF(E123&gt;E125,C123,C125),"")</f>
        <v>Kaspar Mänd, Urmas Randlaine</v>
      </c>
      <c r="F124" s="269"/>
      <c r="G124" s="301">
        <v>7</v>
      </c>
      <c r="H124" s="269"/>
      <c r="I124" s="269"/>
    </row>
    <row r="125" spans="1:9" x14ac:dyDescent="0.2">
      <c r="A125" s="269"/>
      <c r="B125" s="269"/>
      <c r="C125" s="456" t="str">
        <f>IF(COUNT(C106,C108)=2,IF(C106&lt;C108,B106,B108),"")</f>
        <v>Kaspar Mänd, Urmas Randlaine</v>
      </c>
      <c r="D125" s="458"/>
      <c r="E125" s="304">
        <v>13</v>
      </c>
      <c r="F125" s="337"/>
      <c r="G125" s="301"/>
      <c r="H125" s="269"/>
      <c r="I125" s="269"/>
    </row>
    <row r="126" spans="1:9" ht="13.5" thickBot="1" x14ac:dyDescent="0.25">
      <c r="A126" s="269"/>
      <c r="B126" s="269"/>
      <c r="C126" s="301"/>
      <c r="D126" s="301"/>
      <c r="E126" s="269"/>
      <c r="F126" s="309"/>
      <c r="G126" s="301"/>
      <c r="H126" s="452" t="str">
        <f>IF(COUNT(G124,G128)=2,IF(G124&gt;G128,E124,E128),"")</f>
        <v>Tõnu Piik, Ülo Piik</v>
      </c>
      <c r="I126" s="269"/>
    </row>
    <row r="127" spans="1:9" x14ac:dyDescent="0.2">
      <c r="A127" s="269"/>
      <c r="B127" s="269"/>
      <c r="C127" s="456" t="str">
        <f>IF(COUNT(C110,C112)=2,IF(C110&lt;C112,B110,B112),"")</f>
        <v>Karla Purgats, Oleg Rõndenkov</v>
      </c>
      <c r="D127" s="301"/>
      <c r="E127" s="301">
        <v>6</v>
      </c>
      <c r="F127" s="309"/>
      <c r="G127" s="310"/>
      <c r="H127" s="290" t="s">
        <v>189</v>
      </c>
      <c r="I127" s="453"/>
    </row>
    <row r="128" spans="1:9" x14ac:dyDescent="0.2">
      <c r="A128" s="269"/>
      <c r="B128" s="269"/>
      <c r="C128" s="457"/>
      <c r="D128" s="337"/>
      <c r="E128" s="303" t="str">
        <f>IF(COUNT(E127,E129)=2,IF(E127&gt;E129,C127,C129),"")</f>
        <v>Tõnu Piik, Ülo Piik</v>
      </c>
      <c r="F128" s="451"/>
      <c r="G128" s="304">
        <v>13</v>
      </c>
      <c r="H128" s="269"/>
      <c r="I128" s="269"/>
    </row>
    <row r="129" spans="1:9" ht="13.5" thickBot="1" x14ac:dyDescent="0.25">
      <c r="A129" s="269"/>
      <c r="B129" s="269"/>
      <c r="C129" s="456" t="str">
        <f>IF(COUNT(C114,C116)=2,IF(C114&lt;C116,B114,B116),"")</f>
        <v>Tõnu Piik, Ülo Piik</v>
      </c>
      <c r="D129" s="458"/>
      <c r="E129" s="304">
        <v>13</v>
      </c>
      <c r="F129" s="301"/>
      <c r="G129" s="308"/>
      <c r="H129" s="452" t="str">
        <f>IF(COUNT(G124,G128)=2,IF(G124&lt;G128,E124,E128),"")</f>
        <v>Kaspar Mänd, Urmas Randlaine</v>
      </c>
      <c r="I129" s="454"/>
    </row>
    <row r="130" spans="1:9" x14ac:dyDescent="0.2">
      <c r="A130" s="269"/>
      <c r="B130" s="269"/>
      <c r="C130" s="301"/>
      <c r="D130" s="301"/>
      <c r="E130" s="301"/>
      <c r="F130" s="301"/>
      <c r="G130" s="308"/>
      <c r="H130" s="290" t="s">
        <v>190</v>
      </c>
      <c r="I130" s="287"/>
    </row>
    <row r="131" spans="1:9" x14ac:dyDescent="0.2">
      <c r="A131" s="269"/>
      <c r="B131" s="269"/>
      <c r="C131" s="301"/>
      <c r="D131" s="308"/>
      <c r="E131" s="284" t="str">
        <f>IF(COUNT(E123,E125)=2,IF(E123&lt;E125,C123,C125),"")</f>
        <v>Aarne Välja, Tõnu Kapper</v>
      </c>
      <c r="F131" s="269"/>
      <c r="G131" s="651">
        <v>11</v>
      </c>
      <c r="H131" s="287"/>
      <c r="I131" s="287"/>
    </row>
    <row r="132" spans="1:9" ht="13.5" thickBot="1" x14ac:dyDescent="0.25">
      <c r="A132" s="269"/>
      <c r="B132" s="269"/>
      <c r="C132" s="301"/>
      <c r="D132" s="308"/>
      <c r="E132" s="455"/>
      <c r="F132" s="336"/>
      <c r="G132" s="454"/>
      <c r="H132" s="452" t="str">
        <f>IF(COUNT(G131,G133)=2,IF(G131&gt;G133,E131,E133),"")</f>
        <v>Karla Purgats, Oleg Rõndenkov</v>
      </c>
      <c r="I132" s="454"/>
    </row>
    <row r="133" spans="1:9" x14ac:dyDescent="0.2">
      <c r="A133" s="269"/>
      <c r="B133" s="269"/>
      <c r="C133" s="301"/>
      <c r="D133" s="308"/>
      <c r="E133" s="456" t="str">
        <f>IF(COUNT(E127,E129)=2,IF(E127&lt;E129,C127,C129),"")</f>
        <v>Karla Purgats, Oleg Rõndenkov</v>
      </c>
      <c r="F133" s="451"/>
      <c r="G133" s="304">
        <v>13</v>
      </c>
      <c r="H133" s="290" t="s">
        <v>201</v>
      </c>
      <c r="I133" s="287"/>
    </row>
    <row r="134" spans="1:9" x14ac:dyDescent="0.2">
      <c r="A134" s="269"/>
      <c r="B134" s="269"/>
      <c r="C134" s="269"/>
      <c r="D134" s="287"/>
      <c r="E134" s="269"/>
      <c r="F134" s="269"/>
      <c r="G134" s="269"/>
      <c r="H134" s="287"/>
      <c r="I134" s="287"/>
    </row>
    <row r="135" spans="1:9" ht="13.5" thickBot="1" x14ac:dyDescent="0.25">
      <c r="A135" s="269"/>
      <c r="B135" s="269"/>
      <c r="C135" s="269"/>
      <c r="D135" s="269"/>
      <c r="E135" s="287"/>
      <c r="F135" s="287"/>
      <c r="G135" s="269"/>
      <c r="H135" s="454" t="str">
        <f>IF(COUNT(G131,G133)=2,IF(G131&lt;G133,E131,E133),"")</f>
        <v>Aarne Välja, Tõnu Kapper</v>
      </c>
      <c r="I135" s="454"/>
    </row>
    <row r="136" spans="1:9" x14ac:dyDescent="0.2">
      <c r="A136" s="80"/>
      <c r="B136" s="140"/>
      <c r="C136" s="285"/>
      <c r="D136" s="285"/>
      <c r="E136" s="285"/>
      <c r="F136" s="285"/>
      <c r="G136" s="323"/>
      <c r="H136" s="290" t="s">
        <v>202</v>
      </c>
      <c r="I136" s="79"/>
    </row>
    <row r="138" spans="1:9" x14ac:dyDescent="0.2">
      <c r="A138" s="286" t="s">
        <v>486</v>
      </c>
      <c r="B138" s="287"/>
      <c r="C138" s="288"/>
      <c r="D138" s="288"/>
      <c r="E138" s="288"/>
      <c r="F138" s="285"/>
      <c r="G138" s="283"/>
      <c r="H138" s="269"/>
      <c r="I138" s="151"/>
    </row>
    <row r="139" spans="1:9" x14ac:dyDescent="0.2">
      <c r="A139" s="269"/>
      <c r="B139" s="269"/>
      <c r="C139" s="269"/>
      <c r="D139" s="269"/>
      <c r="E139" s="269"/>
      <c r="F139" s="269"/>
      <c r="G139" s="269"/>
      <c r="H139" s="269"/>
      <c r="I139" s="151"/>
    </row>
    <row r="140" spans="1:9" x14ac:dyDescent="0.2">
      <c r="A140" s="300" t="s">
        <v>203</v>
      </c>
      <c r="B140" s="289" t="str">
        <f>IFERROR(INDEX(B$1:B$100,MATCH(A140,I$1:I$100,0)),"")</f>
        <v>Jaan Saar, Liidia Põllu</v>
      </c>
      <c r="C140" s="301">
        <v>12</v>
      </c>
      <c r="D140" s="269"/>
      <c r="E140" s="269"/>
      <c r="F140" s="269"/>
      <c r="G140" s="269"/>
      <c r="H140" s="269"/>
      <c r="I140" s="151"/>
    </row>
    <row r="141" spans="1:9" x14ac:dyDescent="0.2">
      <c r="A141" s="302"/>
      <c r="B141" s="449"/>
      <c r="C141" s="303" t="str">
        <f>IF(COUNT(C140,C142)=2,IF(C140&gt;C142,B140,B142),"")</f>
        <v>Illar Tõnurist, Klavdia Piik</v>
      </c>
      <c r="D141" s="269"/>
      <c r="E141" s="301">
        <v>4</v>
      </c>
      <c r="F141" s="269"/>
      <c r="G141" s="269"/>
      <c r="H141" s="269"/>
      <c r="I141" s="269"/>
    </row>
    <row r="142" spans="1:9" x14ac:dyDescent="0.2">
      <c r="A142" s="302" t="s">
        <v>266</v>
      </c>
      <c r="B142" s="450" t="str">
        <f>IFERROR(INDEX(B$1:B$100,MATCH(A142,I$1:I$100,0)),"")</f>
        <v>Illar Tõnurist, Klavdia Piik</v>
      </c>
      <c r="C142" s="304">
        <v>13</v>
      </c>
      <c r="D142" s="336"/>
      <c r="E142" s="269"/>
      <c r="F142" s="269"/>
      <c r="G142" s="269"/>
      <c r="H142" s="269"/>
      <c r="I142" s="269"/>
    </row>
    <row r="143" spans="1:9" x14ac:dyDescent="0.2">
      <c r="A143" s="302"/>
      <c r="B143" s="292"/>
      <c r="C143" s="269"/>
      <c r="D143" s="305"/>
      <c r="E143" s="303" t="str">
        <f>IF(COUNT(E141,E145)=2,IF(E141&gt;E145,C141,C145),"")</f>
        <v>Enn Tokman, Tarmo Bombe</v>
      </c>
      <c r="F143" s="269"/>
      <c r="G143" s="301">
        <v>11</v>
      </c>
      <c r="H143" s="269"/>
      <c r="I143" s="269"/>
    </row>
    <row r="144" spans="1:9" x14ac:dyDescent="0.2">
      <c r="A144" s="302" t="s">
        <v>204</v>
      </c>
      <c r="B144" s="289" t="str">
        <f>IFERROR(INDEX(B$1:B$100,MATCH(A144,I$1:I$100,0)),"")</f>
        <v>Enn Tokman, Tarmo Bombe</v>
      </c>
      <c r="C144" s="301">
        <v>13</v>
      </c>
      <c r="D144" s="305"/>
      <c r="E144" s="306"/>
      <c r="F144" s="336"/>
      <c r="G144" s="269"/>
      <c r="H144" s="269"/>
      <c r="I144" s="269"/>
    </row>
    <row r="145" spans="1:9" x14ac:dyDescent="0.2">
      <c r="A145" s="302"/>
      <c r="B145" s="449"/>
      <c r="C145" s="303" t="str">
        <f>IF(COUNT(C144,C146)=2,IF(C144&gt;C146,B144,B146),"")</f>
        <v>Enn Tokman, Tarmo Bombe</v>
      </c>
      <c r="D145" s="451"/>
      <c r="E145" s="304">
        <v>13</v>
      </c>
      <c r="F145" s="305"/>
      <c r="G145" s="269"/>
      <c r="H145" s="269"/>
      <c r="I145" s="269"/>
    </row>
    <row r="146" spans="1:9" x14ac:dyDescent="0.2">
      <c r="A146" s="302" t="s">
        <v>267</v>
      </c>
      <c r="B146" s="450" t="str">
        <f>IFERROR(INDEX(B$1:B$100,MATCH(A146,I$1:I$100,0)),"")</f>
        <v>Andrei Grintšak, Boriss Klubov</v>
      </c>
      <c r="C146" s="652">
        <v>6</v>
      </c>
      <c r="D146" s="269"/>
      <c r="E146" s="287"/>
      <c r="F146" s="305"/>
      <c r="G146" s="269"/>
      <c r="H146" s="269"/>
      <c r="I146" s="269"/>
    </row>
    <row r="147" spans="1:9" ht="13.5" thickBot="1" x14ac:dyDescent="0.25">
      <c r="A147" s="268"/>
      <c r="B147" s="292"/>
      <c r="C147" s="269"/>
      <c r="D147" s="269"/>
      <c r="E147" s="287"/>
      <c r="F147" s="305"/>
      <c r="G147" s="269"/>
      <c r="H147" s="452" t="str">
        <f>IF(COUNT(G143,G151)=2,IF(G143&gt;G151,E143,E151),"")</f>
        <v>Matti Vinni, Vladimir Ogneštšikov</v>
      </c>
      <c r="I147" s="269"/>
    </row>
    <row r="148" spans="1:9" x14ac:dyDescent="0.2">
      <c r="A148" s="300" t="s">
        <v>206</v>
      </c>
      <c r="B148" s="289" t="str">
        <f>IFERROR(INDEX(B$1:B$100,MATCH(A148,I$1:I$100,0)),"")</f>
        <v>Henri Mitt, Meelis Luud</v>
      </c>
      <c r="C148" s="301">
        <f>IF(B148="-",0,IF(B150="-",13,""))</f>
        <v>13</v>
      </c>
      <c r="D148" s="269"/>
      <c r="E148" s="269"/>
      <c r="F148" s="305"/>
      <c r="G148" s="307"/>
      <c r="H148" s="290" t="s">
        <v>207</v>
      </c>
      <c r="I148" s="453"/>
    </row>
    <row r="149" spans="1:9" x14ac:dyDescent="0.2">
      <c r="A149" s="302"/>
      <c r="B149" s="449"/>
      <c r="C149" s="303" t="str">
        <f>IF(COUNT(C148,C150)=2,IF(C148&gt;C150,B148,B150),"")</f>
        <v>Henri Mitt, Meelis Luud</v>
      </c>
      <c r="D149" s="269"/>
      <c r="E149" s="301">
        <v>12</v>
      </c>
      <c r="F149" s="305"/>
      <c r="G149" s="287"/>
      <c r="H149" s="269"/>
      <c r="I149" s="269"/>
    </row>
    <row r="150" spans="1:9" x14ac:dyDescent="0.2">
      <c r="A150" s="302" t="s">
        <v>268</v>
      </c>
      <c r="B150" s="450" t="s">
        <v>205</v>
      </c>
      <c r="C150" s="304">
        <f>IF(B150="-",0,IF(B148="-",13,""))</f>
        <v>0</v>
      </c>
      <c r="D150" s="336"/>
      <c r="E150" s="269"/>
      <c r="F150" s="305"/>
      <c r="G150" s="287"/>
      <c r="H150" s="269"/>
      <c r="I150" s="269"/>
    </row>
    <row r="151" spans="1:9" x14ac:dyDescent="0.2">
      <c r="A151" s="302"/>
      <c r="B151" s="292"/>
      <c r="C151" s="269"/>
      <c r="D151" s="305"/>
      <c r="E151" s="303" t="str">
        <f>IF(COUNT(E149,E153)=2,IF(E149&gt;E153,C149,C153),"")</f>
        <v>Matti Vinni, Vladimir Ogneštšikov</v>
      </c>
      <c r="F151" s="451"/>
      <c r="G151" s="304">
        <v>13</v>
      </c>
      <c r="H151" s="269"/>
      <c r="I151" s="269"/>
    </row>
    <row r="152" spans="1:9" ht="13.5" thickBot="1" x14ac:dyDescent="0.25">
      <c r="A152" s="302" t="s">
        <v>208</v>
      </c>
      <c r="B152" s="289" t="str">
        <f>IFERROR(INDEX(B$1:B$100,MATCH(A152,I$1:I$100,0)),"")</f>
        <v>Matti Vinni, Vladimir Ogneštšikov</v>
      </c>
      <c r="C152" s="301">
        <f>IF(B152="-",0,IF(B154="-",13,""))</f>
        <v>13</v>
      </c>
      <c r="D152" s="305"/>
      <c r="E152" s="306"/>
      <c r="F152" s="287"/>
      <c r="G152" s="287"/>
      <c r="H152" s="452" t="str">
        <f>IF(COUNT(G143,G151)=2,IF(G143&lt;G151,E143,E151),"")</f>
        <v>Enn Tokman, Tarmo Bombe</v>
      </c>
      <c r="I152" s="454"/>
    </row>
    <row r="153" spans="1:9" x14ac:dyDescent="0.2">
      <c r="A153" s="302"/>
      <c r="B153" s="449"/>
      <c r="C153" s="303" t="str">
        <f>IF(COUNT(C152,C154)=2,IF(C152&gt;C154,B152,B154),"")</f>
        <v>Matti Vinni, Vladimir Ogneštšikov</v>
      </c>
      <c r="D153" s="451"/>
      <c r="E153" s="304">
        <v>13</v>
      </c>
      <c r="F153" s="269"/>
      <c r="G153" s="287"/>
      <c r="H153" s="290" t="s">
        <v>209</v>
      </c>
      <c r="I153" s="287"/>
    </row>
    <row r="154" spans="1:9" x14ac:dyDescent="0.2">
      <c r="A154" s="302" t="s">
        <v>269</v>
      </c>
      <c r="B154" s="450" t="s">
        <v>205</v>
      </c>
      <c r="C154" s="304">
        <f>IF(B154="-",0,IF(B152="-",13,""))</f>
        <v>0</v>
      </c>
      <c r="D154" s="269"/>
      <c r="E154" s="287"/>
      <c r="F154" s="287"/>
      <c r="G154" s="287"/>
      <c r="H154" s="269"/>
      <c r="I154" s="269"/>
    </row>
    <row r="155" spans="1:9" x14ac:dyDescent="0.2">
      <c r="A155" s="268"/>
      <c r="B155" s="292"/>
      <c r="C155" s="269"/>
      <c r="D155" s="269"/>
      <c r="E155" s="284" t="str">
        <f>IF(COUNT(E141,E145)=2,IF(E141&lt;E145,C141,C145),"")</f>
        <v>Illar Tõnurist, Klavdia Piik</v>
      </c>
      <c r="F155" s="269"/>
      <c r="G155" s="651">
        <v>4</v>
      </c>
      <c r="H155" s="269"/>
      <c r="I155" s="269"/>
    </row>
    <row r="156" spans="1:9" ht="13.5" thickBot="1" x14ac:dyDescent="0.25">
      <c r="A156" s="269"/>
      <c r="B156" s="269"/>
      <c r="C156" s="269"/>
      <c r="D156" s="269"/>
      <c r="E156" s="455"/>
      <c r="F156" s="336"/>
      <c r="G156" s="454"/>
      <c r="H156" s="452" t="str">
        <f>IF(COUNT(G155,G157)=2,IF(G155&gt;G157,E155,E157),"")</f>
        <v>Henri Mitt, Meelis Luud</v>
      </c>
      <c r="I156" s="454"/>
    </row>
    <row r="157" spans="1:9" x14ac:dyDescent="0.2">
      <c r="A157" s="269"/>
      <c r="B157" s="269"/>
      <c r="C157" s="269"/>
      <c r="D157" s="269"/>
      <c r="E157" s="456" t="str">
        <f>IF(COUNT(E149,E153)=2,IF(E149&lt;E153,C149,C153),"")</f>
        <v>Henri Mitt, Meelis Luud</v>
      </c>
      <c r="F157" s="451"/>
      <c r="G157" s="304">
        <v>13</v>
      </c>
      <c r="H157" s="296" t="s">
        <v>210</v>
      </c>
      <c r="I157" s="287"/>
    </row>
    <row r="158" spans="1:9" x14ac:dyDescent="0.2">
      <c r="A158" s="269"/>
      <c r="B158" s="269"/>
      <c r="C158" s="269"/>
      <c r="D158" s="269"/>
      <c r="E158" s="269"/>
      <c r="F158" s="269"/>
      <c r="G158" s="269"/>
      <c r="H158" s="287"/>
      <c r="I158" s="287"/>
    </row>
    <row r="159" spans="1:9" ht="13.5" thickBot="1" x14ac:dyDescent="0.25">
      <c r="A159" s="269"/>
      <c r="B159" s="269"/>
      <c r="C159" s="269"/>
      <c r="D159" s="269"/>
      <c r="E159" s="287"/>
      <c r="F159" s="287"/>
      <c r="G159" s="269"/>
      <c r="H159" s="452" t="str">
        <f>IF(COUNT(G155,G157)=2,IF(G155&lt;G157,E155,E157),"")</f>
        <v>Illar Tõnurist, Klavdia Piik</v>
      </c>
      <c r="I159" s="454"/>
    </row>
    <row r="160" spans="1:9" x14ac:dyDescent="0.2">
      <c r="A160" s="269"/>
      <c r="B160" s="269"/>
      <c r="C160" s="269"/>
      <c r="D160" s="269"/>
      <c r="E160" s="269"/>
      <c r="F160" s="269"/>
      <c r="G160" s="269"/>
      <c r="H160" s="268" t="s">
        <v>211</v>
      </c>
      <c r="I160" s="269"/>
    </row>
    <row r="161" spans="1:9" x14ac:dyDescent="0.2">
      <c r="A161" s="269"/>
      <c r="B161" s="269"/>
      <c r="C161" s="456" t="str">
        <f>IF(COUNT(C140,C142)=2,IF(C140&lt;C142,B140,B142),"")</f>
        <v>Jaan Saar, Liidia Põllu</v>
      </c>
      <c r="D161" s="269"/>
      <c r="E161" s="301">
        <v>6</v>
      </c>
      <c r="F161" s="301"/>
      <c r="G161" s="301"/>
      <c r="H161" s="269"/>
      <c r="I161" s="269"/>
    </row>
    <row r="162" spans="1:9" x14ac:dyDescent="0.2">
      <c r="A162" s="269"/>
      <c r="B162" s="269"/>
      <c r="C162" s="457"/>
      <c r="D162" s="337"/>
      <c r="E162" s="303" t="str">
        <f>IF(COUNT(E161,E163)=2,IF(E161&gt;E163,C161,C163),"")</f>
        <v>Andrei Grintšak, Boriss Klubov</v>
      </c>
      <c r="F162" s="269"/>
      <c r="G162" s="301">
        <f>IF(E162="-",0,IF(E166="-",13,""))</f>
        <v>13</v>
      </c>
      <c r="H162" s="269"/>
      <c r="I162" s="269"/>
    </row>
    <row r="163" spans="1:9" x14ac:dyDescent="0.2">
      <c r="A163" s="269"/>
      <c r="B163" s="269"/>
      <c r="C163" s="456" t="str">
        <f>IF(COUNT(C144,C146)=2,IF(C144&lt;C146,B144,B146),"")</f>
        <v>Andrei Grintšak, Boriss Klubov</v>
      </c>
      <c r="D163" s="458"/>
      <c r="E163" s="304">
        <v>13</v>
      </c>
      <c r="F163" s="337"/>
      <c r="G163" s="301"/>
      <c r="H163" s="269"/>
      <c r="I163" s="269"/>
    </row>
    <row r="164" spans="1:9" ht="13.5" thickBot="1" x14ac:dyDescent="0.25">
      <c r="A164" s="269"/>
      <c r="B164" s="269"/>
      <c r="C164" s="301"/>
      <c r="D164" s="301"/>
      <c r="E164" s="269"/>
      <c r="F164" s="309"/>
      <c r="G164" s="301"/>
      <c r="H164" s="452" t="str">
        <f>IF(COUNT(G162,G166)=2,IF(G162&gt;G166,E162,E166),"")</f>
        <v>Andrei Grintšak, Boriss Klubov</v>
      </c>
      <c r="I164" s="269"/>
    </row>
    <row r="165" spans="1:9" x14ac:dyDescent="0.2">
      <c r="A165" s="269"/>
      <c r="B165" s="269"/>
      <c r="C165" s="456" t="str">
        <f>IF(COUNT(C148,C150)=2,IF(C148&lt;C150,B148,B150),"")</f>
        <v>-</v>
      </c>
      <c r="D165" s="301"/>
      <c r="E165" s="301">
        <f>IF(C165="-",0,IF(C167="-",13,""))</f>
        <v>0</v>
      </c>
      <c r="F165" s="309"/>
      <c r="G165" s="310"/>
      <c r="H165" s="290" t="s">
        <v>212</v>
      </c>
      <c r="I165" s="453"/>
    </row>
    <row r="166" spans="1:9" x14ac:dyDescent="0.2">
      <c r="A166" s="269"/>
      <c r="B166" s="269"/>
      <c r="C166" s="457"/>
      <c r="D166" s="337"/>
      <c r="E166" s="303" t="str">
        <f>IF(COUNT(E165,E167)=2,IF(E165&gt;E167,C165,C167),"")</f>
        <v>-</v>
      </c>
      <c r="F166" s="451"/>
      <c r="G166" s="304">
        <f>IF(E166="-",0,IF(E162="-",13,""))</f>
        <v>0</v>
      </c>
      <c r="H166" s="269"/>
      <c r="I166" s="269"/>
    </row>
    <row r="167" spans="1:9" ht="13.5" thickBot="1" x14ac:dyDescent="0.25">
      <c r="A167" s="269"/>
      <c r="B167" s="269"/>
      <c r="C167" s="456" t="str">
        <f>IF(COUNT(C152,C154)=2,IF(C152&lt;C154,B152,B154),"")</f>
        <v>-</v>
      </c>
      <c r="D167" s="458"/>
      <c r="E167" s="304">
        <f>IF(C167="-",0,IF(C165="-",13,""))</f>
        <v>0</v>
      </c>
      <c r="F167" s="301"/>
      <c r="G167" s="308"/>
      <c r="H167" s="452" t="str">
        <f>IF(COUNT(G162,G166)=2,IF(G162&lt;G166,E162,E166),"")</f>
        <v>-</v>
      </c>
      <c r="I167" s="454"/>
    </row>
    <row r="168" spans="1:9" x14ac:dyDescent="0.2">
      <c r="A168" s="269"/>
      <c r="B168" s="269"/>
      <c r="C168" s="301"/>
      <c r="D168" s="301"/>
      <c r="E168" s="301"/>
      <c r="F168" s="301"/>
      <c r="G168" s="308"/>
      <c r="H168" s="290"/>
      <c r="I168" s="287"/>
    </row>
    <row r="169" spans="1:9" x14ac:dyDescent="0.2">
      <c r="A169" s="269"/>
      <c r="B169" s="269"/>
      <c r="C169" s="301"/>
      <c r="D169" s="308"/>
      <c r="E169" s="284" t="str">
        <f>IF(COUNT(E161,E163)=2,IF(E161&lt;E163,C161,C163),"")</f>
        <v>Jaan Saar, Liidia Põllu</v>
      </c>
      <c r="F169" s="269"/>
      <c r="G169" s="301">
        <f>IF(E169="-",0,IF(E171="-",13,""))</f>
        <v>13</v>
      </c>
      <c r="H169" s="287"/>
      <c r="I169" s="287"/>
    </row>
    <row r="170" spans="1:9" ht="13.5" thickBot="1" x14ac:dyDescent="0.25">
      <c r="A170" s="269"/>
      <c r="B170" s="269"/>
      <c r="C170" s="301"/>
      <c r="D170" s="308"/>
      <c r="E170" s="455"/>
      <c r="F170" s="336"/>
      <c r="G170" s="454"/>
      <c r="H170" s="452" t="str">
        <f>IF(COUNT(G169,G171)=2,IF(G169&gt;G171,E169,E171),"")</f>
        <v>Jaan Saar, Liidia Põllu</v>
      </c>
      <c r="I170" s="454"/>
    </row>
    <row r="171" spans="1:9" x14ac:dyDescent="0.2">
      <c r="A171" s="269"/>
      <c r="B171" s="269"/>
      <c r="C171" s="301"/>
      <c r="D171" s="308"/>
      <c r="E171" s="456" t="str">
        <f>IF(COUNT(E165,E167)=2,IF(E165&lt;E167,C165,C167),"")</f>
        <v>-</v>
      </c>
      <c r="F171" s="451"/>
      <c r="G171" s="304">
        <f>IF(E171="-",0,IF(E169="-",13,""))</f>
        <v>0</v>
      </c>
      <c r="H171" s="290" t="s">
        <v>213</v>
      </c>
      <c r="I171" s="287"/>
    </row>
    <row r="172" spans="1:9" x14ac:dyDescent="0.2">
      <c r="A172" s="269"/>
      <c r="B172" s="269"/>
      <c r="C172" s="269"/>
      <c r="D172" s="287"/>
      <c r="E172" s="269"/>
      <c r="F172" s="269"/>
      <c r="G172" s="269"/>
      <c r="H172" s="287"/>
      <c r="I172" s="287"/>
    </row>
    <row r="173" spans="1:9" ht="13.5" thickBot="1" x14ac:dyDescent="0.25">
      <c r="A173" s="269"/>
      <c r="B173" s="269"/>
      <c r="C173" s="269"/>
      <c r="D173" s="269"/>
      <c r="E173" s="287"/>
      <c r="F173" s="287"/>
      <c r="G173" s="269"/>
      <c r="H173" s="454" t="str">
        <f>IF(COUNT(G169,G171)=2,IF(G169&lt;G171,E169,E171),"")</f>
        <v>-</v>
      </c>
      <c r="I173" s="454"/>
    </row>
    <row r="174" spans="1:9" x14ac:dyDescent="0.2">
      <c r="A174" s="80"/>
      <c r="B174" s="140"/>
      <c r="C174" s="285"/>
      <c r="D174" s="285"/>
      <c r="E174" s="285"/>
      <c r="F174" s="285"/>
      <c r="G174" s="323"/>
      <c r="H174" s="290"/>
      <c r="I174" s="79"/>
    </row>
    <row r="175" spans="1:9" hidden="1" x14ac:dyDescent="0.2"/>
    <row r="176" spans="1:9"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3" hidden="1" x14ac:dyDescent="0.2"/>
    <row r="290" spans="1:3" hidden="1" x14ac:dyDescent="0.2"/>
    <row r="291" spans="1:3" hidden="1" x14ac:dyDescent="0.2"/>
    <row r="292" spans="1:3" hidden="1" x14ac:dyDescent="0.2"/>
    <row r="293" spans="1:3" hidden="1" x14ac:dyDescent="0.2"/>
    <row r="294" spans="1:3" hidden="1" x14ac:dyDescent="0.2"/>
    <row r="295" spans="1:3" hidden="1" x14ac:dyDescent="0.2"/>
    <row r="296" spans="1:3" hidden="1" x14ac:dyDescent="0.2"/>
    <row r="297" spans="1:3" hidden="1" x14ac:dyDescent="0.2"/>
    <row r="299" spans="1:3" x14ac:dyDescent="0.2">
      <c r="A299" s="271"/>
      <c r="B299" s="271"/>
      <c r="C299" s="401" t="s">
        <v>248</v>
      </c>
    </row>
    <row r="300" spans="1:3" x14ac:dyDescent="0.2">
      <c r="A300" s="530">
        <v>1</v>
      </c>
      <c r="B300" s="529" t="str">
        <f t="shared" ref="B300:B313" si="9">IFERROR(INDEX(H$100:H$300,MATCH(A300&amp;". koht",H$101:H$301,0)),"")</f>
        <v>Ivar Viljaste, Tõnis Neiland</v>
      </c>
      <c r="C300" s="499">
        <f t="shared" ref="C300:C313" si="10">IF(21-A300&gt;0,21-A300,1)</f>
        <v>20</v>
      </c>
    </row>
    <row r="301" spans="1:3" x14ac:dyDescent="0.2">
      <c r="A301" s="530">
        <v>2</v>
      </c>
      <c r="B301" s="529" t="str">
        <f t="shared" si="9"/>
        <v>Jaan Sepp, Oskar Sepp</v>
      </c>
      <c r="C301" s="499">
        <f t="shared" si="10"/>
        <v>19</v>
      </c>
    </row>
    <row r="302" spans="1:3" x14ac:dyDescent="0.2">
      <c r="A302" s="530">
        <v>3</v>
      </c>
      <c r="B302" s="529" t="str">
        <f t="shared" si="9"/>
        <v>Kenneth Muusikus, Mait Metsla</v>
      </c>
      <c r="C302" s="499">
        <f t="shared" si="10"/>
        <v>18</v>
      </c>
    </row>
    <row r="303" spans="1:3" x14ac:dyDescent="0.2">
      <c r="A303" s="530">
        <v>4</v>
      </c>
      <c r="B303" s="529" t="str">
        <f t="shared" si="9"/>
        <v>Aigi Orro, Kalle Orro</v>
      </c>
      <c r="C303" s="499">
        <f t="shared" si="10"/>
        <v>17</v>
      </c>
    </row>
    <row r="304" spans="1:3" x14ac:dyDescent="0.2">
      <c r="A304" s="530">
        <v>5</v>
      </c>
      <c r="B304" s="529" t="str">
        <f t="shared" si="9"/>
        <v>Tõnu Piik, Ülo Piik</v>
      </c>
      <c r="C304" s="499">
        <f t="shared" si="10"/>
        <v>16</v>
      </c>
    </row>
    <row r="305" spans="1:3" x14ac:dyDescent="0.2">
      <c r="A305" s="530">
        <v>6</v>
      </c>
      <c r="B305" s="529" t="str">
        <f t="shared" si="9"/>
        <v>Kaspar Mänd, Urmas Randlaine</v>
      </c>
      <c r="C305" s="499">
        <f t="shared" si="10"/>
        <v>15</v>
      </c>
    </row>
    <row r="306" spans="1:3" x14ac:dyDescent="0.2">
      <c r="A306" s="530">
        <v>7</v>
      </c>
      <c r="B306" s="529" t="str">
        <f t="shared" si="9"/>
        <v>Karla Purgats, Oleg Rõndenkov</v>
      </c>
      <c r="C306" s="499">
        <f t="shared" si="10"/>
        <v>14</v>
      </c>
    </row>
    <row r="307" spans="1:3" x14ac:dyDescent="0.2">
      <c r="A307" s="530">
        <v>8</v>
      </c>
      <c r="B307" s="529" t="str">
        <f t="shared" si="9"/>
        <v>Aarne Välja, Tõnu Kapper</v>
      </c>
      <c r="C307" s="499">
        <f t="shared" si="10"/>
        <v>13</v>
      </c>
    </row>
    <row r="308" spans="1:3" x14ac:dyDescent="0.2">
      <c r="A308" s="530">
        <v>9</v>
      </c>
      <c r="B308" s="529" t="str">
        <f t="shared" si="9"/>
        <v>Matti Vinni, Vladimir Ogneštšikov</v>
      </c>
      <c r="C308" s="499">
        <f t="shared" si="10"/>
        <v>12</v>
      </c>
    </row>
    <row r="309" spans="1:3" x14ac:dyDescent="0.2">
      <c r="A309" s="530">
        <v>10</v>
      </c>
      <c r="B309" s="529" t="str">
        <f t="shared" si="9"/>
        <v>Enn Tokman, Tarmo Bombe</v>
      </c>
      <c r="C309" s="499">
        <f t="shared" si="10"/>
        <v>11</v>
      </c>
    </row>
    <row r="310" spans="1:3" x14ac:dyDescent="0.2">
      <c r="A310" s="530">
        <v>11</v>
      </c>
      <c r="B310" s="529" t="str">
        <f t="shared" si="9"/>
        <v>Henri Mitt, Meelis Luud</v>
      </c>
      <c r="C310" s="499">
        <f t="shared" si="10"/>
        <v>10</v>
      </c>
    </row>
    <row r="311" spans="1:3" x14ac:dyDescent="0.2">
      <c r="A311" s="530">
        <v>12</v>
      </c>
      <c r="B311" s="529" t="str">
        <f t="shared" si="9"/>
        <v>Illar Tõnurist, Klavdia Piik</v>
      </c>
      <c r="C311" s="499">
        <f t="shared" si="10"/>
        <v>9</v>
      </c>
    </row>
    <row r="312" spans="1:3" x14ac:dyDescent="0.2">
      <c r="A312" s="530">
        <v>13</v>
      </c>
      <c r="B312" s="529" t="str">
        <f t="shared" si="9"/>
        <v>Andrei Grintšak, Boriss Klubov</v>
      </c>
      <c r="C312" s="499">
        <f t="shared" si="10"/>
        <v>8</v>
      </c>
    </row>
    <row r="313" spans="1:3" x14ac:dyDescent="0.2">
      <c r="A313" s="530">
        <v>14</v>
      </c>
      <c r="B313" s="529" t="str">
        <f t="shared" si="9"/>
        <v>Jaan Saar, Liidia Põllu</v>
      </c>
      <c r="C313" s="499">
        <f t="shared" si="10"/>
        <v>7</v>
      </c>
    </row>
    <row r="315" spans="1:3" x14ac:dyDescent="0.2">
      <c r="B315" s="62"/>
    </row>
  </sheetData>
  <conditionalFormatting sqref="D7 C8">
    <cfRule type="aboveAverage" dxfId="2619" priority="270"/>
  </conditionalFormatting>
  <conditionalFormatting sqref="E7 C9">
    <cfRule type="aboveAverage" dxfId="2618" priority="269"/>
  </conditionalFormatting>
  <conditionalFormatting sqref="F7 C10">
    <cfRule type="aboveAverage" dxfId="2617" priority="268"/>
  </conditionalFormatting>
  <conditionalFormatting sqref="E8 D9">
    <cfRule type="aboveAverage" dxfId="2616" priority="267"/>
  </conditionalFormatting>
  <conditionalFormatting sqref="G7 C11">
    <cfRule type="aboveAverage" dxfId="2615" priority="266"/>
  </conditionalFormatting>
  <conditionalFormatting sqref="F8 D10">
    <cfRule type="aboveAverage" dxfId="2614" priority="265"/>
  </conditionalFormatting>
  <conditionalFormatting sqref="G8 D11">
    <cfRule type="aboveAverage" dxfId="2613" priority="264"/>
  </conditionalFormatting>
  <conditionalFormatting sqref="F9 E10">
    <cfRule type="aboveAverage" dxfId="2612" priority="263"/>
  </conditionalFormatting>
  <conditionalFormatting sqref="G9 E11">
    <cfRule type="aboveAverage" dxfId="2611" priority="262"/>
  </conditionalFormatting>
  <conditionalFormatting sqref="F11 G10">
    <cfRule type="aboveAverage" dxfId="2610" priority="261"/>
  </conditionalFormatting>
  <conditionalFormatting sqref="D14 C15">
    <cfRule type="aboveAverage" dxfId="2609" priority="260"/>
  </conditionalFormatting>
  <conditionalFormatting sqref="E14 C16">
    <cfRule type="aboveAverage" dxfId="2608" priority="259"/>
  </conditionalFormatting>
  <conditionalFormatting sqref="F14 C17">
    <cfRule type="aboveAverage" dxfId="2607" priority="258"/>
  </conditionalFormatting>
  <conditionalFormatting sqref="E15 D16">
    <cfRule type="aboveAverage" dxfId="2606" priority="257"/>
  </conditionalFormatting>
  <conditionalFormatting sqref="G14 C18">
    <cfRule type="aboveAverage" dxfId="2605" priority="256"/>
  </conditionalFormatting>
  <conditionalFormatting sqref="F15 D17">
    <cfRule type="aboveAverage" dxfId="2604" priority="255"/>
  </conditionalFormatting>
  <conditionalFormatting sqref="G15 D18">
    <cfRule type="aboveAverage" dxfId="2603" priority="254"/>
  </conditionalFormatting>
  <conditionalFormatting sqref="F16 E17">
    <cfRule type="aboveAverage" dxfId="2602" priority="253"/>
  </conditionalFormatting>
  <conditionalFormatting sqref="G16 E18">
    <cfRule type="aboveAverage" dxfId="2601" priority="252"/>
  </conditionalFormatting>
  <conditionalFormatting sqref="F18 G17">
    <cfRule type="aboveAverage" dxfId="2600" priority="251"/>
  </conditionalFormatting>
  <conditionalFormatting sqref="D21 C22">
    <cfRule type="aboveAverage" dxfId="2599" priority="250"/>
  </conditionalFormatting>
  <conditionalFormatting sqref="E21 C23">
    <cfRule type="aboveAverage" dxfId="2598" priority="249"/>
  </conditionalFormatting>
  <conditionalFormatting sqref="F21 C24">
    <cfRule type="aboveAverage" dxfId="2597" priority="248"/>
  </conditionalFormatting>
  <conditionalFormatting sqref="E22 D23">
    <cfRule type="aboveAverage" dxfId="2596" priority="247"/>
  </conditionalFormatting>
  <conditionalFormatting sqref="G21 C25">
    <cfRule type="aboveAverage" dxfId="2595" priority="246"/>
  </conditionalFormatting>
  <conditionalFormatting sqref="F22 D24">
    <cfRule type="aboveAverage" dxfId="2594" priority="245"/>
  </conditionalFormatting>
  <conditionalFormatting sqref="G22 D25">
    <cfRule type="aboveAverage" dxfId="2593" priority="244"/>
  </conditionalFormatting>
  <conditionalFormatting sqref="F23 E24">
    <cfRule type="aboveAverage" dxfId="2592" priority="243"/>
  </conditionalFormatting>
  <conditionalFormatting sqref="G23 E25">
    <cfRule type="aboveAverage" dxfId="2591" priority="242"/>
  </conditionalFormatting>
  <conditionalFormatting sqref="F25 G24">
    <cfRule type="aboveAverage" dxfId="2590" priority="241"/>
  </conditionalFormatting>
  <conditionalFormatting sqref="D28 C29">
    <cfRule type="aboveAverage" dxfId="2589" priority="240"/>
  </conditionalFormatting>
  <conditionalFormatting sqref="E28 C30">
    <cfRule type="aboveAverage" dxfId="2588" priority="239"/>
  </conditionalFormatting>
  <conditionalFormatting sqref="F28 C31">
    <cfRule type="aboveAverage" dxfId="2587" priority="238"/>
  </conditionalFormatting>
  <conditionalFormatting sqref="E29 D30">
    <cfRule type="aboveAverage" dxfId="2586" priority="237"/>
  </conditionalFormatting>
  <conditionalFormatting sqref="G28 C32">
    <cfRule type="aboveAverage" dxfId="2585" priority="236"/>
  </conditionalFormatting>
  <conditionalFormatting sqref="F29 D31">
    <cfRule type="aboveAverage" dxfId="2584" priority="235"/>
  </conditionalFormatting>
  <conditionalFormatting sqref="G29 D32">
    <cfRule type="aboveAverage" dxfId="2583" priority="234"/>
  </conditionalFormatting>
  <conditionalFormatting sqref="F30 E31">
    <cfRule type="aboveAverage" dxfId="2582" priority="233"/>
  </conditionalFormatting>
  <conditionalFormatting sqref="G30 E32">
    <cfRule type="aboveAverage" dxfId="2581" priority="232"/>
  </conditionalFormatting>
  <conditionalFormatting sqref="F32 G31">
    <cfRule type="aboveAverage" dxfId="2580" priority="231"/>
  </conditionalFormatting>
  <conditionalFormatting sqref="H14:H18">
    <cfRule type="expression" dxfId="2579" priority="177">
      <formula>AND(Q14=4,IF(COUNTIF(Q$14:Q$18,"=4")&gt;=2,TRUE))</formula>
    </cfRule>
    <cfRule type="expression" dxfId="2578" priority="271">
      <formula>AND(Q14=3,IF(COUNTIF(Q$14:Q$18,"=3")&gt;=2,TRUE))</formula>
    </cfRule>
    <cfRule type="expression" dxfId="2577" priority="272">
      <formula>AND(Q14=2,IF(COUNTIF(Q$14:Q$18,"=2")&gt;=2,TRUE))</formula>
    </cfRule>
    <cfRule type="expression" dxfId="2576" priority="273">
      <formula>AND(Q14=1,IF(COUNTIF(Q$14:Q$18,"=1")&gt;=2,TRUE))</formula>
    </cfRule>
  </conditionalFormatting>
  <conditionalFormatting sqref="B7:B32">
    <cfRule type="duplicateValues" dxfId="2575" priority="230"/>
  </conditionalFormatting>
  <conditionalFormatting sqref="L7:L11">
    <cfRule type="expression" dxfId="2574" priority="213">
      <formula>K7=0</formula>
    </cfRule>
    <cfRule type="expression" dxfId="2573" priority="222">
      <formula>IF(COUNTIF(J$7:J$11,"=2")=2,TRUE)</formula>
    </cfRule>
    <cfRule type="expression" dxfId="2572" priority="223">
      <formula>IF(COUNTIF(J$7:J$11,"=1")=2,TRUE)</formula>
    </cfRule>
    <cfRule type="expression" dxfId="2571" priority="224">
      <formula>AND(IF(COUNTIF(Q$7:Q$11,"=1")=2,TRUE),IF(COUNTIF(Q$7:Q$11,"=2")=2,TRUE))</formula>
    </cfRule>
    <cfRule type="expression" dxfId="2570" priority="225">
      <formula>AND(Q7=4,IF(COUNTIF(Q$7:Q$11,"=4")=1,TRUE))</formula>
    </cfRule>
    <cfRule type="expression" dxfId="2569" priority="226">
      <formula>AND(Q7=3,IF(COUNTIF(Q$7:Q$11,"=3")=1,TRUE))</formula>
    </cfRule>
    <cfRule type="expression" dxfId="2568" priority="227">
      <formula>AND(Q7=2,IF(COUNTIF(Q$7:Q$11,"=2")=1,TRUE))</formula>
    </cfRule>
    <cfRule type="expression" dxfId="2567" priority="228">
      <formula>AND(Q7=1,IF(COUNTIF(Q$7:Q$11,"=1")=1,TRUE))</formula>
    </cfRule>
    <cfRule type="expression" dxfId="2566" priority="229">
      <formula>OR(Q7=0,Q7=5)</formula>
    </cfRule>
  </conditionalFormatting>
  <conditionalFormatting sqref="O7:O11">
    <cfRule type="expression" dxfId="2565" priority="221">
      <formula>OR(AND(J7=1,K7=1,L7=0,M7=1),AND(J7=2,K7=2,L7=0,M7=2))</formula>
    </cfRule>
  </conditionalFormatting>
  <conditionalFormatting sqref="M7:M11">
    <cfRule type="expression" dxfId="2564" priority="214">
      <formula>AND(L7&gt;0,IF(COUNTIF(L$7:L$11,L7)&gt;1,TRUE,FALSE))</formula>
    </cfRule>
    <cfRule type="expression" dxfId="2563" priority="215">
      <formula>AND(IF(COUNTIF(R$7:R$11,"=1")=2,TRUE),IF(COUNTIF(R$7:R$11,"=2")=2,TRUE))</formula>
    </cfRule>
    <cfRule type="expression" dxfId="2562" priority="216">
      <formula>AND(R7=4,IF(COUNTIF(R$7:R$11,"=4")=1,TRUE))</formula>
    </cfRule>
    <cfRule type="expression" dxfId="2561" priority="217">
      <formula>AND(R7=3,IF(COUNTIF(R$7:R$11,"=3")=1,TRUE))</formula>
    </cfRule>
    <cfRule type="expression" dxfId="2560" priority="218">
      <formula>AND(R7=2,IF(COUNTIF(R$7:R$11,"=2")=1,TRUE))</formula>
    </cfRule>
    <cfRule type="expression" dxfId="2559" priority="219">
      <formula>AND(R7=1,IF(COUNTIF(R$7:R$11,"=1")=1,TRUE))</formula>
    </cfRule>
    <cfRule type="expression" dxfId="2558" priority="220">
      <formula>OR(R7=0,R7=5)</formula>
    </cfRule>
  </conditionalFormatting>
  <conditionalFormatting sqref="J7:J11">
    <cfRule type="expression" dxfId="2557" priority="209">
      <formula>AND(Q7=4,IF(COUNTIF(Q$7:Q$11,"=4")&gt;=2,TRUE))</formula>
    </cfRule>
    <cfRule type="expression" dxfId="2556" priority="210">
      <formula>AND(Q7=3,IF(COUNTIF(Q$7:Q$11,"=3")&gt;=2,TRUE))</formula>
    </cfRule>
    <cfRule type="expression" dxfId="2555" priority="211">
      <formula>AND(Q7=2,IF(COUNTIF(Q$7:Q$11,"=2")&gt;=2,TRUE))</formula>
    </cfRule>
    <cfRule type="expression" dxfId="2554" priority="212">
      <formula>AND(Q7=1,IF(COUNTIF(Q$7:Q$11,"=1")&gt;=2,TRUE))</formula>
    </cfRule>
  </conditionalFormatting>
  <conditionalFormatting sqref="H7:H11">
    <cfRule type="expression" dxfId="2553" priority="178">
      <formula>AND(Q7=4,IF(COUNTIF(Q$7:Q$11,"=4")&gt;=2,TRUE))</formula>
    </cfRule>
    <cfRule type="expression" dxfId="2552" priority="274">
      <formula>AND(Q7=3,IF(COUNTIF(Q$7:Q$11,"=3")&gt;=2,TRUE))</formula>
    </cfRule>
    <cfRule type="expression" dxfId="2551" priority="275">
      <formula>AND(Q7=2,IF(COUNTIF(Q$7:Q$11,"=2")&gt;=2,TRUE))</formula>
    </cfRule>
    <cfRule type="expression" dxfId="2550" priority="276">
      <formula>AND(Q7=1,IF(COUNTIF(Q$7:Q$11,"=1")&gt;=2,TRUE))</formula>
    </cfRule>
  </conditionalFormatting>
  <conditionalFormatting sqref="K7:K11">
    <cfRule type="expression" dxfId="2549" priority="277">
      <formula>AND(J7&gt;0,IF(COUNTIF(J$7:J$11,"=1")=2,TRUE),IF(COUNTIF(J$7:J$11,"=2")=2,TRUE))</formula>
    </cfRule>
    <cfRule type="expression" dxfId="2548" priority="278">
      <formula>IF(COUNTIF(L$7:L$11,"=2")=2,TRUE)</formula>
    </cfRule>
    <cfRule type="expression" dxfId="2547" priority="279">
      <formula>IF(COUNTIF(L$7:L$11,"=1")=2,TRUE)</formula>
    </cfRule>
    <cfRule type="expression" dxfId="2546" priority="280">
      <formula>AND(IF(COUNTIF(R$7:R$11,"=1")=2,TRUE),IF(COUNTIF(S$7:S$11,"=2")=2,TRUE))</formula>
    </cfRule>
    <cfRule type="expression" dxfId="2545" priority="281">
      <formula>AND(R7=4,IF(COUNTIF(R$7:R$11,"=4")=1,TRUE))</formula>
    </cfRule>
    <cfRule type="expression" dxfId="2544" priority="282">
      <formula>AND(R7=3,IF(COUNTIF(R$7:R$11,"=3")=1,TRUE))</formula>
    </cfRule>
    <cfRule type="expression" dxfId="2543" priority="283">
      <formula>AND(R7=2,IF(COUNTIF(R$7:R$11,"=2")=1,TRUE))</formula>
    </cfRule>
    <cfRule type="expression" dxfId="2542" priority="284">
      <formula>AND(R7=1,IF(COUNTIF(R$7:R$11,"=1")=1,TRUE))</formula>
    </cfRule>
    <cfRule type="expression" dxfId="2541" priority="285">
      <formula>OR(R7=0,R7=5)</formula>
    </cfRule>
  </conditionalFormatting>
  <conditionalFormatting sqref="L14:L18">
    <cfRule type="expression" dxfId="2540" priority="183">
      <formula>K14=0</formula>
    </cfRule>
    <cfRule type="expression" dxfId="2539" priority="192">
      <formula>IF(COUNTIF(J$14:J$18,"=2")=2,TRUE)</formula>
    </cfRule>
    <cfRule type="expression" dxfId="2538" priority="193">
      <formula>IF(COUNTIF(J$14:J$18,"=1")=2,TRUE)</formula>
    </cfRule>
    <cfRule type="expression" dxfId="2537" priority="194">
      <formula>AND(IF(COUNTIF(Q$14:Q$18,"=1")=2,TRUE),IF(COUNTIF(Q$14:Q$18,"=2")=2,TRUE))</formula>
    </cfRule>
    <cfRule type="expression" dxfId="2536" priority="195">
      <formula>AND(Q14=4,IF(COUNTIF(Q$14:Q$18,"=4")=1,TRUE))</formula>
    </cfRule>
    <cfRule type="expression" dxfId="2535" priority="196">
      <formula>AND(Q14=3,IF(COUNTIF(Q$14:Q$18,"=3")=1,TRUE))</formula>
    </cfRule>
    <cfRule type="expression" dxfId="2534" priority="197">
      <formula>AND(Q14=2,IF(COUNTIF(Q$14:Q$18,"=2")=1,TRUE))</formula>
    </cfRule>
    <cfRule type="expression" dxfId="2533" priority="198">
      <formula>AND(Q14=1,IF(COUNTIF(Q$14:Q$18,"=1")=1,TRUE))</formula>
    </cfRule>
    <cfRule type="expression" dxfId="2532" priority="199">
      <formula>OR(Q14=0,Q14=5)</formula>
    </cfRule>
  </conditionalFormatting>
  <conditionalFormatting sqref="O14:O18">
    <cfRule type="expression" dxfId="2531" priority="191">
      <formula>OR(AND(J14=1,K14=1,L14=0,M14=1),AND(J14=2,K14=2,L14=0,M14=2))</formula>
    </cfRule>
  </conditionalFormatting>
  <conditionalFormatting sqref="M14:M18">
    <cfRule type="expression" dxfId="2530" priority="184">
      <formula>AND(L14&gt;0,IF(COUNTIF(L$14:L$18,L14)&gt;1,TRUE,FALSE))</formula>
    </cfRule>
    <cfRule type="expression" dxfId="2529" priority="185">
      <formula>AND(IF(COUNTIF(R$14:R$18,"=1")=2,TRUE),IF(COUNTIF(R$14:R$18,"=2")=2,TRUE))</formula>
    </cfRule>
    <cfRule type="expression" dxfId="2528" priority="186">
      <formula>AND(R14=4,IF(COUNTIF(R$14:R$18,"=4")=1,TRUE))</formula>
    </cfRule>
    <cfRule type="expression" dxfId="2527" priority="187">
      <formula>AND(R14=3,IF(COUNTIF(R$14:R$18,"=3")=1,TRUE))</formula>
    </cfRule>
    <cfRule type="expression" dxfId="2526" priority="188">
      <formula>AND(R14=2,IF(COUNTIF(R$14:R$18,"=2")=1,TRUE))</formula>
    </cfRule>
    <cfRule type="expression" dxfId="2525" priority="189">
      <formula>AND(R14=1,IF(COUNTIF(R$14:R$18,"=1")=1,TRUE))</formula>
    </cfRule>
    <cfRule type="expression" dxfId="2524" priority="190">
      <formula>OR(R14=0,R14=5)</formula>
    </cfRule>
  </conditionalFormatting>
  <conditionalFormatting sqref="J14:J18">
    <cfRule type="expression" dxfId="2523" priority="179">
      <formula>AND(Q14=4,IF(COUNTIF(Q$14:Q$18,"=4")&gt;=2,TRUE))</formula>
    </cfRule>
    <cfRule type="expression" dxfId="2522" priority="180">
      <formula>AND(Q14=3,IF(COUNTIF(Q$14:Q$18,"=3")&gt;=2,TRUE))</formula>
    </cfRule>
    <cfRule type="expression" dxfId="2521" priority="181">
      <formula>AND(Q14=2,IF(COUNTIF(Q$14:Q$18,"=2")&gt;=2,TRUE))</formula>
    </cfRule>
    <cfRule type="expression" dxfId="2520" priority="182">
      <formula>AND(Q14=1,IF(COUNTIF(Q$14:Q$18,"=1")&gt;=2,TRUE))</formula>
    </cfRule>
  </conditionalFormatting>
  <conditionalFormatting sqref="K14:K18">
    <cfRule type="expression" dxfId="2519" priority="200">
      <formula>AND(J14&gt;0,IF(COUNTIF(J$14:J$18,"=1")=2,TRUE),IF(COUNTIF(J$14:J$18,"=2")=2,TRUE))</formula>
    </cfRule>
    <cfRule type="expression" dxfId="2518" priority="201">
      <formula>IF(COUNTIF(L$14:L$18,"=2")=2,TRUE)</formula>
    </cfRule>
    <cfRule type="expression" dxfId="2517" priority="202">
      <formula>IF(COUNTIF(L$14:L$18,"=1")=2,TRUE)</formula>
    </cfRule>
    <cfRule type="expression" dxfId="2516" priority="203">
      <formula>AND(IF(COUNTIF(R$14:R$18,"=1")=2,TRUE),IF(COUNTIF(S$14:S$18,"=2")=2,TRUE))</formula>
    </cfRule>
    <cfRule type="expression" dxfId="2515" priority="204">
      <formula>AND(R14=4,IF(COUNTIF(R$14:R$18,"=4")=1,TRUE))</formula>
    </cfRule>
    <cfRule type="expression" dxfId="2514" priority="205">
      <formula>AND(R14=3,IF(COUNTIF(R$14:R$18,"=3")=1,TRUE))</formula>
    </cfRule>
    <cfRule type="expression" dxfId="2513" priority="206">
      <formula>AND(R14=2,IF(COUNTIF(R$14:R$18,"=2")=1,TRUE))</formula>
    </cfRule>
    <cfRule type="expression" dxfId="2512" priority="207">
      <formula>AND(R14=1,IF(COUNTIF(R$14:R$18,"=1")=1,TRUE))</formula>
    </cfRule>
    <cfRule type="expression" dxfId="2511" priority="208">
      <formula>OR(R14=0,R14=5)</formula>
    </cfRule>
  </conditionalFormatting>
  <conditionalFormatting sqref="L21:L25">
    <cfRule type="expression" dxfId="2510" priority="151">
      <formula>K21=0</formula>
    </cfRule>
    <cfRule type="expression" dxfId="2509" priority="160">
      <formula>IF(COUNTIF(J$21:J$25,"=2")=2,TRUE)</formula>
    </cfRule>
    <cfRule type="expression" dxfId="2508" priority="161">
      <formula>IF(COUNTIF(J$21:J$25,"=1")=2,TRUE)</formula>
    </cfRule>
    <cfRule type="expression" dxfId="2507" priority="162">
      <formula>AND(IF(COUNTIF(Q$21:Q$25,"=1")=2,TRUE),IF(COUNTIF(Q$21:Q$25,"=2")=2,TRUE))</formula>
    </cfRule>
    <cfRule type="expression" dxfId="2506" priority="163">
      <formula>AND(Q21=4,IF(COUNTIF(Q$21:Q$25,"=4")=1,TRUE))</formula>
    </cfRule>
    <cfRule type="expression" dxfId="2505" priority="164">
      <formula>AND(Q21=3,IF(COUNTIF(Q$21:Q$25,"=3")=1,TRUE))</formula>
    </cfRule>
    <cfRule type="expression" dxfId="2504" priority="165">
      <formula>AND(Q21=2,IF(COUNTIF(Q$21:Q$25,"=2")=1,TRUE))</formula>
    </cfRule>
    <cfRule type="expression" dxfId="2503" priority="166">
      <formula>AND(Q21=1,IF(COUNTIF(Q$21:Q$25,"=1")=1,TRUE))</formula>
    </cfRule>
    <cfRule type="expression" dxfId="2502" priority="167">
      <formula>OR(Q21=0,Q21=5)</formula>
    </cfRule>
  </conditionalFormatting>
  <conditionalFormatting sqref="O21:O25">
    <cfRule type="expression" dxfId="2501" priority="159">
      <formula>OR(AND(J21=1,K21=1,L21=0,M21=1),AND(J21=2,K21=2,L21=0,M21=2))</formula>
    </cfRule>
  </conditionalFormatting>
  <conditionalFormatting sqref="M21:M25">
    <cfRule type="expression" dxfId="2500" priority="152">
      <formula>AND(L21&gt;0,IF(COUNTIF(L$21:L$25,L21)&gt;1,TRUE,FALSE))</formula>
    </cfRule>
    <cfRule type="expression" dxfId="2499" priority="153">
      <formula>AND(IF(COUNTIF(R$21:R$25,"=1")=2,TRUE),IF(COUNTIF(R$21:R$25,"=2")=2,TRUE))</formula>
    </cfRule>
    <cfRule type="expression" dxfId="2498" priority="154">
      <formula>AND(R21=4,IF(COUNTIF(R$21:R$25,"=4")=1,TRUE))</formula>
    </cfRule>
    <cfRule type="expression" dxfId="2497" priority="155">
      <formula>AND(R21=3,IF(COUNTIF(R$21:R$25,"=3")=1,TRUE))</formula>
    </cfRule>
    <cfRule type="expression" dxfId="2496" priority="156">
      <formula>AND(R21=2,IF(COUNTIF(R$21:R$25,"=2")=1,TRUE))</formula>
    </cfRule>
    <cfRule type="expression" dxfId="2495" priority="157">
      <formula>AND(R21=1,IF(COUNTIF(R$21:R$25,"=1")=1,TRUE))</formula>
    </cfRule>
    <cfRule type="expression" dxfId="2494" priority="158">
      <formula>OR(R21=0,R21=5)</formula>
    </cfRule>
  </conditionalFormatting>
  <conditionalFormatting sqref="J21:J25">
    <cfRule type="expression" dxfId="2493" priority="147">
      <formula>AND(Q21=4,IF(COUNTIF(Q$21:Q$25,"=4")&gt;=2,TRUE))</formula>
    </cfRule>
    <cfRule type="expression" dxfId="2492" priority="148">
      <formula>AND(Q21=3,IF(COUNTIF(Q$21:Q$25,"=3")&gt;=2,TRUE))</formula>
    </cfRule>
    <cfRule type="expression" dxfId="2491" priority="149">
      <formula>AND(Q21=2,IF(COUNTIF(Q$21:Q$25,"=2")&gt;=2,TRUE))</formula>
    </cfRule>
    <cfRule type="expression" dxfId="2490" priority="150">
      <formula>AND(Q21=1,IF(COUNTIF(Q$21:Q$25,"=1")&gt;=2,TRUE))</formula>
    </cfRule>
  </conditionalFormatting>
  <conditionalFormatting sqref="K21:K25">
    <cfRule type="expression" dxfId="2489" priority="168">
      <formula>AND(J21&gt;0,IF(COUNTIF(J$21:J$25,"=1")=2,TRUE),IF(COUNTIF(J$21:J$25,"=2")=2,TRUE))</formula>
    </cfRule>
    <cfRule type="expression" dxfId="2488" priority="169">
      <formula>IF(COUNTIF(L$21:L$25,"=2")=2,TRUE)</formula>
    </cfRule>
    <cfRule type="expression" dxfId="2487" priority="170">
      <formula>IF(COUNTIF(L$21:L$25,"=1")=2,TRUE)</formula>
    </cfRule>
    <cfRule type="expression" dxfId="2486" priority="171">
      <formula>AND(IF(COUNTIF(R$21:R$25,"=1")=2,TRUE),IF(COUNTIF(S$21:S$25,"=2")=2,TRUE))</formula>
    </cfRule>
    <cfRule type="expression" dxfId="2485" priority="172">
      <formula>AND(R21=4,IF(COUNTIF(R$21:R$25,"=4")=1,TRUE))</formula>
    </cfRule>
    <cfRule type="expression" dxfId="2484" priority="173">
      <formula>AND(R21=3,IF(COUNTIF(R$21:R$25,"=3")=1,TRUE))</formula>
    </cfRule>
    <cfRule type="expression" dxfId="2483" priority="174">
      <formula>AND(R21=2,IF(COUNTIF(R$21:R$25,"=2")=1,TRUE))</formula>
    </cfRule>
    <cfRule type="expression" dxfId="2482" priority="175">
      <formula>AND(R21=1,IF(COUNTIF(R$21:R$25,"=1")=1,TRUE))</formula>
    </cfRule>
    <cfRule type="expression" dxfId="2481" priority="176">
      <formula>OR(R21=0,R21=5)</formula>
    </cfRule>
  </conditionalFormatting>
  <conditionalFormatting sqref="H21:H25">
    <cfRule type="expression" dxfId="2480" priority="143">
      <formula>AND(Q21=4,IF(COUNTIF(Q$21:Q$25,"=4")&gt;=2,TRUE))</formula>
    </cfRule>
    <cfRule type="expression" dxfId="2479" priority="144">
      <formula>AND(Q21=3,IF(COUNTIF(Q$21:Q$25,"=3")&gt;=2,TRUE))</formula>
    </cfRule>
    <cfRule type="expression" dxfId="2478" priority="145">
      <formula>AND(Q21=2,IF(COUNTIF(Q$21:Q$25,"=2")&gt;=2,TRUE))</formula>
    </cfRule>
    <cfRule type="expression" dxfId="2477" priority="146">
      <formula>AND(Q21=1,IF(COUNTIF(Q$21:Q$25,"=1")&gt;=2,TRUE))</formula>
    </cfRule>
  </conditionalFormatting>
  <conditionalFormatting sqref="L28:L32">
    <cfRule type="expression" dxfId="2476" priority="117">
      <formula>K28=0</formula>
    </cfRule>
    <cfRule type="expression" dxfId="2475" priority="126">
      <formula>IF(COUNTIF(J$28:J$32,"=2")=2,TRUE)</formula>
    </cfRule>
    <cfRule type="expression" dxfId="2474" priority="127">
      <formula>IF(COUNTIF(J$28:J$32,"=1")=2,TRUE)</formula>
    </cfRule>
    <cfRule type="expression" dxfId="2473" priority="128">
      <formula>AND(IF(COUNTIF(Q$28:Q$32,"=1")=2,TRUE),IF(COUNTIF(Q$28:Q$32,"=2")=2,TRUE))</formula>
    </cfRule>
    <cfRule type="expression" dxfId="2472" priority="129">
      <formula>AND(Q28=4,IF(COUNTIF(Q$28:Q$32,"=4")=1,TRUE))</formula>
    </cfRule>
    <cfRule type="expression" dxfId="2471" priority="130">
      <formula>AND(Q28=3,IF(COUNTIF(Q$28:Q$32,"=3")=1,TRUE))</formula>
    </cfRule>
    <cfRule type="expression" dxfId="2470" priority="131">
      <formula>AND(Q28=2,IF(COUNTIF(Q$28:Q$32,"=2")=1,TRUE))</formula>
    </cfRule>
    <cfRule type="expression" dxfId="2469" priority="132">
      <formula>AND(Q28=1,IF(COUNTIF(Q$28:Q$32,"=1")=1,TRUE))</formula>
    </cfRule>
    <cfRule type="expression" dxfId="2468" priority="133">
      <formula>OR(Q28=0,Q28=5)</formula>
    </cfRule>
  </conditionalFormatting>
  <conditionalFormatting sqref="O28:O32">
    <cfRule type="expression" dxfId="2467" priority="125">
      <formula>OR(AND(J28=1,K28=1,L28=0,M28=1),AND(J28=2,K28=2,L28=0,M28=2))</formula>
    </cfRule>
  </conditionalFormatting>
  <conditionalFormatting sqref="M28:M32">
    <cfRule type="expression" dxfId="2466" priority="118">
      <formula>AND(L28&gt;0,IF(COUNTIF(L$28:L$32,L28)&gt;1,TRUE,FALSE))</formula>
    </cfRule>
    <cfRule type="expression" dxfId="2465" priority="119">
      <formula>AND(IF(COUNTIF(R$28:R$32,"=1")=2,TRUE),IF(COUNTIF(R$28:R$32,"=2")=2,TRUE))</formula>
    </cfRule>
    <cfRule type="expression" dxfId="2464" priority="120">
      <formula>AND(R28=4,IF(COUNTIF(R$28:R$32,"=4")=1,TRUE))</formula>
    </cfRule>
    <cfRule type="expression" dxfId="2463" priority="121">
      <formula>AND(R28=3,IF(COUNTIF(R$28:R$32,"=3")=1,TRUE))</formula>
    </cfRule>
    <cfRule type="expression" dxfId="2462" priority="122">
      <formula>AND(R28=2,IF(COUNTIF(R$28:R$32,"=2")=1,TRUE))</formula>
    </cfRule>
    <cfRule type="expression" dxfId="2461" priority="123">
      <formula>AND(R28=1,IF(COUNTIF(R$28:R$32,"=1")=1,TRUE))</formula>
    </cfRule>
    <cfRule type="expression" dxfId="2460" priority="124">
      <formula>OR(R28=0,R28=5)</formula>
    </cfRule>
  </conditionalFormatting>
  <conditionalFormatting sqref="J28:J32">
    <cfRule type="expression" dxfId="2459" priority="113">
      <formula>AND(Q28=4,IF(COUNTIF(Q$28:Q$32,"=4")&gt;=2,TRUE))</formula>
    </cfRule>
    <cfRule type="expression" dxfId="2458" priority="114">
      <formula>AND(Q28=3,IF(COUNTIF(Q$28:Q$32,"=3")&gt;=2,TRUE))</formula>
    </cfRule>
    <cfRule type="expression" dxfId="2457" priority="115">
      <formula>AND(Q28=2,IF(COUNTIF(Q$28:Q$32,"=2")&gt;=2,TRUE))</formula>
    </cfRule>
    <cfRule type="expression" dxfId="2456" priority="116">
      <formula>AND(Q28=1,IF(COUNTIF(Q$28:Q$32,"=1")&gt;=2,TRUE))</formula>
    </cfRule>
  </conditionalFormatting>
  <conditionalFormatting sqref="K28:K32">
    <cfRule type="expression" dxfId="2455" priority="134">
      <formula>AND(J28&gt;0,IF(COUNTIF(J$28:J$32,"=1")=2,TRUE),IF(COUNTIF(J$28:J$32,"=2")=2,TRUE))</formula>
    </cfRule>
    <cfRule type="expression" dxfId="2454" priority="135">
      <formula>IF(COUNTIF(L$28:L$32,"=2")=2,TRUE)</formula>
    </cfRule>
    <cfRule type="expression" dxfId="2453" priority="136">
      <formula>IF(COUNTIF(L$28:L$32,"=1")=2,TRUE)</formula>
    </cfRule>
    <cfRule type="expression" dxfId="2452" priority="137">
      <formula>AND(IF(COUNTIF(R$28:R$32,"=1")=2,TRUE),IF(COUNTIF(S$28:S$32,"=2")=2,TRUE))</formula>
    </cfRule>
    <cfRule type="expression" dxfId="2451" priority="138">
      <formula>AND(R28=4,IF(COUNTIF(R$28:R$32,"=4")=1,TRUE))</formula>
    </cfRule>
    <cfRule type="expression" dxfId="2450" priority="139">
      <formula>AND(R28=3,IF(COUNTIF(R$28:R$32,"=3")=1,TRUE))</formula>
    </cfRule>
    <cfRule type="expression" dxfId="2449" priority="140">
      <formula>AND(R28=2,IF(COUNTIF(R$28:R$32,"=2")=1,TRUE))</formula>
    </cfRule>
    <cfRule type="expression" dxfId="2448" priority="141">
      <formula>AND(R28=1,IF(COUNTIF(R$28:R$32,"=1")=1,TRUE))</formula>
    </cfRule>
    <cfRule type="expression" dxfId="2447" priority="142">
      <formula>OR(R28=0,R28=5)</formula>
    </cfRule>
  </conditionalFormatting>
  <conditionalFormatting sqref="H28:H32">
    <cfRule type="expression" dxfId="2446" priority="109">
      <formula>AND(Q28=4,IF(COUNTIF(Q$28:Q$32,"=4")&gt;=2,TRUE))</formula>
    </cfRule>
    <cfRule type="expression" dxfId="2445" priority="110">
      <formula>AND(Q28=3,IF(COUNTIF(Q$28:Q$32,"=3")&gt;=2,TRUE))</formula>
    </cfRule>
    <cfRule type="expression" dxfId="2444" priority="111">
      <formula>AND(Q28=2,IF(COUNTIF(Q$28:Q$32,"=2")&gt;=2,TRUE))</formula>
    </cfRule>
    <cfRule type="expression" dxfId="2443" priority="112">
      <formula>AND(Q28=1,IF(COUNTIF(Q$28:Q$32,"=1")&gt;=2,TRUE))</formula>
    </cfRule>
  </conditionalFormatting>
  <conditionalFormatting sqref="B100:H147 B155:H160 B172:H174 B161:B171 B148:B154 D148:H154 H161:H171">
    <cfRule type="containsText" dxfId="2442" priority="108" operator="containsText" text="I-Viru">
      <formula>NOT(ISERROR(SEARCH("I-Viru",B100)))</formula>
    </cfRule>
  </conditionalFormatting>
  <conditionalFormatting sqref="A102:A116">
    <cfRule type="cellIs" dxfId="2441" priority="106" operator="equal">
      <formula>"-"</formula>
    </cfRule>
    <cfRule type="duplicateValues" dxfId="2440" priority="107"/>
  </conditionalFormatting>
  <conditionalFormatting sqref="G124 G128">
    <cfRule type="aboveAverage" dxfId="2439" priority="105"/>
  </conditionalFormatting>
  <conditionalFormatting sqref="G131 G133">
    <cfRule type="aboveAverage" dxfId="2438" priority="104"/>
  </conditionalFormatting>
  <conditionalFormatting sqref="G124 G128 G131 G133">
    <cfRule type="containsBlanks" dxfId="2437" priority="103">
      <formula>LEN(TRIM(G124))=0</formula>
    </cfRule>
  </conditionalFormatting>
  <conditionalFormatting sqref="C106 C108">
    <cfRule type="aboveAverage" dxfId="2436" priority="102"/>
  </conditionalFormatting>
  <conditionalFormatting sqref="C110 C112">
    <cfRule type="aboveAverage" dxfId="2435" priority="101"/>
  </conditionalFormatting>
  <conditionalFormatting sqref="C114 C116">
    <cfRule type="aboveAverage" dxfId="2434" priority="100"/>
  </conditionalFormatting>
  <conditionalFormatting sqref="C106 C108 C110 C112 C114 C116">
    <cfRule type="containsBlanks" dxfId="2433" priority="99">
      <formula>LEN(TRIM(C106))=0</formula>
    </cfRule>
  </conditionalFormatting>
  <conditionalFormatting sqref="C102 C104">
    <cfRule type="aboveAverage" dxfId="2432" priority="98"/>
  </conditionalFormatting>
  <conditionalFormatting sqref="C102 C104">
    <cfRule type="containsBlanks" dxfId="2431" priority="97">
      <formula>LEN(TRIM(C102))=0</formula>
    </cfRule>
  </conditionalFormatting>
  <conditionalFormatting sqref="E123 E125">
    <cfRule type="aboveAverage" dxfId="2430" priority="96"/>
  </conditionalFormatting>
  <conditionalFormatting sqref="E123 E125">
    <cfRule type="containsBlanks" dxfId="2429" priority="95">
      <formula>LEN(TRIM(E123))=0</formula>
    </cfRule>
  </conditionalFormatting>
  <conditionalFormatting sqref="E127 E129">
    <cfRule type="aboveAverage" dxfId="2428" priority="94"/>
  </conditionalFormatting>
  <conditionalFormatting sqref="E127 E129">
    <cfRule type="containsBlanks" dxfId="2427" priority="93">
      <formula>LEN(TRIM(E127))=0</formula>
    </cfRule>
  </conditionalFormatting>
  <conditionalFormatting sqref="G117 G119">
    <cfRule type="aboveAverage" dxfId="2426" priority="92"/>
  </conditionalFormatting>
  <conditionalFormatting sqref="G117 G119">
    <cfRule type="containsBlanks" dxfId="2425" priority="91">
      <formula>LEN(TRIM(G117))=0</formula>
    </cfRule>
  </conditionalFormatting>
  <conditionalFormatting sqref="G105">
    <cfRule type="aboveAverage" dxfId="2424" priority="90"/>
  </conditionalFormatting>
  <conditionalFormatting sqref="G105">
    <cfRule type="containsBlanks" dxfId="2423" priority="89">
      <formula>LEN(TRIM(G105))=0</formula>
    </cfRule>
  </conditionalFormatting>
  <conditionalFormatting sqref="G113">
    <cfRule type="aboveAverage" dxfId="2422" priority="88"/>
  </conditionalFormatting>
  <conditionalFormatting sqref="G113">
    <cfRule type="containsBlanks" dxfId="2421" priority="87">
      <formula>LEN(TRIM(G113))=0</formula>
    </cfRule>
  </conditionalFormatting>
  <conditionalFormatting sqref="E103">
    <cfRule type="aboveAverage" dxfId="2420" priority="86"/>
  </conditionalFormatting>
  <conditionalFormatting sqref="E103">
    <cfRule type="containsBlanks" dxfId="2419" priority="85">
      <formula>LEN(TRIM(E103))=0</formula>
    </cfRule>
  </conditionalFormatting>
  <conditionalFormatting sqref="E111">
    <cfRule type="aboveAverage" dxfId="2418" priority="84"/>
  </conditionalFormatting>
  <conditionalFormatting sqref="E111">
    <cfRule type="containsBlanks" dxfId="2417" priority="83">
      <formula>LEN(TRIM(E111))=0</formula>
    </cfRule>
  </conditionalFormatting>
  <conditionalFormatting sqref="E107">
    <cfRule type="aboveAverage" dxfId="2416" priority="82"/>
  </conditionalFormatting>
  <conditionalFormatting sqref="E107">
    <cfRule type="containsBlanks" dxfId="2415" priority="81">
      <formula>LEN(TRIM(E107))=0</formula>
    </cfRule>
  </conditionalFormatting>
  <conditionalFormatting sqref="E115">
    <cfRule type="aboveAverage" dxfId="2414" priority="80"/>
  </conditionalFormatting>
  <conditionalFormatting sqref="E115">
    <cfRule type="containsBlanks" dxfId="2413" priority="79">
      <formula>LEN(TRIM(E115))=0</formula>
    </cfRule>
  </conditionalFormatting>
  <conditionalFormatting sqref="A140:A154">
    <cfRule type="cellIs" dxfId="2412" priority="77" operator="equal">
      <formula>"-"</formula>
    </cfRule>
    <cfRule type="duplicateValues" dxfId="2411" priority="78"/>
  </conditionalFormatting>
  <conditionalFormatting sqref="C144 C146">
    <cfRule type="aboveAverage" dxfId="2410" priority="73"/>
  </conditionalFormatting>
  <conditionalFormatting sqref="C144 C146">
    <cfRule type="containsBlanks" dxfId="2409" priority="70">
      <formula>LEN(TRIM(C144))=0</formula>
    </cfRule>
  </conditionalFormatting>
  <conditionalFormatting sqref="C140 C142">
    <cfRule type="aboveAverage" dxfId="2408" priority="69"/>
  </conditionalFormatting>
  <conditionalFormatting sqref="C140 C142">
    <cfRule type="containsBlanks" dxfId="2407" priority="68">
      <formula>LEN(TRIM(C140))=0</formula>
    </cfRule>
  </conditionalFormatting>
  <conditionalFormatting sqref="G155 G157">
    <cfRule type="aboveAverage" dxfId="2406" priority="67"/>
  </conditionalFormatting>
  <conditionalFormatting sqref="G155 G157">
    <cfRule type="containsBlanks" dxfId="2405" priority="66">
      <formula>LEN(TRIM(G155))=0</formula>
    </cfRule>
  </conditionalFormatting>
  <conditionalFormatting sqref="G143">
    <cfRule type="aboveAverage" dxfId="2404" priority="65"/>
  </conditionalFormatting>
  <conditionalFormatting sqref="G143">
    <cfRule type="containsBlanks" dxfId="2403" priority="64">
      <formula>LEN(TRIM(G143))=0</formula>
    </cfRule>
  </conditionalFormatting>
  <conditionalFormatting sqref="G151">
    <cfRule type="aboveAverage" dxfId="2402" priority="63"/>
  </conditionalFormatting>
  <conditionalFormatting sqref="G151">
    <cfRule type="containsBlanks" dxfId="2401" priority="62">
      <formula>LEN(TRIM(G151))=0</formula>
    </cfRule>
  </conditionalFormatting>
  <conditionalFormatting sqref="E141">
    <cfRule type="aboveAverage" dxfId="2400" priority="61"/>
  </conditionalFormatting>
  <conditionalFormatting sqref="E141">
    <cfRule type="containsBlanks" dxfId="2399" priority="60">
      <formula>LEN(TRIM(E141))=0</formula>
    </cfRule>
  </conditionalFormatting>
  <conditionalFormatting sqref="E149">
    <cfRule type="aboveAverage" dxfId="2398" priority="59"/>
  </conditionalFormatting>
  <conditionalFormatting sqref="E149">
    <cfRule type="containsBlanks" dxfId="2397" priority="58">
      <formula>LEN(TRIM(E149))=0</formula>
    </cfRule>
  </conditionalFormatting>
  <conditionalFormatting sqref="E145">
    <cfRule type="aboveAverage" dxfId="2396" priority="57"/>
  </conditionalFormatting>
  <conditionalFormatting sqref="E145">
    <cfRule type="containsBlanks" dxfId="2395" priority="56">
      <formula>LEN(TRIM(E145))=0</formula>
    </cfRule>
  </conditionalFormatting>
  <conditionalFormatting sqref="E153">
    <cfRule type="aboveAverage" dxfId="2394" priority="55"/>
  </conditionalFormatting>
  <conditionalFormatting sqref="E153">
    <cfRule type="containsBlanks" dxfId="2393" priority="54">
      <formula>LEN(TRIM(E153))=0</formula>
    </cfRule>
  </conditionalFormatting>
  <conditionalFormatting sqref="B300:B313">
    <cfRule type="expression" dxfId="2392" priority="31">
      <formula>A300=3</formula>
    </cfRule>
    <cfRule type="expression" dxfId="2391" priority="32">
      <formula>A300=2</formula>
    </cfRule>
    <cfRule type="expression" dxfId="2390" priority="33">
      <formula>A300=1</formula>
    </cfRule>
    <cfRule type="containsBlanks" dxfId="2389" priority="34">
      <formula>LEN(TRIM(B300))=0</formula>
    </cfRule>
    <cfRule type="duplicateValues" dxfId="2388" priority="35"/>
  </conditionalFormatting>
  <conditionalFormatting sqref="AJ7:AJ31">
    <cfRule type="expression" dxfId="2387" priority="24">
      <formula>AND(AI7="",FIND(",",AJ7))</formula>
    </cfRule>
    <cfRule type="expression" dxfId="2386" priority="26">
      <formula>AND(AI7="",COUNTIF(AJ7,"*,*")=0)</formula>
    </cfRule>
  </conditionalFormatting>
  <conditionalFormatting sqref="AH7:AH60">
    <cfRule type="expression" dxfId="2385" priority="27">
      <formula>AND(AG7="",FIND(",",AH7))</formula>
    </cfRule>
    <cfRule type="expression" dxfId="2384" priority="28">
      <formula>AND(AG7="",COUNTIF(AH7,"*,*")=0)</formula>
    </cfRule>
  </conditionalFormatting>
  <conditionalFormatting sqref="AL7:AL31">
    <cfRule type="expression" dxfId="2383" priority="29">
      <formula>AND(AK7="",FIND(",",AL7))</formula>
    </cfRule>
    <cfRule type="expression" dxfId="2382" priority="30">
      <formula>AND(AK7="",COUNTIF(AL7,"*,*")=0)</formula>
    </cfRule>
  </conditionalFormatting>
  <conditionalFormatting sqref="AF7:AF31">
    <cfRule type="expression" dxfId="2381" priority="25">
      <formula>AND(AE7="",COUNTIF(AF7,"*,*")=0)</formula>
    </cfRule>
  </conditionalFormatting>
  <conditionalFormatting sqref="AN7:AN31">
    <cfRule type="expression" dxfId="2380" priority="21">
      <formula>AND(AM7="",COUNTIF(AN7,"*,*")=0)</formula>
    </cfRule>
    <cfRule type="expression" dxfId="2379" priority="23">
      <formula>AND(AM7="",FIND(",",AN7))</formula>
    </cfRule>
  </conditionalFormatting>
  <conditionalFormatting sqref="AP7:AP31">
    <cfRule type="expression" dxfId="2378" priority="20">
      <formula>AND(AO7="",COUNTIF(AP7,"*,*")=0)</formula>
    </cfRule>
    <cfRule type="expression" dxfId="2377" priority="22">
      <formula>AND(AO7="",FIND(",",AP7))</formula>
    </cfRule>
  </conditionalFormatting>
  <conditionalFormatting sqref="I28:I32">
    <cfRule type="expression" dxfId="2376" priority="14">
      <formula>FIND(2,I28,1)</formula>
    </cfRule>
    <cfRule type="expression" dxfId="2375" priority="15">
      <formula>FIND(1,I28,1)</formula>
    </cfRule>
  </conditionalFormatting>
  <conditionalFormatting sqref="I21:I25">
    <cfRule type="expression" dxfId="2374" priority="16">
      <formula>FIND(2,I21,1)</formula>
    </cfRule>
    <cfRule type="expression" dxfId="2373" priority="17">
      <formula>FIND(1,I21,1)</formula>
    </cfRule>
  </conditionalFormatting>
  <conditionalFormatting sqref="I7:I11">
    <cfRule type="expression" dxfId="2372" priority="18">
      <formula>FIND(2,I7,1)</formula>
    </cfRule>
    <cfRule type="expression" dxfId="2371" priority="19">
      <formula>FIND(1,I7,1)</formula>
    </cfRule>
  </conditionalFormatting>
  <conditionalFormatting sqref="I14:I18">
    <cfRule type="expression" dxfId="2370" priority="12">
      <formula>FIND(2,I14,1)</formula>
    </cfRule>
    <cfRule type="expression" dxfId="2369" priority="13">
      <formula>FIND(1,I14,1)</formula>
    </cfRule>
  </conditionalFormatting>
  <conditionalFormatting sqref="C148 C150">
    <cfRule type="aboveAverage" dxfId="2368" priority="10"/>
  </conditionalFormatting>
  <conditionalFormatting sqref="C152 C154">
    <cfRule type="aboveAverage" dxfId="2367" priority="9"/>
  </conditionalFormatting>
  <conditionalFormatting sqref="C148 C150 C152 C154">
    <cfRule type="containsBlanks" dxfId="2366" priority="8">
      <formula>LEN(TRIM(C148))=0</formula>
    </cfRule>
  </conditionalFormatting>
  <conditionalFormatting sqref="G162 G166 G169 G171">
    <cfRule type="containsBlanks" dxfId="2365" priority="5">
      <formula>LEN(TRIM(G162))=0</formula>
    </cfRule>
  </conditionalFormatting>
  <conditionalFormatting sqref="E161 E163">
    <cfRule type="containsBlanks" dxfId="2364" priority="3">
      <formula>LEN(TRIM(E161))=0</formula>
    </cfRule>
  </conditionalFormatting>
  <conditionalFormatting sqref="E165 E167">
    <cfRule type="containsBlanks" dxfId="2363" priority="1">
      <formula>LEN(TRIM(E165))=0</formula>
    </cfRule>
  </conditionalFormatting>
  <conditionalFormatting sqref="G162 G166">
    <cfRule type="aboveAverage" dxfId="2362" priority="7"/>
  </conditionalFormatting>
  <conditionalFormatting sqref="G169 G171">
    <cfRule type="aboveAverage" dxfId="2361" priority="6"/>
  </conditionalFormatting>
  <conditionalFormatting sqref="E161 E163">
    <cfRule type="aboveAverage" dxfId="2360" priority="4"/>
  </conditionalFormatting>
  <conditionalFormatting sqref="E165 E167">
    <cfRule type="aboveAverage" dxfId="2359" priority="2"/>
  </conditionalFormatting>
  <pageMargins left="0.78740157480314965" right="0.39370078740157483" top="0.78740157480314965" bottom="0.39370078740157483" header="0.78740157480314965" footer="0"/>
  <pageSetup paperSize="9" fitToHeight="0" orientation="landscape" verticalDpi="1200" r:id="rId1"/>
  <headerFooter>
    <oddHeader>&amp;R&amp;P. leht &amp;N&amp; -st</oddHeader>
  </headerFooter>
  <rowBreaks count="3" manualBreakCount="3">
    <brk id="98" max="16383" man="1"/>
    <brk id="136" max="16383" man="1"/>
    <brk id="297" max="16383"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AF323"/>
  <sheetViews>
    <sheetView showGridLines="0" showRowColHeaders="0" workbookViewId="0">
      <pane ySplit="1" topLeftCell="A5" activePane="bottomLeft" state="frozen"/>
      <selection pane="bottomLeft" activeCell="A5" sqref="A5"/>
    </sheetView>
  </sheetViews>
  <sheetFormatPr defaultRowHeight="12.75" x14ac:dyDescent="0.2"/>
  <cols>
    <col min="1" max="1" width="3.28515625" style="1" customWidth="1"/>
    <col min="2" max="2" width="16.5703125" style="1" customWidth="1"/>
    <col min="3" max="9" width="5.85546875" style="1" customWidth="1"/>
    <col min="10" max="15" width="5.5703125" style="1" customWidth="1"/>
    <col min="16" max="18" width="9.140625" style="1" hidden="1" customWidth="1"/>
    <col min="19" max="19" width="11.5703125" style="1" hidden="1" customWidth="1"/>
    <col min="20" max="20" width="9.140625" style="1" hidden="1" customWidth="1"/>
    <col min="21" max="21" width="9.140625" style="1"/>
    <col min="22" max="27" width="0" style="1" hidden="1" customWidth="1"/>
    <col min="28" max="28" width="9.140625" style="1" hidden="1" customWidth="1"/>
    <col min="29" max="29" width="9.140625" style="1" customWidth="1"/>
    <col min="30" max="31" width="9.140625" style="1" hidden="1" customWidth="1"/>
    <col min="32" max="32" width="18.140625" style="1" hidden="1" customWidth="1"/>
    <col min="33" max="16384" width="9.140625" style="1"/>
  </cols>
  <sheetData>
    <row r="1" spans="1:32" x14ac:dyDescent="0.2">
      <c r="A1" s="400" t="str">
        <f>UPPER((Kalend!E23)&amp;" - "&amp;(Kalend!C23))&amp;" - "&amp;LOWER(Kalend!D23)&amp;" - "&amp;(Kalend!A23)&amp;" kell "&amp;(Kalend!B23)&amp;" - "&amp;(Kalend!F23)</f>
        <v>IV-Ü - IDA-VIRUMAA SISE-MV - üksik - P, 26.01.2020 kell 11:00 - Voka petangihall</v>
      </c>
      <c r="C1" s="477"/>
      <c r="D1" s="477"/>
      <c r="E1" s="477"/>
      <c r="F1" s="477"/>
      <c r="G1" s="477"/>
      <c r="H1" s="477"/>
      <c r="I1" s="477"/>
      <c r="J1" s="477"/>
      <c r="K1" s="477"/>
      <c r="L1" s="477"/>
      <c r="M1" s="477"/>
      <c r="N1" s="477"/>
      <c r="P1" s="447" t="s">
        <v>94</v>
      </c>
      <c r="Q1" s="448"/>
      <c r="R1" s="448"/>
      <c r="S1" s="448"/>
      <c r="T1" s="448"/>
      <c r="U1" s="70"/>
      <c r="V1" s="291"/>
      <c r="W1" s="271"/>
      <c r="X1" s="271"/>
      <c r="Y1" s="271"/>
      <c r="AD1" s="152" t="s">
        <v>94</v>
      </c>
      <c r="AE1" s="402"/>
      <c r="AF1" s="402"/>
    </row>
    <row r="2" spans="1:32" hidden="1" x14ac:dyDescent="0.2">
      <c r="A2" s="477"/>
      <c r="C2" s="477"/>
      <c r="D2" s="477"/>
      <c r="E2" s="477"/>
      <c r="F2" s="477"/>
      <c r="G2" s="477"/>
      <c r="H2" s="477"/>
      <c r="I2" s="477"/>
      <c r="J2" s="477"/>
      <c r="K2" s="477"/>
      <c r="L2" s="477"/>
      <c r="M2" s="477"/>
      <c r="N2" s="477"/>
      <c r="O2" s="477"/>
      <c r="P2" s="271"/>
      <c r="Q2" s="271"/>
      <c r="R2" s="271"/>
      <c r="S2" s="271"/>
      <c r="T2" s="409"/>
      <c r="U2" s="409"/>
      <c r="V2" s="271"/>
      <c r="W2" s="271"/>
      <c r="X2" s="271"/>
      <c r="AD2" s="271"/>
      <c r="AE2" s="271"/>
      <c r="AF2" s="271"/>
    </row>
    <row r="3" spans="1:32" hidden="1" x14ac:dyDescent="0.2">
      <c r="A3" s="477"/>
      <c r="C3" s="477"/>
      <c r="D3" s="477"/>
      <c r="E3" s="477"/>
      <c r="F3" s="477"/>
      <c r="G3" s="477"/>
      <c r="H3" s="477"/>
      <c r="I3" s="477"/>
      <c r="J3" s="477"/>
      <c r="K3" s="477"/>
      <c r="L3" s="477"/>
      <c r="M3" s="477"/>
      <c r="N3" s="477"/>
      <c r="O3" s="477"/>
      <c r="P3" s="271"/>
      <c r="Q3" s="271"/>
      <c r="R3" s="271"/>
      <c r="S3" s="271"/>
      <c r="T3" s="409"/>
      <c r="U3" s="409"/>
      <c r="V3" s="271"/>
      <c r="W3" s="271"/>
      <c r="X3" s="271"/>
      <c r="Y3" s="271"/>
      <c r="AE3" s="271"/>
    </row>
    <row r="4" spans="1:32" hidden="1" x14ac:dyDescent="0.2">
      <c r="A4" s="477"/>
      <c r="C4" s="477"/>
      <c r="D4" s="477"/>
      <c r="E4" s="477"/>
      <c r="F4" s="477"/>
      <c r="G4" s="477"/>
      <c r="H4" s="477"/>
      <c r="I4" s="477"/>
      <c r="J4" s="477"/>
      <c r="K4" s="477"/>
      <c r="L4" s="477"/>
      <c r="M4" s="477"/>
      <c r="N4" s="477"/>
      <c r="O4" s="477"/>
      <c r="P4" s="271"/>
      <c r="Q4" s="271"/>
      <c r="R4" s="271"/>
      <c r="S4" s="271"/>
      <c r="T4" s="271"/>
      <c r="U4" s="271"/>
      <c r="V4" s="271"/>
      <c r="W4" s="271"/>
      <c r="X4" s="271"/>
      <c r="Y4" s="271"/>
      <c r="AE4" s="409"/>
      <c r="AF4" s="409"/>
    </row>
    <row r="5" spans="1:32" x14ac:dyDescent="0.2">
      <c r="C5" s="477"/>
      <c r="D5" s="477"/>
      <c r="E5" s="477"/>
      <c r="F5" s="477"/>
      <c r="G5" s="477"/>
      <c r="H5" s="477"/>
      <c r="I5" s="477"/>
      <c r="J5" s="477"/>
      <c r="K5" s="477"/>
      <c r="L5" s="477"/>
      <c r="M5" s="477"/>
      <c r="N5" s="967" t="s">
        <v>476</v>
      </c>
      <c r="O5" s="477"/>
      <c r="P5" s="271"/>
      <c r="Q5" s="271"/>
      <c r="R5" s="271"/>
      <c r="S5" s="271"/>
      <c r="T5" s="271"/>
      <c r="U5" s="271"/>
      <c r="V5" s="271"/>
      <c r="W5" s="271"/>
      <c r="X5" s="271"/>
      <c r="Y5" s="271"/>
      <c r="AA5" s="271"/>
      <c r="AD5" s="964" t="s">
        <v>214</v>
      </c>
    </row>
    <row r="6" spans="1:32" x14ac:dyDescent="0.2">
      <c r="A6" s="316" t="s">
        <v>0</v>
      </c>
      <c r="B6" s="466"/>
      <c r="C6" s="467">
        <v>1</v>
      </c>
      <c r="D6" s="467">
        <v>2</v>
      </c>
      <c r="E6" s="467">
        <v>3</v>
      </c>
      <c r="F6" s="467">
        <v>4</v>
      </c>
      <c r="G6" s="467"/>
      <c r="H6" s="467" t="s">
        <v>168</v>
      </c>
      <c r="I6" s="275" t="s">
        <v>169</v>
      </c>
      <c r="J6" s="469" t="s">
        <v>257</v>
      </c>
      <c r="K6" s="470" t="s">
        <v>258</v>
      </c>
      <c r="L6" s="471" t="s">
        <v>259</v>
      </c>
      <c r="M6" s="471" t="s">
        <v>260</v>
      </c>
      <c r="N6" s="472" t="s">
        <v>170</v>
      </c>
      <c r="O6" s="472" t="s">
        <v>170</v>
      </c>
      <c r="P6" s="473" t="s">
        <v>261</v>
      </c>
      <c r="Q6" s="474" t="s">
        <v>21</v>
      </c>
      <c r="R6" s="474" t="b">
        <f>OR(AND(COUNTA(B7:B11)=3,COUNTA(C7:G11)=6),AND(COUNTA(B7:B11)=4,COUNTA(C7:G11)=12),AND(COUNTA(B7:B11)=5,COUNTA(C7:G11)=20))</f>
        <v>1</v>
      </c>
      <c r="S6" s="475" t="s">
        <v>262</v>
      </c>
      <c r="T6" s="476" t="s">
        <v>263</v>
      </c>
      <c r="U6" s="477"/>
      <c r="V6" s="477"/>
      <c r="W6" s="477"/>
      <c r="X6" s="477"/>
      <c r="Y6" s="477"/>
      <c r="Z6" s="477"/>
      <c r="AA6" s="478"/>
      <c r="AD6" s="272" t="s">
        <v>370</v>
      </c>
      <c r="AE6" s="273"/>
      <c r="AF6" s="273" t="s">
        <v>233</v>
      </c>
    </row>
    <row r="7" spans="1:32" x14ac:dyDescent="0.2">
      <c r="A7" s="316">
        <v>1</v>
      </c>
      <c r="B7" s="479" t="s">
        <v>85</v>
      </c>
      <c r="C7" s="319"/>
      <c r="D7" s="318">
        <v>13</v>
      </c>
      <c r="E7" s="318">
        <v>13</v>
      </c>
      <c r="F7" s="318">
        <v>13</v>
      </c>
      <c r="G7" s="318"/>
      <c r="H7" s="317" t="str">
        <f>(IF(D7-C8&gt;0,1)+IF(E7-C9&gt;0,1)+IF(F7-C10&gt;0,1)+IF(G7-C11&gt;0,1))&amp;"-"&amp;(IF(D7-C8&lt;0,1)+IF(E7-C9&lt;0,1)+IF(F7-C10&lt;0,1)+IF(G7-C11&lt;0,1))</f>
        <v>3-0</v>
      </c>
      <c r="I7" s="318" t="str">
        <f>IF(AND(B7&lt;&gt;"",R$6=TRUE),A$6&amp;RANK(S7,S$7:S$11,0)," ")</f>
        <v>A1</v>
      </c>
      <c r="J7" s="480">
        <f>IF(AND(Q7=1,Q8=1,D7&gt;C8),1)+IF(AND(Q7=1,Q9=1,E7&gt;C9),1)+IF(AND(Q7=1,Q10=1,F7&gt;C10),1)+IF(AND(Q7=1,Q11=1,G7&gt;C11),1)+IF(AND(Q7=2,Q8=2,D7&gt;C8),1)+IF(AND(Q7=2,Q9=2,E7&gt;C9),1)+IF(AND(Q7=2,Q10=2,F7&gt;C10),1)+IF(AND(Q7=2,Q11=2,G7&gt;C11),1)+IF(AND(Q7=3,Q8=3,D7&gt;C8),1)+IF(AND(Q7=3,Q9=3,E7&gt;C9),1)+IF(AND(Q7=3,Q10=3,F7&gt;C10),1)+IF(AND(Q7=3,Q11=3,G7&gt;C11),1)</f>
        <v>0</v>
      </c>
      <c r="K7" s="481">
        <f>SUM(AND(T7=T8,D7&gt;C8),AND(T7=T9,E7&gt;C9),AND(T7=T10,F7&gt;C10),AND(T7=T11,G7&gt;C11))</f>
        <v>0</v>
      </c>
      <c r="L7" s="482">
        <f>IF(AND(Q7=1,Q8=1),D7-C8)+IF(AND(Q7=1,Q9=1),E7-C9)+IF(AND(Q7=1,Q10=1),F7-C10)+IF(AND(Q7=1,Q11=1),G7-C11)+IF(AND(Q7=2,Q8=2),D7-C8)+IF(AND(Q7=2,Q9=2),E7-C9)+IF(AND(Q7=2,Q10=2),F7-C10)+IF(AND(Q7=2,Q11=2),G7-C11)+IF(AND(Q7=3,Q8=3),D7-C8)+IF(AND(Q7=3,Q9=3),E7-C9)+IF(AND(Q7=3,Q10=3),F7-C10)+IF(AND(Q7=3,Q11=3),G7-C11)+IF(AND(Q7=4,Q8=4),D7-C8)+IF(AND(Q7=4,Q9=4),E7-C9)+IF(AND(Q7=4,Q10=4),F7-C10)+IF(AND(Q7=4,Q11=4),G7-C11)</f>
        <v>0</v>
      </c>
      <c r="M7" s="483">
        <f>SUM(AND(R7=R8,D7&gt;C8),AND(R7=R9,E7&gt;C9),AND(R7=R10,F7&gt;C10),AND(R7=R11,G7&gt;C11))</f>
        <v>0</v>
      </c>
      <c r="N7" s="537" t="str">
        <f>SUM(C7:G7)&amp;"-"&amp;SUM(C7:C11)</f>
        <v>39-24</v>
      </c>
      <c r="O7" s="538">
        <f>D7+E7+F7+G7-C8-C9-C10-C11</f>
        <v>15</v>
      </c>
      <c r="P7" s="485">
        <f>SUM(C7:G7,C7:C11)/SUM(C7:C11)</f>
        <v>2.625</v>
      </c>
      <c r="Q7" s="320">
        <f>VALUE(LEFT(H7,1))</f>
        <v>3</v>
      </c>
      <c r="R7" s="321">
        <f>Q7*100000+J7*10000+K7*1000+100*L7</f>
        <v>300000</v>
      </c>
      <c r="S7" s="486">
        <f>R7+M7*0.1+IF(ISNONTEXT(B7),0,0.01)+0.0001*O7</f>
        <v>300000.01150000002</v>
      </c>
      <c r="T7" s="487" t="str">
        <f>Q7&amp;J7</f>
        <v>30</v>
      </c>
      <c r="U7" s="477"/>
      <c r="V7" s="477"/>
      <c r="W7" s="477"/>
      <c r="X7" s="477"/>
      <c r="Y7" s="477"/>
      <c r="Z7" s="477"/>
      <c r="AA7" s="477"/>
      <c r="AD7" s="405">
        <f t="shared" ref="AD7:AD31" si="0">SUM(AE7:AF7)</f>
        <v>187</v>
      </c>
      <c r="AE7" s="406">
        <f>IFERROR(INDEX(V!R$7:R$107,MATCH(AF7,V!L$7:L$107,0)),"")</f>
        <v>187</v>
      </c>
      <c r="AF7" s="407" t="str">
        <f>IF(ISNUMBER(SEARCH(", ",$B7)),IFERROR(LEFT($B7,(FIND(",",$B7,1)-1)),""),B7)</f>
        <v>Kenneth Muusikus</v>
      </c>
    </row>
    <row r="8" spans="1:32" x14ac:dyDescent="0.2">
      <c r="A8" s="316">
        <v>2</v>
      </c>
      <c r="B8" s="488" t="s">
        <v>139</v>
      </c>
      <c r="C8" s="318">
        <v>11</v>
      </c>
      <c r="D8" s="319"/>
      <c r="E8" s="318">
        <v>13</v>
      </c>
      <c r="F8" s="318">
        <v>13</v>
      </c>
      <c r="G8" s="318"/>
      <c r="H8" s="317" t="str">
        <f>(IF(C8-D7&gt;0,1)+IF(E8-D9&gt;0,1)+IF(F8-D10&gt;0,1)+IF(G8-D11&gt;0,1))&amp;"-"&amp;(IF(C8-D7&lt;0,1)+IF(E8-D9&lt;0,1)+IF(F8-D10&lt;0,1)+IF(G8-D11&lt;0,1))</f>
        <v>2-1</v>
      </c>
      <c r="I8" s="318" t="str">
        <f>IF(AND(B8&lt;&gt;"",R$6=TRUE),A$6&amp;RANK(S8,S$7:S$11,0)," ")</f>
        <v>A2</v>
      </c>
      <c r="J8" s="489">
        <f>IF(AND(Q8=1,Q7=1,C8&gt;D7),1)+IF(AND(Q8=1,Q9=1,E8&gt;D9),1)+IF(AND(Q8=1,Q10=1,F8&gt;D10),1)+IF(AND(Q8=1,Q11=1,G8&gt;D11),1)+IF(AND(Q8=2,Q7=2,C8&gt;D7),1)+IF(AND(Q8=2,Q9=2,E8&gt;D9),1)+IF(AND(Q8=2,Q10=2,F8&gt;D10),1)+IF(AND(Q8=2,Q11=2,G8&gt;D11),1)+IF(AND(Q8=3,Q7=3,C8&gt;D7),1)+IF(AND(Q8=3,Q9=3,E8&gt;D9),1)+IF(AND(Q8=3,Q10=3,F8&gt;D10),1)+IF(AND(Q8=3,Q11=3,G8&gt;D11),1)</f>
        <v>0</v>
      </c>
      <c r="K8" s="483">
        <f>SUM(AND(T8=T7,C8&gt;D7),AND(T8=T9,E8&gt;D9),AND(T8=T10,F8&gt;D10),AND(T8=T11,G8&gt;D11))</f>
        <v>0</v>
      </c>
      <c r="L8" s="490">
        <f>IF(AND(Q8=1,Q7=1),C8-D7)+IF(AND(Q8=1,Q9=1),E8-D9)+IF(AND(Q8=1,Q10=1),F8-D10)+IF(AND(Q8=1,Q11=1),G8-D11)+IF(AND(Q8=2,Q7=2),C8-D7)+IF(AND(Q8=2,Q9=2),E8-D9)+IF(AND(Q8=2,Q10=2),F8-D10)+IF(AND(Q8=2,Q11=2),G8-D11)+IF(AND(Q8=3,Q7=3),C8-D7)+IF(AND(Q8=3,Q9=3),E8-D9)+IF(AND(Q8=3,Q10=3),F8-D10)+IF(AND(Q8=3,Q11=3),G8-D11)+IF(AND(Q8=4,Q7=4),C8-D7)+IF(AND(Q8=4,Q9=4),E8-D9)+IF(AND(Q8=4,Q10=4),F8-D10)+IF(AND(Q8=4,Q11=4),G8-D11)</f>
        <v>0</v>
      </c>
      <c r="M8" s="483">
        <f>SUM(AND(R8=R7,C8&gt;D7),AND(R8=R9,E8&gt;D9),AND(R8=R10,F8&gt;D10),AND(R8=R11,G8&gt;D11))</f>
        <v>0</v>
      </c>
      <c r="N8" s="537" t="str">
        <f>SUM(C8:G8)&amp;"-"&amp;SUM(D7:D11)</f>
        <v>37-25</v>
      </c>
      <c r="O8" s="538">
        <f>C8+E8+F8+G8-D7-D9-D10-D11</f>
        <v>12</v>
      </c>
      <c r="P8" s="485">
        <f>SUM(C8:G8,D7:D11)/SUM(D7:D11)</f>
        <v>2.48</v>
      </c>
      <c r="Q8" s="491">
        <f>VALUE(LEFT(H8,1))</f>
        <v>2</v>
      </c>
      <c r="R8" s="321">
        <f>Q8*100000+J8*10000+K8*1000+100*L8</f>
        <v>200000</v>
      </c>
      <c r="S8" s="486">
        <f>R8+M8*0.1+IF(ISNONTEXT(B8),0,0.01)+0.0001*O8</f>
        <v>200000.01120000001</v>
      </c>
      <c r="T8" s="487" t="str">
        <f>Q8&amp;J8</f>
        <v>20</v>
      </c>
      <c r="U8" s="477"/>
      <c r="V8" s="477"/>
      <c r="W8" s="477"/>
      <c r="X8" s="477"/>
      <c r="Y8" s="477"/>
      <c r="Z8" s="477"/>
      <c r="AA8" s="485"/>
      <c r="AD8" s="405">
        <f t="shared" si="0"/>
        <v>105</v>
      </c>
      <c r="AE8" s="406">
        <f>IFERROR(INDEX(V!R$7:R$107,MATCH(AF8,V!L$7:L$107,0)),"")</f>
        <v>105</v>
      </c>
      <c r="AF8" s="407" t="str">
        <f t="shared" ref="AF8:AF30" si="1">IF(ISNUMBER(SEARCH(", ",$B8)),IFERROR(LEFT($B8,(FIND(",",$B8,1)-1)),""),B8)</f>
        <v>Tarmo Bombe</v>
      </c>
    </row>
    <row r="9" spans="1:32" x14ac:dyDescent="0.2">
      <c r="A9" s="316">
        <v>3</v>
      </c>
      <c r="B9" s="488" t="s">
        <v>134</v>
      </c>
      <c r="C9" s="318">
        <v>6</v>
      </c>
      <c r="D9" s="492">
        <v>4</v>
      </c>
      <c r="E9" s="319"/>
      <c r="F9" s="318">
        <v>13</v>
      </c>
      <c r="G9" s="318"/>
      <c r="H9" s="317" t="str">
        <f>(IF(C9-E7&gt;0,1)+IF(D9-E8&gt;0,1)+IF(F9-E10&gt;0,1)+IF(G9-E11&gt;0,1))&amp;"-"&amp;(IF(C9-E7&lt;0,1)+IF(D9-E8&lt;0,1)+IF(F9-E10&lt;0,1)+IF(G9-E11&lt;0,1))</f>
        <v>1-2</v>
      </c>
      <c r="I9" s="318" t="str">
        <f>IF(AND(B9&lt;&gt;"",R$6=TRUE),A$6&amp;RANK(S9,S$7:S$11,0)," ")</f>
        <v>A3</v>
      </c>
      <c r="J9" s="489">
        <f>IF(AND(Q9=1,Q7=1,C9&gt;E7),1)+IF(AND(Q9=1,Q8=1,D9&gt;E8),1)+IF(AND(Q9=1,Q10=1,F9&gt;E10),1)+IF(AND(Q9=1,Q11=1,G9&gt;E11),1)+IF(AND(Q9=2,Q7=2,C9&gt;E7),1)+IF(AND(Q9=2,Q8=2,D9&gt;E8),1)+IF(AND(Q9=2,Q10=2,F9&gt;E10),1)+IF(AND(Q9=2,Q11=2,G9&gt;E11),1)+IF(AND(Q9=3,Q7=3,C9&gt;E7),1)+IF(AND(Q9=3,Q8=3,D9&gt;E8),1)+IF(AND(Q9=3,Q10=3,F9&gt;E10),1)+IF(AND(Q9=3,Q11=3,G9&gt;E11),1)</f>
        <v>0</v>
      </c>
      <c r="K9" s="483">
        <f>SUM(AND(T9=T7,C9&gt;E7),AND(T9=T8,D9&gt;E8),AND(T9=T10,F9&gt;E10),AND(T9=T11,G9&gt;E11))</f>
        <v>0</v>
      </c>
      <c r="L9" s="490">
        <f>IF(AND(Q9=1,Q7=1),C9-E7)+IF(AND(Q9=1,Q8=1),D9-E8)+IF(AND(Q9=1,Q10=1),F9-E10)+IF(AND(Q9=1,Q11=1),G9-E11)+IF(AND(Q9=2,Q7=2),C9-E7)+IF(AND(Q9=2,Q8=2),D9-E8)+IF(AND(Q9=2,Q10=2),F9-E10)+IF(AND(Q9=2,Q11=2),G9-E11)+IF(AND(Q9=3,Q7=3),C9-E7)+IF(AND(Q9=3,Q8=3),D9-E8)+IF(AND(Q9=3,Q10=3),F9-E10)+IF(AND(Q9=3,Q11=3),G9-E11)+IF(AND(Q9=4,Q7=4),C9-E7)+IF(AND(Q9=4,Q8=4),D9-E8)+IF(AND(Q9=4,Q10=4),F9-E10)+IF(AND(Q9=4,Q11=4),G9-E11)</f>
        <v>0</v>
      </c>
      <c r="M9" s="483">
        <f>SUM(AND(R9=R7,C9&gt;E7),AND(R9=R8,D9&gt;E8),AND(R9=R10,F9&gt;E10),AND(R9=R11,G9&gt;E11))</f>
        <v>0</v>
      </c>
      <c r="N9" s="537" t="str">
        <f>SUM(C9:G9)&amp;"-"&amp;SUM(E7:E11)</f>
        <v>23-28</v>
      </c>
      <c r="O9" s="538">
        <f>C9+D9+F9+G9-E7-E8-E10-E11</f>
        <v>-5</v>
      </c>
      <c r="P9" s="485">
        <f>SUM(C9:G9,E7:E11)/SUM(E7:E11)</f>
        <v>1.8214285714285714</v>
      </c>
      <c r="Q9" s="491">
        <f>VALUE(LEFT(H9,1))</f>
        <v>1</v>
      </c>
      <c r="R9" s="321">
        <f>Q9*100000+J9*10000+K9*1000+100*L9</f>
        <v>100000</v>
      </c>
      <c r="S9" s="486">
        <f>R9+M9*0.1+IF(ISNONTEXT(B9),0,0.01)+0.0001*O9</f>
        <v>100000.0095</v>
      </c>
      <c r="T9" s="487" t="str">
        <f>Q9&amp;J9</f>
        <v>10</v>
      </c>
      <c r="U9" s="477"/>
      <c r="V9" s="477"/>
      <c r="W9" s="477"/>
      <c r="X9" s="477"/>
      <c r="Y9" s="477"/>
      <c r="Z9" s="477"/>
      <c r="AA9" s="485"/>
      <c r="AD9" s="405">
        <f t="shared" si="0"/>
        <v>57</v>
      </c>
      <c r="AE9" s="406">
        <f>IFERROR(INDEX(V!R$7:R$107,MATCH(AF9,V!L$7:L$107,0)),"")</f>
        <v>57</v>
      </c>
      <c r="AF9" s="407" t="str">
        <f t="shared" si="1"/>
        <v>Klavdia Piik</v>
      </c>
    </row>
    <row r="10" spans="1:32" x14ac:dyDescent="0.2">
      <c r="A10" s="316">
        <v>4</v>
      </c>
      <c r="B10" s="493" t="s">
        <v>493</v>
      </c>
      <c r="C10" s="318">
        <v>7</v>
      </c>
      <c r="D10" s="492">
        <v>8</v>
      </c>
      <c r="E10" s="318">
        <v>2</v>
      </c>
      <c r="F10" s="319"/>
      <c r="G10" s="318"/>
      <c r="H10" s="317" t="str">
        <f>(IF(C10-F7&gt;0,1)+IF(D10-F8&gt;0,1)+IF(E10-F9&gt;0,1)+IF(G10-F11&gt;0,1))&amp;"-"&amp;(IF(C10-F7&lt;0,1)+IF(D10-F8&lt;0,1)+IF(E10-F9&lt;0,1)+IF(G10-F11&lt;0,1))</f>
        <v>0-3</v>
      </c>
      <c r="I10" s="318" t="str">
        <f>IF(AND(B10&lt;&gt;"",R$6=TRUE),A$6&amp;RANK(S10,S$7:S$11,0)," ")</f>
        <v>A4</v>
      </c>
      <c r="J10" s="489">
        <f>IF(AND(Q10=1,Q7=1,C10&gt;F7),1)+IF(AND(Q10=1,Q8=1,D10&gt;F8),1)+IF(AND(Q10=1,Q9=1,E10&gt;F9),1)+IF(AND(Q10=1,Q11=1,G10&gt;F11),1)+IF(AND(Q10=2,Q7=2,C10&gt;F7),1)+IF(AND(Q10=2,Q8=2,D10&gt;F8),1)+IF(AND(Q10=2,Q9=2,E10&gt;F9),1)+IF(AND(Q10=2,Q11=2,G10&gt;F11),1)+IF(AND(Q10=3,Q7=3,C10&gt;F7),1)+IF(AND(Q10=3,Q8=3,D10&gt;F8),1)+IF(AND(Q10=3,Q9=3,E10&gt;F9),1)+IF(AND(Q10=3,Q11=3,G10&gt;F11),1)</f>
        <v>0</v>
      </c>
      <c r="K10" s="483">
        <f>SUM(AND(T10=T7,C10&gt;F7),AND(T10=T8,D10&gt;F8),AND(T10=T9,E10&gt;F9),AND(T10=T11,G10&gt;F11))</f>
        <v>0</v>
      </c>
      <c r="L10" s="490">
        <f>IF(AND(Q10=1,Q7=1),C10-F7)+IF(AND(Q10=1,Q8=1),D10-F8)+IF(AND(Q10=1,Q9=1),E10-F9)+IF(AND(Q10=1,Q11=1),G10-F11)+IF(AND(Q10=2,Q7=2),C10-F7)+IF(AND(Q10=2,Q8=2),D10-F8)+IF(AND(Q10=2,Q9=2),E10-F9)+IF(AND(Q10=2,Q11=2),G10-F11)+IF(AND(Q10=3,Q7=3),C10-F7)+IF(AND(Q10=3,Q8=3),D10-F8)+IF(AND(Q10=3,Q9=3),E10-F9)+IF(AND(Q10=3,Q11=3),G10-F11)+IF(AND(Q10=4,Q7=4),C10-F7)+IF(AND(Q10=4,Q8=4),D10-F8)+IF(AND(Q10=4,Q9=4),E10-F9)+IF(AND(Q10=4,Q11=4),G10-F11)</f>
        <v>0</v>
      </c>
      <c r="M10" s="483">
        <f>SUM(AND(R10=R7,C10&gt;F7),AND(R10=R8,D10&gt;F8),AND(R10=R9,E10&gt;F9),AND(R10=R11,G10&gt;F11))</f>
        <v>0</v>
      </c>
      <c r="N10" s="537" t="str">
        <f>SUM(C10:G10)&amp;"-"&amp;SUM(F7:F11)</f>
        <v>17-39</v>
      </c>
      <c r="O10" s="538">
        <f>C10+D10+E10+G10-F7-F8-F9-F11</f>
        <v>-22</v>
      </c>
      <c r="P10" s="485">
        <f>SUM(C10:G10,F7:F11)/SUM(F7:F11)</f>
        <v>1.4358974358974359</v>
      </c>
      <c r="Q10" s="491">
        <f>VALUE(LEFT(H10,1))</f>
        <v>0</v>
      </c>
      <c r="R10" s="321">
        <f>Q10*100000+J10*10000+K10*1000+100*L10</f>
        <v>0</v>
      </c>
      <c r="S10" s="486">
        <f>R10+M10*0.1+IF(ISNONTEXT(B10),0,0.01)+0.0001*O10</f>
        <v>7.7999999999999996E-3</v>
      </c>
      <c r="T10" s="487" t="str">
        <f>Q10&amp;J10</f>
        <v>00</v>
      </c>
      <c r="U10" s="477"/>
      <c r="V10" s="477"/>
      <c r="W10" s="477"/>
      <c r="X10" s="477"/>
      <c r="Y10" s="477"/>
      <c r="Z10" s="477"/>
      <c r="AA10" s="485"/>
      <c r="AD10" s="405">
        <f t="shared" si="0"/>
        <v>0</v>
      </c>
      <c r="AE10" s="406" t="str">
        <f>IFERROR(INDEX(V!R$7:R$107,MATCH(AF10,V!L$7:L$107,0)),"")</f>
        <v/>
      </c>
      <c r="AF10" s="407" t="str">
        <f t="shared" si="1"/>
        <v>Sirje Maala</v>
      </c>
    </row>
    <row r="11" spans="1:32" hidden="1" x14ac:dyDescent="0.2">
      <c r="A11" s="316">
        <v>5</v>
      </c>
      <c r="B11" s="493"/>
      <c r="C11" s="318"/>
      <c r="D11" s="318"/>
      <c r="E11" s="318"/>
      <c r="F11" s="318"/>
      <c r="G11" s="319"/>
      <c r="H11" s="317" t="str">
        <f>(IF(C11-G7&gt;0,1)+IF(D11-G8&gt;0,1)+IF(E11-G9&gt;0,1)+IF(F11-G10&gt;0,1))&amp;"-"&amp;(IF(C11-G7&lt;0,1)+IF(D11-G8&lt;0,1)+IF(E11-G9&lt;0,1)+IF(F11-G10&lt;0,1))</f>
        <v>0-0</v>
      </c>
      <c r="I11" s="318" t="str">
        <f>IF(AND(B11&lt;&gt;"",R$6=TRUE),A$6&amp;RANK(S11,S$7:S$11,0)," ")</f>
        <v xml:space="preserve"> </v>
      </c>
      <c r="J11" s="489">
        <f>IF(AND(Q11=1,Q7=1,C11&gt;G7),1)+IF(AND(Q11=1,Q8=1,D11&gt;G8),1)+IF(AND(Q11=1,Q9=1,E11&gt;G9),1)+IF(AND(Q11=1,Q10=1,F11&gt;G10),1)+IF(AND(Q11=2,Q7=2,C11&gt;G7),1)+IF(AND(Q11=2,Q8=2,D11&gt;G8),1)+IF(AND(Q11=2,Q9=2,E11&gt;G9),1)+IF(AND(Q11=2,Q10=2,F11&gt;G10),1)+IF(AND(Q11=3,Q7=3,C11&gt;G7),1)+IF(AND(Q11=3,Q8=3,D11&gt;G8),1)+IF(AND(Q11=3,Q9=3,E11&gt;G9),1)+IF(AND(Q11=3,Q10=3,F11&gt;G10),1)</f>
        <v>0</v>
      </c>
      <c r="K11" s="483">
        <f>SUM(AND(T11=T7,C11&gt;G7),AND(T11=T8,D11&gt;G8),AND(T11=T9,E11&gt;G9),AND(T11=T10,F11&gt;G10))</f>
        <v>0</v>
      </c>
      <c r="L11" s="490">
        <f>IF(AND(Q11=1,Q7=1),C11-G7)+IF(AND(Q11=1,Q8=1),D11-G8)+IF(AND(Q11=1,Q9=1),E11-G9)+IF(AND(Q11=1,Q10=1),F11-G10)+IF(AND(Q11=2,Q7=2),C11-G7)+IF(AND(Q11=2,Q8=2),D11-G8)+IF(AND(Q11=2,Q9=2),E11-G9)+IF(AND(Q11=2,Q10=2),F11-G10)+IF(AND(Q11=3,Q7=3),C11-G7)+IF(AND(Q11=3,Q8=3),D11-G8)+IF(AND(Q11=3,Q9=3),E11-G9)+IF(AND(Q11=3,Q10=3),F11-G10)+IF(AND(Q11=4,Q7=4),C11-G7)+IF(AND(Q11=4,Q8=4),D11-G8)+IF(AND(Q11=4,Q9=4),E11-G9)+IF(AND(Q11=4,Q10=4),F11-G10)</f>
        <v>0</v>
      </c>
      <c r="M11" s="483">
        <f>SUM(AND(R11=R7,C11&gt;G7),AND(R11=R8,D11&gt;G8),AND(R11=R9,E11&gt;G9),AND(R11=R10,F11&gt;G10))</f>
        <v>0</v>
      </c>
      <c r="N11" s="537" t="str">
        <f>SUM(C11:G11)&amp;"-"&amp;SUM(G7:G11)</f>
        <v>0-0</v>
      </c>
      <c r="O11" s="538">
        <f>C11+D11+E11+F11-G7-G8-G9-G10</f>
        <v>0</v>
      </c>
      <c r="P11" s="485" t="e">
        <f>SUM(C11:G11,G7:G11)/SUM(G7:G11)</f>
        <v>#DIV/0!</v>
      </c>
      <c r="Q11" s="491">
        <f>VALUE(LEFT(H11,1))</f>
        <v>0</v>
      </c>
      <c r="R11" s="321">
        <f>Q11*100000+J11*10000+K11*1000+100*L11</f>
        <v>0</v>
      </c>
      <c r="S11" s="486">
        <f>R11+M11*0.1+IF(ISNONTEXT(B11),0,0.01)+0.0001*O11</f>
        <v>0</v>
      </c>
      <c r="T11" s="487" t="str">
        <f>Q11&amp;J11</f>
        <v>00</v>
      </c>
      <c r="U11" s="477"/>
      <c r="V11" s="477"/>
      <c r="W11" s="477"/>
      <c r="X11" s="477"/>
      <c r="Y11" s="477"/>
      <c r="Z11" s="477"/>
      <c r="AA11" s="485"/>
      <c r="AD11" s="405">
        <f t="shared" si="0"/>
        <v>0</v>
      </c>
      <c r="AE11" s="406" t="str">
        <f>IFERROR(INDEX(V!R$7:R$107,MATCH(AF11,V!L$7:L$107,0)),"")</f>
        <v/>
      </c>
      <c r="AF11" s="407">
        <f t="shared" si="1"/>
        <v>0</v>
      </c>
    </row>
    <row r="12" spans="1:32" x14ac:dyDescent="0.2">
      <c r="A12" s="494"/>
      <c r="B12" s="1007"/>
      <c r="C12" s="496"/>
      <c r="D12" s="497"/>
      <c r="E12" s="498"/>
      <c r="F12" s="498"/>
      <c r="G12" s="499"/>
      <c r="H12" s="500"/>
      <c r="I12" s="501"/>
      <c r="J12" s="477"/>
      <c r="K12" s="477"/>
      <c r="L12" s="477"/>
      <c r="M12" s="477"/>
      <c r="N12" s="539"/>
      <c r="O12" s="539"/>
      <c r="P12" s="477"/>
      <c r="Q12" s="477"/>
      <c r="R12" s="502" t="s">
        <v>264</v>
      </c>
      <c r="S12" s="477"/>
      <c r="T12" s="477"/>
      <c r="U12" s="477"/>
      <c r="V12" s="477"/>
      <c r="W12" s="477"/>
      <c r="X12" s="477"/>
      <c r="Y12" s="477"/>
      <c r="Z12" s="477"/>
      <c r="AA12" s="485"/>
      <c r="AD12" s="405">
        <f t="shared" si="0"/>
        <v>0</v>
      </c>
      <c r="AE12" s="406" t="str">
        <f>IFERROR(INDEX(V!R$7:R$107,MATCH(AF12,V!L$7:L$107,0)),"")</f>
        <v/>
      </c>
      <c r="AF12" s="407">
        <f t="shared" si="1"/>
        <v>0</v>
      </c>
    </row>
    <row r="13" spans="1:32" x14ac:dyDescent="0.2">
      <c r="A13" s="316" t="s">
        <v>1</v>
      </c>
      <c r="B13" s="503"/>
      <c r="C13" s="467">
        <v>1</v>
      </c>
      <c r="D13" s="467">
        <v>2</v>
      </c>
      <c r="E13" s="467">
        <v>3</v>
      </c>
      <c r="F13" s="467">
        <v>4</v>
      </c>
      <c r="G13" s="467"/>
      <c r="H13" s="468" t="s">
        <v>168</v>
      </c>
      <c r="I13" s="468" t="s">
        <v>169</v>
      </c>
      <c r="J13" s="504" t="s">
        <v>257</v>
      </c>
      <c r="K13" s="505" t="s">
        <v>258</v>
      </c>
      <c r="L13" s="506" t="s">
        <v>259</v>
      </c>
      <c r="M13" s="506" t="s">
        <v>260</v>
      </c>
      <c r="N13" s="472" t="s">
        <v>170</v>
      </c>
      <c r="O13" s="472" t="s">
        <v>170</v>
      </c>
      <c r="P13" s="473" t="s">
        <v>261</v>
      </c>
      <c r="Q13" s="507" t="s">
        <v>21</v>
      </c>
      <c r="R13" s="507" t="b">
        <f>OR(AND(COUNTA(B14:B18)=3,COUNTA(C14:G18)=6),AND(COUNTA(B14:B18)=4,COUNTA(C14:G18)=12),AND(COUNTA(B14:B18)=5,COUNTA(C14:G18)=20))</f>
        <v>1</v>
      </c>
      <c r="S13" s="508" t="s">
        <v>262</v>
      </c>
      <c r="T13" s="509" t="s">
        <v>263</v>
      </c>
      <c r="U13" s="477"/>
      <c r="V13" s="477"/>
      <c r="W13" s="477"/>
      <c r="X13" s="477"/>
      <c r="Y13" s="477"/>
      <c r="Z13" s="477"/>
      <c r="AA13" s="485"/>
      <c r="AD13" s="405">
        <f t="shared" si="0"/>
        <v>0</v>
      </c>
      <c r="AE13" s="406" t="str">
        <f>IFERROR(INDEX(V!R$7:R$107,MATCH(AF13,V!L$7:L$107,0)),"")</f>
        <v/>
      </c>
      <c r="AF13" s="407">
        <f t="shared" si="1"/>
        <v>0</v>
      </c>
    </row>
    <row r="14" spans="1:32" x14ac:dyDescent="0.2">
      <c r="A14" s="316">
        <v>1</v>
      </c>
      <c r="B14" s="510" t="s">
        <v>122</v>
      </c>
      <c r="C14" s="319"/>
      <c r="D14" s="318">
        <v>12</v>
      </c>
      <c r="E14" s="318">
        <v>13</v>
      </c>
      <c r="F14" s="318">
        <v>13</v>
      </c>
      <c r="G14" s="318"/>
      <c r="H14" s="317" t="str">
        <f>(IF(D14-C15&gt;0,1)+IF(E14-C16&gt;0,1)+IF(F14-C17&gt;0,1)+IF(G14-C18&gt;0,1))&amp;"-"&amp;(IF(D14-C15&lt;0,1)+IF(E14-C16&lt;0,1)+IF(F14-C17&lt;0,1)+IF(G14-C18&lt;0,1))</f>
        <v>2-1</v>
      </c>
      <c r="I14" s="318" t="str">
        <f>IF(AND(B14&lt;&gt;"",R$6=TRUE),A$13&amp;RANK(S14,S$14:S$18,0)," ")</f>
        <v>B2</v>
      </c>
      <c r="J14" s="480">
        <f>IF(AND(Q14=1,Q15=1,D14&gt;C15),1)+IF(AND(Q14=1,Q16=1,E14&gt;C16),1)+IF(AND(Q14=1,Q17=1,F14&gt;C17),1)+IF(AND(Q14=1,Q18=1,G14&gt;C18),1)+IF(AND(Q14=2,Q15=2,D14&gt;C15),1)+IF(AND(Q14=2,Q16=2,E14&gt;C16),1)+IF(AND(Q14=2,Q17=2,F14&gt;C17),1)+IF(AND(Q14=2,Q18=2,G14&gt;C18),1)+IF(AND(Q14=3,Q15=3,D14&gt;C15),1)+IF(AND(Q14=3,Q16=3,E14&gt;C16),1)+IF(AND(Q14=3,Q17=3,F14&gt;C17),1)+IF(AND(Q14=3,Q18=3,G14&gt;C18),1)</f>
        <v>0</v>
      </c>
      <c r="K14" s="481">
        <f>SUM(AND(T14=T15,D14&gt;C15),AND(T14=T16,E14&gt;C16),AND(T14=T17,F14&gt;C17),AND(T14=T18,G14&gt;C18))</f>
        <v>0</v>
      </c>
      <c r="L14" s="482">
        <f>IF(AND(Q14=1,Q15=1),D14-C15)+IF(AND(Q14=1,Q16=1),E14-C16)+IF(AND(Q14=1,Q17=1),F14-C17)+IF(AND(Q14=1,Q18=1),G14-C18)+IF(AND(Q14=2,Q15=2),D14-C15)+IF(AND(Q14=2,Q16=2),E14-C16)+IF(AND(Q14=2,Q17=2),F14-C17)+IF(AND(Q14=2,Q18=2),G14-C18)+IF(AND(Q14=3,Q15=3),D14-C15)+IF(AND(Q14=3,Q16=3),E14-C16)+IF(AND(Q14=3,Q17=3),F14-C17)+IF(AND(Q14=3,Q18=3),G14-C18)+IF(AND(Q14=4,Q15=4),D14-C15)+IF(AND(Q14=4,Q16=4),E14-C16)+IF(AND(Q14=4,Q17=4),F14-C17)+IF(AND(Q14=4,Q18=4),G14-C18)</f>
        <v>0</v>
      </c>
      <c r="M14" s="483">
        <f>SUM(AND(R14=R15,D14&gt;C15),AND(R14=R16,E14&gt;C16),AND(R14=R17,F14&gt;C17),AND(R14=R18,G14&gt;C18))</f>
        <v>0</v>
      </c>
      <c r="N14" s="537" t="str">
        <f>SUM(C14:G14)&amp;"-"&amp;SUM(C14:C18)</f>
        <v>38-25</v>
      </c>
      <c r="O14" s="538">
        <f>D14+E14+F14+G14-C15-C16-C17-C18</f>
        <v>13</v>
      </c>
      <c r="P14" s="485">
        <f>SUM(C14:G14,C14:C18)/SUM(C14:C18)</f>
        <v>2.52</v>
      </c>
      <c r="Q14" s="320">
        <f>VALUE(LEFT(H14,1))</f>
        <v>2</v>
      </c>
      <c r="R14" s="321">
        <f>Q14*100000+J14*10000+K14*1000+100*L14</f>
        <v>200000</v>
      </c>
      <c r="S14" s="486">
        <f>R14+M14*0.1+IF(ISNONTEXT(B14),0,0.01)+0.0001*O14</f>
        <v>200000.01130000001</v>
      </c>
      <c r="T14" s="487" t="str">
        <f>Q14&amp;J14</f>
        <v>20</v>
      </c>
      <c r="U14" s="477"/>
      <c r="V14" s="477"/>
      <c r="W14" s="477"/>
      <c r="X14" s="477"/>
      <c r="Y14" s="477"/>
      <c r="Z14" s="477"/>
      <c r="AA14" s="485"/>
      <c r="AD14" s="405">
        <f t="shared" si="0"/>
        <v>178</v>
      </c>
      <c r="AE14" s="406">
        <f>IFERROR(INDEX(V!R$7:R$107,MATCH(AF14,V!L$7:L$107,0)),"")</f>
        <v>178</v>
      </c>
      <c r="AF14" s="407" t="str">
        <f t="shared" si="1"/>
        <v>Jaan Sepp</v>
      </c>
    </row>
    <row r="15" spans="1:32" x14ac:dyDescent="0.2">
      <c r="A15" s="316">
        <v>2</v>
      </c>
      <c r="B15" s="479" t="s">
        <v>163</v>
      </c>
      <c r="C15" s="318">
        <v>13</v>
      </c>
      <c r="D15" s="319"/>
      <c r="E15" s="318">
        <v>13</v>
      </c>
      <c r="F15" s="318">
        <v>13</v>
      </c>
      <c r="G15" s="318"/>
      <c r="H15" s="317" t="str">
        <f>(IF(C15-D14&gt;0,1)+IF(E15-D16&gt;0,1)+IF(F15-D17&gt;0,1)+IF(G15-D18&gt;0,1))&amp;"-"&amp;(IF(C15-D14&lt;0,1)+IF(E15-D16&lt;0,1)+IF(F15-D17&lt;0,1)+IF(G15-D18&lt;0,1))</f>
        <v>3-0</v>
      </c>
      <c r="I15" s="318" t="str">
        <f>IF(AND(B15&lt;&gt;"",R$6=TRUE),A$13&amp;RANK(S15,S$14:S$18,0)," ")</f>
        <v>B1</v>
      </c>
      <c r="J15" s="489">
        <f>IF(AND(Q15=1,Q14=1,C15&gt;D14),1)+IF(AND(Q15=1,Q16=1,E15&gt;D16),1)+IF(AND(Q15=1,Q17=1,F15&gt;D17),1)+IF(AND(Q15=1,Q18=1,G15&gt;D18),1)+IF(AND(Q15=2,Q14=2,C15&gt;D14),1)+IF(AND(Q15=2,Q16=2,E15&gt;D16),1)+IF(AND(Q15=2,Q17=2,F15&gt;D17),1)+IF(AND(Q15=2,Q18=2,G15&gt;D18),1)+IF(AND(Q15=3,Q14=3,C15&gt;D14),1)+IF(AND(Q15=3,Q16=3,E15&gt;D16),1)+IF(AND(Q15=3,Q17=3,F15&gt;D17),1)+IF(AND(Q15=3,Q18=3,G15&gt;D18),1)</f>
        <v>0</v>
      </c>
      <c r="K15" s="483">
        <f>SUM(AND(T15=T14,C15&gt;D14),AND(T15=T16,E15&gt;D16),AND(T15=T17,F15&gt;D17),AND(T15=T18,G15&gt;D18))</f>
        <v>0</v>
      </c>
      <c r="L15" s="490">
        <f>IF(AND(Q15=1,Q14=1),C15-D14)+IF(AND(Q15=1,Q16=1),E15-D16)+IF(AND(Q15=1,Q17=1),F15-D17)+IF(AND(Q15=1,Q18=1),G15-D18)+IF(AND(Q15=2,Q14=2),C15-D14)+IF(AND(Q15=2,Q16=2),E15-D16)+IF(AND(Q15=2,Q17=2),F15-D17)+IF(AND(Q15=2,Q18=2),G15-D18)+IF(AND(Q15=3,Q14=3),C15-D14)+IF(AND(Q15=3,Q16=3),E15-D16)+IF(AND(Q15=3,Q17=3),F15-D17)+IF(AND(Q15=3,Q18=3),G15-D18)+IF(AND(Q15=4,Q14=4),C15-D14)+IF(AND(Q15=4,Q16=4),E15-D16)+IF(AND(Q15=4,Q17=4),F15-D17)+IF(AND(Q15=4,Q18=4),G15-D18)</f>
        <v>0</v>
      </c>
      <c r="M15" s="483">
        <f>SUM(AND(R15=R14,C15&gt;D14),AND(R15=R16,E15&gt;D16),AND(R15=R17,F15&gt;D17),AND(R15=R18,G15&gt;D18))</f>
        <v>0</v>
      </c>
      <c r="N15" s="537" t="str">
        <f>SUM(C15:G15)&amp;"-"&amp;SUM(D14:D18)</f>
        <v>39-24</v>
      </c>
      <c r="O15" s="538">
        <f>C15+E15+F15+G15-D14-D16-D17-D18</f>
        <v>15</v>
      </c>
      <c r="P15" s="485">
        <f>SUM(C15:G15,D14:D18)/SUM(D14:D18)</f>
        <v>2.625</v>
      </c>
      <c r="Q15" s="491">
        <f>VALUE(LEFT(H15,1))</f>
        <v>3</v>
      </c>
      <c r="R15" s="321">
        <f>Q15*100000+J15*10000+K15*1000+100*L15</f>
        <v>300000</v>
      </c>
      <c r="S15" s="486">
        <f>R15+M15*0.1+IF(ISNONTEXT(B15),0,0.01)+0.0001*O15</f>
        <v>300000.01150000002</v>
      </c>
      <c r="T15" s="487" t="str">
        <f>Q15&amp;J15</f>
        <v>30</v>
      </c>
      <c r="U15" s="477"/>
      <c r="V15" s="477"/>
      <c r="W15" s="477"/>
      <c r="X15" s="477"/>
      <c r="Y15" s="477"/>
      <c r="Z15" s="477"/>
      <c r="AA15" s="485"/>
      <c r="AD15" s="405">
        <f t="shared" si="0"/>
        <v>84</v>
      </c>
      <c r="AE15" s="406">
        <f>IFERROR(INDEX(V!R$7:R$107,MATCH(AF15,V!L$7:L$107,0)),"")</f>
        <v>84</v>
      </c>
      <c r="AF15" s="407" t="str">
        <f t="shared" si="1"/>
        <v>Aarne Välja</v>
      </c>
    </row>
    <row r="16" spans="1:32" x14ac:dyDescent="0.2">
      <c r="A16" s="316">
        <v>3</v>
      </c>
      <c r="B16" s="488" t="s">
        <v>82</v>
      </c>
      <c r="C16" s="318">
        <v>6</v>
      </c>
      <c r="D16" s="492">
        <v>10</v>
      </c>
      <c r="E16" s="319"/>
      <c r="F16" s="318">
        <v>12</v>
      </c>
      <c r="G16" s="318"/>
      <c r="H16" s="317" t="str">
        <f>(IF(C16-E14&gt;0,1)+IF(D16-E15&gt;0,1)+IF(F16-E17&gt;0,1)+IF(G16-E18&gt;0,1))&amp;"-"&amp;(IF(C16-E14&lt;0,1)+IF(D16-E15&lt;0,1)+IF(F16-E17&lt;0,1)+IF(G16-E18&lt;0,1))</f>
        <v>0-3</v>
      </c>
      <c r="I16" s="318" t="str">
        <f>IF(AND(B16&lt;&gt;"",R$6=TRUE),A$13&amp;RANK(S16,S$14:S$18,0)," ")</f>
        <v>B4</v>
      </c>
      <c r="J16" s="489">
        <f>IF(AND(Q16=1,Q14=1,C16&gt;E14),1)+IF(AND(Q16=1,Q15=1,D16&gt;E15),1)+IF(AND(Q16=1,Q17=1,F16&gt;E17),1)+IF(AND(Q16=1,Q18=1,G16&gt;E18),1)+IF(AND(Q16=2,Q14=2,C16&gt;E14),1)+IF(AND(Q16=2,Q15=2,D16&gt;E15),1)+IF(AND(Q16=2,Q17=2,F16&gt;E17),1)+IF(AND(Q16=2,Q18=2,G16&gt;E18),1)+IF(AND(Q16=3,Q14=3,C16&gt;E14),1)+IF(AND(Q16=3,Q15=3,D16&gt;E15),1)+IF(AND(Q16=3,Q17=3,F16&gt;E17),1)+IF(AND(Q16=3,Q18=3,G16&gt;E18),1)</f>
        <v>0</v>
      </c>
      <c r="K16" s="483">
        <f>SUM(AND(T16=T14,C16&gt;E14),AND(T16=T15,D16&gt;E15),AND(T16=T17,F16&gt;E17),AND(T16=T18,G16&gt;E18))</f>
        <v>0</v>
      </c>
      <c r="L16" s="490">
        <f>IF(AND(Q16=1,Q14=1),C16-E14)+IF(AND(Q16=1,Q15=1),D16-E15)+IF(AND(Q16=1,Q17=1),F16-E17)+IF(AND(Q16=1,Q18=1),G16-E18)+IF(AND(Q16=2,Q14=2),C16-E14)+IF(AND(Q16=2,Q15=2),D16-E15)+IF(AND(Q16=2,Q17=2),F16-E17)+IF(AND(Q16=2,Q18=2),G16-E18)+IF(AND(Q16=3,Q14=3),C16-E14)+IF(AND(Q16=3,Q15=3),D16-E15)+IF(AND(Q16=3,Q17=3),F16-E17)+IF(AND(Q16=3,Q18=3),G16-E18)+IF(AND(Q16=4,Q14=4),C16-E14)+IF(AND(Q16=4,Q15=4),D16-E15)+IF(AND(Q16=4,Q17=4),F16-E17)+IF(AND(Q16=4,Q18=4),G16-E18)</f>
        <v>0</v>
      </c>
      <c r="M16" s="483">
        <f>SUM(AND(R16=R14,C16&gt;E14),AND(R16=R15,D16&gt;E15),AND(R16=R17,F16&gt;E17),AND(R16=R18,G16&gt;E18))</f>
        <v>0</v>
      </c>
      <c r="N16" s="537" t="str">
        <f>SUM(C16:G16)&amp;"-"&amp;SUM(E14:E18)</f>
        <v>28-39</v>
      </c>
      <c r="O16" s="538">
        <f>C16+D16+F16+G16-E14-E15-E17-E18</f>
        <v>-11</v>
      </c>
      <c r="P16" s="485">
        <f>SUM(C16:G16,E14:E18)/SUM(E14:E18)</f>
        <v>1.7179487179487178</v>
      </c>
      <c r="Q16" s="491">
        <f>VALUE(LEFT(H16,1))</f>
        <v>0</v>
      </c>
      <c r="R16" s="321">
        <f>Q16*100000+J16*10000+K16*1000+100*L16</f>
        <v>0</v>
      </c>
      <c r="S16" s="486">
        <f>R16+M16*0.1+IF(ISNONTEXT(B16),0,0.01)+0.0001*O16</f>
        <v>8.8999999999999999E-3</v>
      </c>
      <c r="T16" s="487" t="str">
        <f>Q16&amp;J16</f>
        <v>00</v>
      </c>
      <c r="U16" s="477"/>
      <c r="V16" s="477"/>
      <c r="W16" s="477"/>
      <c r="X16" s="477"/>
      <c r="Y16" s="477"/>
      <c r="Z16" s="477"/>
      <c r="AA16" s="485"/>
      <c r="AD16" s="405">
        <f t="shared" si="0"/>
        <v>90</v>
      </c>
      <c r="AE16" s="406">
        <f>IFERROR(INDEX(V!R$7:R$107,MATCH(AF16,V!L$7:L$107,0)),"")</f>
        <v>90</v>
      </c>
      <c r="AF16" s="407" t="str">
        <f t="shared" si="1"/>
        <v>Janek Tarto</v>
      </c>
    </row>
    <row r="17" spans="1:32" x14ac:dyDescent="0.2">
      <c r="A17" s="316">
        <v>4</v>
      </c>
      <c r="B17" s="493" t="s">
        <v>494</v>
      </c>
      <c r="C17" s="318">
        <v>6</v>
      </c>
      <c r="D17" s="492">
        <v>2</v>
      </c>
      <c r="E17" s="318">
        <v>13</v>
      </c>
      <c r="F17" s="319"/>
      <c r="G17" s="511"/>
      <c r="H17" s="317" t="str">
        <f>(IF(C17-F14&gt;0,1)+IF(D17-F15&gt;0,1)+IF(E17-F16&gt;0,1)+IF(G17-F18&gt;0,1))&amp;"-"&amp;(IF(C17-F14&lt;0,1)+IF(D17-F15&lt;0,1)+IF(E17-F16&lt;0,1)+IF(G17-F18&lt;0,1))</f>
        <v>1-2</v>
      </c>
      <c r="I17" s="318" t="str">
        <f>IF(AND(B17&lt;&gt;"",R$6=TRUE),A$13&amp;RANK(S17,S$14:S$18,0)," ")</f>
        <v>B3</v>
      </c>
      <c r="J17" s="489">
        <f>IF(AND(Q17=1,Q14=1,C17&gt;F14),1)+IF(AND(Q17=1,Q15=1,D17&gt;F15),1)+IF(AND(Q17=1,Q16=1,E17&gt;F16),1)+IF(AND(Q17=1,Q18=1,G17&gt;F18),1)+IF(AND(Q17=2,Q14=2,C17&gt;F14),1)+IF(AND(Q17=2,Q15=2,D17&gt;F15),1)+IF(AND(Q17=2,Q16=2,E17&gt;F16),1)+IF(AND(Q17=2,Q18=2,G17&gt;F18),1)+IF(AND(Q17=3,Q14=3,C17&gt;F14),1)+IF(AND(Q17=3,Q15=3,D17&gt;F15),1)+IF(AND(Q17=3,Q16=3,E17&gt;F16),1)+IF(AND(Q17=3,Q18=3,G17&gt;F18),1)</f>
        <v>0</v>
      </c>
      <c r="K17" s="483">
        <f>SUM(AND(T17=T14,C17&gt;F14),AND(T17=T15,D17&gt;F15),AND(T17=T16,E17&gt;F16),AND(T17=T18,G17&gt;F18))</f>
        <v>0</v>
      </c>
      <c r="L17" s="490">
        <f>IF(AND(Q17=1,Q14=1),C17-F14)+IF(AND(Q17=1,Q15=1),D17-F15)+IF(AND(Q17=1,Q16=1),E17-F16)+IF(AND(Q17=1,Q18=1),G17-F18)+IF(AND(Q17=2,Q14=2),C17-F14)+IF(AND(Q17=2,Q15=2),D17-F15)+IF(AND(Q17=2,Q16=2),E17-F16)+IF(AND(Q17=2,Q18=2),G17-F18)+IF(AND(Q17=3,Q14=3),C17-F14)+IF(AND(Q17=3,Q15=3),D17-F15)+IF(AND(Q17=3,Q16=3),E17-F16)+IF(AND(Q17=3,Q18=3),G17-F18)+IF(AND(Q17=4,Q14=4),C17-F14)+IF(AND(Q17=4,Q15=4),D17-F15)+IF(AND(Q17=4,Q16=4),E17-F16)+IF(AND(Q17=4,Q18=4),G17-F18)</f>
        <v>0</v>
      </c>
      <c r="M17" s="483">
        <f>SUM(AND(R17=R14,C17&gt;F14),AND(R17=R15,D17&gt;F15),AND(R17=R16,E17&gt;F16),AND(R17=R18,G17&gt;F18))</f>
        <v>0</v>
      </c>
      <c r="N17" s="537" t="str">
        <f>SUM(C17:G17)&amp;"-"&amp;SUM(F14:F18)</f>
        <v>21-38</v>
      </c>
      <c r="O17" s="538">
        <f>C17+D17+E17+G17-F14-F15-F16-F18</f>
        <v>-17</v>
      </c>
      <c r="P17" s="485">
        <f>SUM(C17:G17,F14:F18)/SUM(F14:F18)</f>
        <v>1.5526315789473684</v>
      </c>
      <c r="Q17" s="491">
        <f>VALUE(LEFT(H17,1))</f>
        <v>1</v>
      </c>
      <c r="R17" s="321">
        <f>Q17*100000+J17*10000+K17*1000+100*L17</f>
        <v>100000</v>
      </c>
      <c r="S17" s="486">
        <f>R17+M17*0.1+IF(ISNONTEXT(B17),0,0.01)+0.0001*O17</f>
        <v>100000.0083</v>
      </c>
      <c r="T17" s="487" t="str">
        <f>Q17&amp;J17</f>
        <v>10</v>
      </c>
      <c r="U17" s="477"/>
      <c r="V17" s="477"/>
      <c r="W17" s="477"/>
      <c r="X17" s="477"/>
      <c r="Y17" s="477"/>
      <c r="Z17" s="477"/>
      <c r="AA17" s="485"/>
      <c r="AD17" s="405">
        <f t="shared" si="0"/>
        <v>7</v>
      </c>
      <c r="AE17" s="406">
        <f>IFERROR(INDEX(V!R$7:R$107,MATCH(AF17,V!L$7:L$107,0)),"")</f>
        <v>7</v>
      </c>
      <c r="AF17" s="407" t="str">
        <f t="shared" si="1"/>
        <v>Tõnis Anton</v>
      </c>
    </row>
    <row r="18" spans="1:32" hidden="1" x14ac:dyDescent="0.2">
      <c r="A18" s="316">
        <v>5</v>
      </c>
      <c r="B18" s="493"/>
      <c r="C18" s="318"/>
      <c r="D18" s="318"/>
      <c r="E18" s="318"/>
      <c r="F18" s="318"/>
      <c r="G18" s="319"/>
      <c r="H18" s="317" t="str">
        <f>(IF(C18-G14&gt;0,1)+IF(D18-G15&gt;0,1)+IF(E18-G16&gt;0,1)+IF(F18-G17&gt;0,1))&amp;"-"&amp;(IF(C18-G14&lt;0,1)+IF(D18-G15&lt;0,1)+IF(E18-G16&lt;0,1)+IF(F18-G17&lt;0,1))</f>
        <v>0-0</v>
      </c>
      <c r="I18" s="318" t="str">
        <f>IF(AND(B18&lt;&gt;"",R$6=TRUE),A$13&amp;RANK(S18,S$14:S$18,0)," ")</f>
        <v xml:space="preserve"> </v>
      </c>
      <c r="J18" s="489">
        <f>IF(AND(Q18=1,Q14=1,C18&gt;G14),1)+IF(AND(Q18=1,Q15=1,D18&gt;G15),1)+IF(AND(Q18=1,Q16=1,E18&gt;G16),1)+IF(AND(Q18=1,Q17=1,F18&gt;G17),1)+IF(AND(Q18=2,Q14=2,C18&gt;G14),1)+IF(AND(Q18=2,Q15=2,D18&gt;G15),1)+IF(AND(Q18=2,Q16=2,E18&gt;G16),1)+IF(AND(Q18=2,Q17=2,F18&gt;G17),1)+IF(AND(Q18=3,Q14=3,C18&gt;G14),1)+IF(AND(Q18=3,Q15=3,D18&gt;G15),1)+IF(AND(Q18=3,Q16=3,E18&gt;G16),1)+IF(AND(Q18=3,Q17=3,F18&gt;G17),1)</f>
        <v>0</v>
      </c>
      <c r="K18" s="483">
        <f>SUM(AND(T18=T14,C18&gt;G14),AND(T18=T15,D18&gt;G15),AND(T18=T16,E18&gt;G16),AND(T18=T17,F18&gt;G17))</f>
        <v>0</v>
      </c>
      <c r="L18" s="490">
        <f>IF(AND(Q18=1,Q14=1),C18-G14)+IF(AND(Q18=1,Q15=1),D18-G15)+IF(AND(Q18=1,Q16=1),E18-G16)+IF(AND(Q18=1,Q17=1),F18-G17)+IF(AND(Q18=2,Q14=2),C18-G14)+IF(AND(Q18=2,Q15=2),D18-G15)+IF(AND(Q18=2,Q16=2),E18-G16)+IF(AND(Q18=2,Q17=2),F18-G17)+IF(AND(Q18=3,Q14=3),C18-G14)+IF(AND(Q18=3,Q15=3),D18-G15)+IF(AND(Q18=3,Q16=3),E18-G16)+IF(AND(Q18=3,Q17=3),F18-G17)+IF(AND(Q18=4,Q14=4),C18-G14)+IF(AND(Q18=4,Q15=4),D18-G15)+IF(AND(Q18=4,Q16=4),E18-G16)+IF(AND(Q18=4,Q17=4),F18-G17)</f>
        <v>0</v>
      </c>
      <c r="M18" s="483">
        <f>SUM(AND(R18=R14,C18&gt;G14),AND(R18=R15,D18&gt;G15),AND(R18=R16,E18&gt;G16),AND(R18=R17,F18&gt;G17))</f>
        <v>0</v>
      </c>
      <c r="N18" s="537" t="str">
        <f>SUM(C18:G18)&amp;"-"&amp;SUM(G14:G18)</f>
        <v>0-0</v>
      </c>
      <c r="O18" s="538">
        <f>C18+D18+E18+F18-G14-G15-G16-G17</f>
        <v>0</v>
      </c>
      <c r="P18" s="485" t="e">
        <f>SUM(C18:G18,G14:G18)/SUM(G14:G18)</f>
        <v>#DIV/0!</v>
      </c>
      <c r="Q18" s="491">
        <f>VALUE(LEFT(H18,1))</f>
        <v>0</v>
      </c>
      <c r="R18" s="321">
        <f>Q18*100000+J18*10000+K18*1000+100*L18</f>
        <v>0</v>
      </c>
      <c r="S18" s="486">
        <f>R18+M18*0.1+IF(ISNONTEXT(B18),0,0.01)+0.0001*O18</f>
        <v>0</v>
      </c>
      <c r="T18" s="487" t="str">
        <f>Q18&amp;J18</f>
        <v>00</v>
      </c>
      <c r="U18" s="477"/>
      <c r="V18" s="477"/>
      <c r="W18" s="477"/>
      <c r="X18" s="477"/>
      <c r="Y18" s="477"/>
      <c r="Z18" s="477"/>
      <c r="AA18" s="485"/>
      <c r="AD18" s="405">
        <f t="shared" si="0"/>
        <v>0</v>
      </c>
      <c r="AE18" s="406" t="str">
        <f>IFERROR(INDEX(V!R$7:R$107,MATCH(AF18,V!L$7:L$107,0)),"")</f>
        <v/>
      </c>
      <c r="AF18" s="407">
        <f t="shared" si="1"/>
        <v>0</v>
      </c>
    </row>
    <row r="19" spans="1:32" x14ac:dyDescent="0.2">
      <c r="A19" s="494"/>
      <c r="B19" s="495"/>
      <c r="C19" s="496"/>
      <c r="D19" s="497"/>
      <c r="E19" s="496"/>
      <c r="F19" s="498"/>
      <c r="G19" s="499"/>
      <c r="H19" s="500"/>
      <c r="I19" s="512"/>
      <c r="J19" s="477"/>
      <c r="K19" s="477"/>
      <c r="L19" s="477"/>
      <c r="M19" s="477"/>
      <c r="N19" s="539"/>
      <c r="O19" s="539"/>
      <c r="P19" s="477"/>
      <c r="Q19" s="477"/>
      <c r="R19" s="502" t="s">
        <v>264</v>
      </c>
      <c r="S19" s="477"/>
      <c r="T19" s="477"/>
      <c r="U19" s="477"/>
      <c r="V19" s="477"/>
      <c r="W19" s="477"/>
      <c r="X19" s="477"/>
      <c r="Y19" s="477"/>
      <c r="Z19" s="477"/>
      <c r="AA19" s="485"/>
      <c r="AD19" s="405">
        <f t="shared" si="0"/>
        <v>0</v>
      </c>
      <c r="AE19" s="406" t="str">
        <f>IFERROR(INDEX(V!R$7:R$107,MATCH(AF19,V!L$7:L$107,0)),"")</f>
        <v/>
      </c>
      <c r="AF19" s="407">
        <f t="shared" si="1"/>
        <v>0</v>
      </c>
    </row>
    <row r="20" spans="1:32" x14ac:dyDescent="0.2">
      <c r="A20" s="316" t="s">
        <v>2</v>
      </c>
      <c r="B20" s="503"/>
      <c r="C20" s="467">
        <v>1</v>
      </c>
      <c r="D20" s="467">
        <v>2</v>
      </c>
      <c r="E20" s="467">
        <v>3</v>
      </c>
      <c r="F20" s="467">
        <v>4</v>
      </c>
      <c r="G20" s="467"/>
      <c r="H20" s="468" t="s">
        <v>168</v>
      </c>
      <c r="I20" s="468" t="s">
        <v>169</v>
      </c>
      <c r="J20" s="504" t="s">
        <v>257</v>
      </c>
      <c r="K20" s="505" t="s">
        <v>258</v>
      </c>
      <c r="L20" s="506" t="s">
        <v>259</v>
      </c>
      <c r="M20" s="506" t="s">
        <v>260</v>
      </c>
      <c r="N20" s="472" t="s">
        <v>170</v>
      </c>
      <c r="O20" s="472" t="s">
        <v>170</v>
      </c>
      <c r="P20" s="473" t="s">
        <v>261</v>
      </c>
      <c r="Q20" s="507" t="s">
        <v>21</v>
      </c>
      <c r="R20" s="507" t="b">
        <f>OR(AND(COUNTA(B21:B25)=3,COUNTA(C21:G25)=6),AND(COUNTA(B21:B25)=4,COUNTA(C21:G25)=12),AND(COUNTA(B21:B25)=5,COUNTA(C21:G25)=20))</f>
        <v>1</v>
      </c>
      <c r="S20" s="508" t="s">
        <v>262</v>
      </c>
      <c r="T20" s="509" t="s">
        <v>263</v>
      </c>
      <c r="U20" s="477"/>
      <c r="V20" s="477"/>
      <c r="W20" s="477"/>
      <c r="X20" s="477"/>
      <c r="Y20" s="477"/>
      <c r="Z20" s="477"/>
      <c r="AA20" s="477"/>
      <c r="AD20" s="405">
        <f t="shared" si="0"/>
        <v>0</v>
      </c>
      <c r="AE20" s="406" t="str">
        <f>IFERROR(INDEX(V!R$7:R$107,MATCH(AF20,V!L$7:L$107,0)),"")</f>
        <v/>
      </c>
      <c r="AF20" s="407">
        <f t="shared" si="1"/>
        <v>0</v>
      </c>
    </row>
    <row r="21" spans="1:32" x14ac:dyDescent="0.2">
      <c r="A21" s="316">
        <v>1</v>
      </c>
      <c r="B21" s="479" t="s">
        <v>123</v>
      </c>
      <c r="C21" s="319"/>
      <c r="D21" s="318">
        <v>13</v>
      </c>
      <c r="E21" s="318">
        <v>13</v>
      </c>
      <c r="F21" s="318">
        <v>13</v>
      </c>
      <c r="G21" s="318"/>
      <c r="H21" s="317" t="str">
        <f>(IF(D21-C22&gt;0,1)+IF(E21-C23&gt;0,1)+IF(F21-C24&gt;0,1)+IF(G21-C25&gt;0,1))&amp;"-"&amp;(IF(D21-C22&lt;0,1)+IF(E21-C23&lt;0,1)+IF(F21-C24&lt;0,1)+IF(G21-C25&lt;0,1))</f>
        <v>3-0</v>
      </c>
      <c r="I21" s="318" t="str">
        <f>IF(AND(B21&lt;&gt;"",R$20=TRUE),A$20&amp;RANK(S21,S$21:S$25,0)," ")</f>
        <v>C1</v>
      </c>
      <c r="J21" s="480">
        <f>IF(AND(Q21=1,Q22=1,D21&gt;C22),1)+IF(AND(Q21=1,Q23=1,E21&gt;C23),1)+IF(AND(Q21=1,Q24=1,F21&gt;C24),1)+IF(AND(Q21=1,Q25=1,G21&gt;C25),1)+IF(AND(Q21=2,Q22=2,D21&gt;C22),1)+IF(AND(Q21=2,Q23=2,E21&gt;C23),1)+IF(AND(Q21=2,Q24=2,F21&gt;C24),1)+IF(AND(Q21=2,Q25=2,G21&gt;C25),1)+IF(AND(Q21=3,Q22=3,D21&gt;C22),1)+IF(AND(Q21=3,Q23=3,E21&gt;C23),1)+IF(AND(Q21=3,Q24=3,F21&gt;C24),1)+IF(AND(Q21=3,Q25=3,G21&gt;C25),1)</f>
        <v>0</v>
      </c>
      <c r="K21" s="481">
        <f>SUM(AND(T21=T22,D21&gt;C22),AND(T21=T23,E21&gt;C23),AND(T21=T24,F21&gt;C24),AND(T21=T25,G21&gt;C25))</f>
        <v>0</v>
      </c>
      <c r="L21" s="482">
        <f>IF(AND(Q21=1,Q22=1),D21-C22)+IF(AND(Q21=1,Q23=1),E21-C23)+IF(AND(Q21=1,Q24=1),F21-C24)+IF(AND(Q21=1,Q25=1),G21-C25)+IF(AND(Q21=2,Q22=2),D21-C22)+IF(AND(Q21=2,Q23=2),E21-C23)+IF(AND(Q21=2,Q24=2),F21-C24)+IF(AND(Q21=2,Q25=2),G21-C25)+IF(AND(Q21=3,Q22=3),D21-C22)+IF(AND(Q21=3,Q23=3),E21-C23)+IF(AND(Q21=3,Q24=3),F21-C24)+IF(AND(Q21=3,Q25=3),G21-C25)+IF(AND(Q21=4,Q22=4),D21-C22)+IF(AND(Q21=4,Q23=4),E21-C23)+IF(AND(Q21=4,Q24=4),F21-C24)+IF(AND(Q21=4,Q25=4),G21-C25)</f>
        <v>0</v>
      </c>
      <c r="M21" s="483">
        <f>SUM(AND(R21=R22,D21&gt;C22),AND(R21=R23,E21&gt;C23),AND(R21=R24,F21&gt;C24),AND(R21=R25,G21&gt;C25))</f>
        <v>0</v>
      </c>
      <c r="N21" s="537" t="str">
        <f>SUM(C21:G21)&amp;"-"&amp;SUM(C21:C25)</f>
        <v>39-13</v>
      </c>
      <c r="O21" s="538">
        <f>D21+E21+F21+G21-C22-C23-C24-C25</f>
        <v>26</v>
      </c>
      <c r="P21" s="485">
        <f>SUM(C21:G21,C21:C25)/SUM(C21:C25)</f>
        <v>4</v>
      </c>
      <c r="Q21" s="320">
        <f>VALUE(LEFT(H21,1))</f>
        <v>3</v>
      </c>
      <c r="R21" s="321">
        <f>Q21*100000+J21*10000+K21*1000+100*L21</f>
        <v>300000</v>
      </c>
      <c r="S21" s="486">
        <f>R21+M21*0.1+IF(ISNONTEXT(B21),0,0.01)+0.0001*O21</f>
        <v>300000.01260000002</v>
      </c>
      <c r="T21" s="487" t="str">
        <f>Q21&amp;J21</f>
        <v>30</v>
      </c>
      <c r="U21" s="477"/>
      <c r="V21" s="477"/>
      <c r="W21" s="477"/>
      <c r="X21" s="477"/>
      <c r="Y21" s="477"/>
      <c r="Z21" s="477"/>
      <c r="AA21" s="477"/>
      <c r="AD21" s="405">
        <f t="shared" si="0"/>
        <v>178</v>
      </c>
      <c r="AE21" s="406">
        <f>IFERROR(INDEX(V!R$7:R$107,MATCH(AF21,V!L$7:L$107,0)),"")</f>
        <v>178</v>
      </c>
      <c r="AF21" s="407" t="str">
        <f t="shared" si="1"/>
        <v>Oskar Sepp</v>
      </c>
    </row>
    <row r="22" spans="1:32" x14ac:dyDescent="0.2">
      <c r="A22" s="316">
        <v>2</v>
      </c>
      <c r="B22" s="488" t="s">
        <v>137</v>
      </c>
      <c r="C22" s="318">
        <v>3</v>
      </c>
      <c r="D22" s="319"/>
      <c r="E22" s="318">
        <v>10</v>
      </c>
      <c r="F22" s="318">
        <v>13</v>
      </c>
      <c r="G22" s="318"/>
      <c r="H22" s="317" t="str">
        <f>(IF(C22-D21&gt;0,1)+IF(E22-D23&gt;0,1)+IF(F22-D24&gt;0,1)+IF(G22-D25&gt;0,1))&amp;"-"&amp;(IF(C22-D21&lt;0,1)+IF(E22-D23&lt;0,1)+IF(F22-D24&lt;0,1)+IF(G22-D25&lt;0,1))</f>
        <v>1-2</v>
      </c>
      <c r="I22" s="318" t="str">
        <f t="shared" ref="I22:I25" si="2">IF(AND(B22&lt;&gt;"",R$20=TRUE),A$20&amp;RANK(S22,S$21:S$25,0)," ")</f>
        <v>C3</v>
      </c>
      <c r="J22" s="489">
        <f>IF(AND(Q22=1,Q21=1,C22&gt;D21),1)+IF(AND(Q22=1,Q23=1,E22&gt;D23),1)+IF(AND(Q22=1,Q24=1,F22&gt;D24),1)+IF(AND(Q22=1,Q25=1,G22&gt;D25),1)+IF(AND(Q22=2,Q21=2,C22&gt;D21),1)+IF(AND(Q22=2,Q23=2,E22&gt;D23),1)+IF(AND(Q22=2,Q24=2,F22&gt;D24),1)+IF(AND(Q22=2,Q25=2,G22&gt;D25),1)+IF(AND(Q22=3,Q21=3,C22&gt;D21),1)+IF(AND(Q22=3,Q23=3,E22&gt;D23),1)+IF(AND(Q22=3,Q24=3,F22&gt;D24),1)+IF(AND(Q22=3,Q25=3,G22&gt;D25),1)</f>
        <v>0</v>
      </c>
      <c r="K22" s="483">
        <f>SUM(AND(T22=T21,C22&gt;D21),AND(T22=T23,E22&gt;D23),AND(T22=T24,F22&gt;D24),AND(T22=T25,G22&gt;D25))</f>
        <v>0</v>
      </c>
      <c r="L22" s="490">
        <f>IF(AND(Q22=1,Q21=1),C22-D21)+IF(AND(Q22=1,Q23=1),E22-D23)+IF(AND(Q22=1,Q24=1),F22-D24)+IF(AND(Q22=1,Q25=1),G22-D25)+IF(AND(Q22=2,Q21=2),C22-D21)+IF(AND(Q22=2,Q23=2),E22-D23)+IF(AND(Q22=2,Q24=2),F22-D24)+IF(AND(Q22=2,Q25=2),G22-D25)+IF(AND(Q22=3,Q21=3),C22-D21)+IF(AND(Q22=3,Q23=3),E22-D23)+IF(AND(Q22=3,Q24=3),F22-D24)+IF(AND(Q22=3,Q25=3),G22-D25)+IF(AND(Q22=4,Q21=4),C22-D21)+IF(AND(Q22=4,Q23=4),E22-D23)+IF(AND(Q22=4,Q24=4),F22-D24)+IF(AND(Q22=4,Q25=4),G22-D25)</f>
        <v>0</v>
      </c>
      <c r="M22" s="483">
        <f>SUM(AND(R22=R21,C22&gt;D21),AND(R22=R23,E22&gt;D23),AND(R22=R24,F22&gt;D24),AND(R22=R25,G22&gt;D25))</f>
        <v>0</v>
      </c>
      <c r="N22" s="537" t="str">
        <f>SUM(C22:G22)&amp;"-"&amp;SUM(D21:D25)</f>
        <v>26-31</v>
      </c>
      <c r="O22" s="538">
        <f>C22+E22+F22+G22-D21-D23-D24-D25</f>
        <v>-5</v>
      </c>
      <c r="P22" s="485">
        <f>SUM(C22:G22,D21:D25)/SUM(D21:D25)</f>
        <v>1.8387096774193548</v>
      </c>
      <c r="Q22" s="491">
        <f>VALUE(LEFT(H22,1))</f>
        <v>1</v>
      </c>
      <c r="R22" s="321">
        <f>Q22*100000+J22*10000+K22*1000+100*L22</f>
        <v>100000</v>
      </c>
      <c r="S22" s="486">
        <f>R22+M22*0.1+IF(ISNONTEXT(B22),0,0.01)+0.0001*O22</f>
        <v>100000.0095</v>
      </c>
      <c r="T22" s="487" t="str">
        <f>Q22&amp;J22</f>
        <v>10</v>
      </c>
      <c r="U22" s="477"/>
      <c r="V22" s="477"/>
      <c r="W22" s="477"/>
      <c r="X22" s="477"/>
      <c r="Y22" s="477"/>
      <c r="Z22" s="477"/>
      <c r="AA22" s="477"/>
      <c r="AD22" s="405">
        <f t="shared" si="0"/>
        <v>118</v>
      </c>
      <c r="AE22" s="406">
        <f>IFERROR(INDEX(V!R$7:R$107,MATCH(AF22,V!L$7:L$107,0)),"")</f>
        <v>118</v>
      </c>
      <c r="AF22" s="407" t="str">
        <f t="shared" si="1"/>
        <v>Enn Tokman</v>
      </c>
    </row>
    <row r="23" spans="1:32" x14ac:dyDescent="0.2">
      <c r="A23" s="316">
        <v>3</v>
      </c>
      <c r="B23" s="488" t="s">
        <v>146</v>
      </c>
      <c r="C23" s="318">
        <v>5</v>
      </c>
      <c r="D23" s="492">
        <v>13</v>
      </c>
      <c r="E23" s="319"/>
      <c r="F23" s="318">
        <v>13</v>
      </c>
      <c r="G23" s="318"/>
      <c r="H23" s="317" t="str">
        <f>(IF(C23-E21&gt;0,1)+IF(D23-E22&gt;0,1)+IF(F23-E24&gt;0,1)+IF(G23-E25&gt;0,1))&amp;"-"&amp;(IF(C23-E21&lt;0,1)+IF(D23-E22&lt;0,1)+IF(F23-E24&lt;0,1)+IF(G23-E25&lt;0,1))</f>
        <v>2-1</v>
      </c>
      <c r="I23" s="318" t="str">
        <f t="shared" si="2"/>
        <v>C2</v>
      </c>
      <c r="J23" s="489">
        <f>IF(AND(Q23=1,Q21=1,C23&gt;E21),1)+IF(AND(Q23=1,Q22=1,D23&gt;E22),1)+IF(AND(Q23=1,Q24=1,F23&gt;E24),1)+IF(AND(Q23=1,Q25=1,G23&gt;E25),1)+IF(AND(Q23=2,Q21=2,C23&gt;E21),1)+IF(AND(Q23=2,Q22=2,D23&gt;E22),1)+IF(AND(Q23=2,Q24=2,F23&gt;E24),1)+IF(AND(Q23=2,Q25=2,G23&gt;E25),1)+IF(AND(Q23=3,Q21=3,C23&gt;E21),1)+IF(AND(Q23=3,Q22=3,D23&gt;E22),1)+IF(AND(Q23=3,Q24=3,F23&gt;E24),1)+IF(AND(Q23=3,Q25=3,G23&gt;E25),1)</f>
        <v>0</v>
      </c>
      <c r="K23" s="483">
        <f>SUM(AND(T23=T21,C23&gt;E21),AND(T23=T22,D23&gt;E22),AND(T23=T24,F23&gt;E24),AND(T23=T25,G23&gt;E25))</f>
        <v>0</v>
      </c>
      <c r="L23" s="490">
        <f>IF(AND(Q23=1,Q21=1),C23-E21)+IF(AND(Q23=1,Q22=1),D23-E22)+IF(AND(Q23=1,Q24=1),F23-E24)+IF(AND(Q23=1,Q25=1),G23-E25)+IF(AND(Q23=2,Q21=2),C23-E21)+IF(AND(Q23=2,Q22=2),D23-E22)+IF(AND(Q23=2,Q24=2),F23-E24)+IF(AND(Q23=2,Q25=2),G23-E25)+IF(AND(Q23=3,Q21=3),C23-E21)+IF(AND(Q23=3,Q22=3),D23-E22)+IF(AND(Q23=3,Q24=3),F23-E24)+IF(AND(Q23=3,Q25=3),G23-E25)+IF(AND(Q23=4,Q21=4),C23-E21)+IF(AND(Q23=4,Q22=4),D23-E22)+IF(AND(Q23=4,Q24=4),F23-E24)+IF(AND(Q23=4,Q25=4),G23-E25)</f>
        <v>0</v>
      </c>
      <c r="M23" s="483">
        <f>SUM(AND(R23=R21,C23&gt;E21),AND(R23=R22,D23&gt;E22),AND(R23=R24,F23&gt;E24),AND(R23=R25,G23&gt;E25))</f>
        <v>0</v>
      </c>
      <c r="N23" s="537" t="str">
        <f>SUM(C23:G23)&amp;"-"&amp;SUM(E21:E25)</f>
        <v>31-26</v>
      </c>
      <c r="O23" s="538">
        <f>C23+D23+F23+G23-E21-E22-E24-E25</f>
        <v>5</v>
      </c>
      <c r="P23" s="485">
        <f>SUM(C23:G23,E21:E25)/SUM(E21:E25)</f>
        <v>2.1923076923076925</v>
      </c>
      <c r="Q23" s="491">
        <f>VALUE(LEFT(H23,1))</f>
        <v>2</v>
      </c>
      <c r="R23" s="321">
        <f>Q23*100000+J23*10000+K23*1000+100*L23</f>
        <v>200000</v>
      </c>
      <c r="S23" s="486">
        <f>R23+M23*0.1+IF(ISNONTEXT(B23),0,0.01)+0.0001*O23</f>
        <v>200000.0105</v>
      </c>
      <c r="T23" s="487" t="str">
        <f>Q23&amp;J23</f>
        <v>20</v>
      </c>
      <c r="U23" s="477"/>
      <c r="V23" s="477"/>
      <c r="W23" s="477"/>
      <c r="X23" s="477"/>
      <c r="Y23" s="477"/>
      <c r="Z23" s="477"/>
      <c r="AA23" s="477"/>
      <c r="AD23" s="405">
        <f t="shared" si="0"/>
        <v>112</v>
      </c>
      <c r="AE23" s="406">
        <f>IFERROR(INDEX(V!R$7:R$107,MATCH(AF23,V!L$7:L$107,0)),"")</f>
        <v>112</v>
      </c>
      <c r="AF23" s="407" t="str">
        <f t="shared" si="1"/>
        <v>Ljudmila Varendi</v>
      </c>
    </row>
    <row r="24" spans="1:32" x14ac:dyDescent="0.2">
      <c r="A24" s="316">
        <v>4</v>
      </c>
      <c r="B24" s="488" t="s">
        <v>166</v>
      </c>
      <c r="C24" s="318">
        <v>5</v>
      </c>
      <c r="D24" s="492">
        <v>5</v>
      </c>
      <c r="E24" s="318">
        <v>3</v>
      </c>
      <c r="F24" s="319"/>
      <c r="G24" s="511"/>
      <c r="H24" s="317" t="str">
        <f>(IF(C24-F21&gt;0,1)+IF(D24-F22&gt;0,1)+IF(E24-F23&gt;0,1)+IF(G24-F25&gt;0,1))&amp;"-"&amp;(IF(C24-F21&lt;0,1)+IF(D24-F22&lt;0,1)+IF(E24-F23&lt;0,1)+IF(G24-F25&lt;0,1))</f>
        <v>0-3</v>
      </c>
      <c r="I24" s="318" t="str">
        <f t="shared" si="2"/>
        <v>C4</v>
      </c>
      <c r="J24" s="489">
        <f>IF(AND(Q24=1,Q21=1,C24&gt;F21),1)+IF(AND(Q24=1,Q22=1,D24&gt;F22),1)+IF(AND(Q24=1,Q23=1,E24&gt;F23),1)+IF(AND(Q24=1,Q25=1,G24&gt;F25),1)+IF(AND(Q24=2,Q21=2,C24&gt;F21),1)+IF(AND(Q24=2,Q22=2,D24&gt;F22),1)+IF(AND(Q24=2,Q23=2,E24&gt;F23),1)+IF(AND(Q24=2,Q25=2,G24&gt;F25),1)+IF(AND(Q24=3,Q21=3,C24&gt;F21),1)+IF(AND(Q24=3,Q22=3,D24&gt;F22),1)+IF(AND(Q24=3,Q23=3,E24&gt;F23),1)+IF(AND(Q24=3,Q25=3,G24&gt;F25),1)</f>
        <v>0</v>
      </c>
      <c r="K24" s="483">
        <f>SUM(AND(T24=T21,C24&gt;F21),AND(T24=T22,D24&gt;F22),AND(T24=T23,E24&gt;F23),AND(T24=T25,G24&gt;F25))</f>
        <v>0</v>
      </c>
      <c r="L24" s="490">
        <f>IF(AND(Q24=1,Q21=1),C24-F21)+IF(AND(Q24=1,Q22=1),D24-F22)+IF(AND(Q24=1,Q23=1),E24-F23)+IF(AND(Q24=1,Q25=1),G24-F25)+IF(AND(Q24=2,Q21=2),C24-F21)+IF(AND(Q24=2,Q22=2),D24-F22)+IF(AND(Q24=2,Q23=2),E24-F23)+IF(AND(Q24=2,Q25=2),G24-F25)+IF(AND(Q24=3,Q21=3),C24-F21)+IF(AND(Q24=3,Q22=3),D24-F22)+IF(AND(Q24=3,Q23=3),E24-F23)+IF(AND(Q24=3,Q25=3),G24-F25)+IF(AND(Q24=4,Q21=4),C24-F21)+IF(AND(Q24=4,Q22=4),D24-F22)+IF(AND(Q24=4,Q23=4),E24-F23)+IF(AND(Q24=4,Q25=4),G24-F25)</f>
        <v>0</v>
      </c>
      <c r="M24" s="483">
        <f>SUM(AND(R24=R21,C24&gt;F21),AND(R24=R22,D24&gt;F22),AND(R24=R23,E24&gt;F23),AND(R24=R25,G24&gt;F25))</f>
        <v>0</v>
      </c>
      <c r="N24" s="537" t="str">
        <f>SUM(C24:G24)&amp;"-"&amp;SUM(F21:F25)</f>
        <v>13-39</v>
      </c>
      <c r="O24" s="538">
        <f>C24+D24+E24+G24-F21-F22-F23-F25</f>
        <v>-26</v>
      </c>
      <c r="P24" s="485">
        <f>SUM(C24:G24,F21:F25)/SUM(F21:F25)</f>
        <v>1.3333333333333333</v>
      </c>
      <c r="Q24" s="491">
        <f>VALUE(LEFT(H24,1))</f>
        <v>0</v>
      </c>
      <c r="R24" s="321">
        <f>Q24*100000+J24*10000+K24*1000+100*L24</f>
        <v>0</v>
      </c>
      <c r="S24" s="486">
        <f>R24+M24*0.1+IF(ISNONTEXT(B24),0,0.01)+0.0001*O24</f>
        <v>7.4000000000000003E-3</v>
      </c>
      <c r="T24" s="487" t="str">
        <f>Q24&amp;J24</f>
        <v>00</v>
      </c>
      <c r="U24" s="477"/>
      <c r="V24" s="477"/>
      <c r="W24" s="477"/>
      <c r="X24" s="477"/>
      <c r="Y24" s="477"/>
      <c r="Z24" s="477"/>
      <c r="AA24" s="477"/>
      <c r="AD24" s="405">
        <f t="shared" si="0"/>
        <v>53</v>
      </c>
      <c r="AE24" s="406">
        <f>IFERROR(INDEX(V!R$7:R$107,MATCH(AF24,V!L$7:L$107,0)),"")</f>
        <v>53</v>
      </c>
      <c r="AF24" s="407" t="str">
        <f t="shared" si="1"/>
        <v>Marta Bernat</v>
      </c>
    </row>
    <row r="25" spans="1:32" hidden="1" x14ac:dyDescent="0.2">
      <c r="A25" s="316">
        <v>5</v>
      </c>
      <c r="B25" s="493"/>
      <c r="C25" s="318"/>
      <c r="D25" s="318"/>
      <c r="E25" s="318"/>
      <c r="F25" s="318"/>
      <c r="G25" s="319"/>
      <c r="H25" s="317" t="str">
        <f>(IF(C25-G21&gt;0,1)+IF(D25-G22&gt;0,1)+IF(E25-G23&gt;0,1)+IF(F25-G24&gt;0,1))&amp;"-"&amp;(IF(C25-G21&lt;0,1)+IF(D25-G22&lt;0,1)+IF(E25-G23&lt;0,1)+IF(F25-G24&lt;0,1))</f>
        <v>0-0</v>
      </c>
      <c r="I25" s="318" t="str">
        <f t="shared" si="2"/>
        <v xml:space="preserve"> </v>
      </c>
      <c r="J25" s="489">
        <f>IF(AND(Q25=1,Q21=1,C25&gt;G21),1)+IF(AND(Q25=1,Q22=1,D25&gt;G22),1)+IF(AND(Q25=1,Q23=1,E25&gt;G23),1)+IF(AND(Q25=1,Q24=1,F25&gt;G24),1)+IF(AND(Q25=2,Q21=2,C25&gt;G21),1)+IF(AND(Q25=2,Q22=2,D25&gt;G22),1)+IF(AND(Q25=2,Q23=2,E25&gt;G23),1)+IF(AND(Q25=2,Q24=2,F25&gt;G24),1)+IF(AND(Q25=3,Q21=3,C25&gt;G21),1)+IF(AND(Q25=3,Q22=3,D25&gt;G22),1)+IF(AND(Q25=3,Q23=3,E25&gt;G23),1)+IF(AND(Q25=3,Q24=3,F25&gt;G24),1)</f>
        <v>0</v>
      </c>
      <c r="K25" s="483">
        <f>SUM(AND(T25=T21,C25&gt;G21),AND(T25=T22,D25&gt;G22),AND(T25=T23,E25&gt;G23),AND(T25=T24,F25&gt;G24))</f>
        <v>0</v>
      </c>
      <c r="L25" s="490">
        <f>IF(AND(Q25=1,Q21=1),C25-G21)+IF(AND(Q25=1,Q22=1),D25-G22)+IF(AND(Q25=1,Q23=1),E25-G23)+IF(AND(Q25=1,Q24=1),F25-G24)+IF(AND(Q25=2,Q21=2),C25-G21)+IF(AND(Q25=2,Q22=2),D25-G22)+IF(AND(Q25=2,Q23=2),E25-G23)+IF(AND(Q25=2,Q24=2),F25-G24)+IF(AND(Q25=3,Q21=3),C25-G21)+IF(AND(Q25=3,Q22=3),D25-G22)+IF(AND(Q25=3,Q23=3),E25-G23)+IF(AND(Q25=3,Q24=3),F25-G24)+IF(AND(Q25=4,Q21=4),C25-G21)+IF(AND(Q25=4,Q22=4),D25-G22)+IF(AND(Q25=4,Q23=4),E25-G23)+IF(AND(Q25=4,Q24=4),F25-G24)</f>
        <v>0</v>
      </c>
      <c r="M25" s="483">
        <f>SUM(AND(R25=R21,C25&gt;G21),AND(R25=R22,D25&gt;G22),AND(R25=R23,E25&gt;G23),AND(R25=R24,F25&gt;G24))</f>
        <v>0</v>
      </c>
      <c r="N25" s="537" t="str">
        <f>SUM(C25:G25)&amp;"-"&amp;SUM(G21:G25)</f>
        <v>0-0</v>
      </c>
      <c r="O25" s="538">
        <f>C25+D25+E25+F25-G21-G22-G23-G24</f>
        <v>0</v>
      </c>
      <c r="P25" s="485" t="e">
        <f>SUM(C25:G25,G21:G25)/SUM(G21:G25)</f>
        <v>#DIV/0!</v>
      </c>
      <c r="Q25" s="491">
        <f>VALUE(LEFT(H25,1))</f>
        <v>0</v>
      </c>
      <c r="R25" s="321">
        <f>Q25*100000+J25*10000+K25*1000+100*L25</f>
        <v>0</v>
      </c>
      <c r="S25" s="486">
        <f>R25+M25*0.1+IF(ISNONTEXT(B25),0,0.01)+0.0001*O25</f>
        <v>0</v>
      </c>
      <c r="T25" s="487" t="str">
        <f>Q25&amp;J25</f>
        <v>00</v>
      </c>
      <c r="U25" s="477"/>
      <c r="V25" s="477"/>
      <c r="W25" s="477"/>
      <c r="X25" s="477"/>
      <c r="Y25" s="477"/>
      <c r="Z25" s="477"/>
      <c r="AA25" s="477"/>
      <c r="AD25" s="405">
        <f t="shared" si="0"/>
        <v>0</v>
      </c>
      <c r="AE25" s="406" t="str">
        <f>IFERROR(INDEX(V!R$7:R$107,MATCH(AF25,V!L$7:L$107,0)),"")</f>
        <v/>
      </c>
      <c r="AF25" s="407">
        <f t="shared" si="1"/>
        <v>0</v>
      </c>
    </row>
    <row r="26" spans="1:32" x14ac:dyDescent="0.2">
      <c r="A26" s="513"/>
      <c r="B26" s="514"/>
      <c r="C26" s="499"/>
      <c r="D26" s="499"/>
      <c r="E26" s="499"/>
      <c r="F26" s="515"/>
      <c r="G26" s="515"/>
      <c r="H26" s="516"/>
      <c r="I26" s="517"/>
      <c r="J26" s="477"/>
      <c r="K26" s="477"/>
      <c r="L26" s="477"/>
      <c r="M26" s="477"/>
      <c r="N26" s="539"/>
      <c r="O26" s="539"/>
      <c r="P26" s="477"/>
      <c r="Q26" s="477"/>
      <c r="R26" s="502" t="s">
        <v>264</v>
      </c>
      <c r="S26" s="477"/>
      <c r="T26" s="477"/>
      <c r="U26" s="477"/>
      <c r="V26" s="477"/>
      <c r="W26" s="477"/>
      <c r="X26" s="477"/>
      <c r="Y26" s="477"/>
      <c r="Z26" s="477"/>
      <c r="AA26" s="477"/>
      <c r="AD26" s="405">
        <f t="shared" si="0"/>
        <v>0</v>
      </c>
      <c r="AE26" s="406" t="str">
        <f>IFERROR(INDEX(V!R$7:R$107,MATCH(AF26,V!L$7:L$107,0)),"")</f>
        <v/>
      </c>
      <c r="AF26" s="407">
        <f t="shared" si="1"/>
        <v>0</v>
      </c>
    </row>
    <row r="27" spans="1:32" x14ac:dyDescent="0.2">
      <c r="A27" s="316" t="s">
        <v>3</v>
      </c>
      <c r="B27" s="503"/>
      <c r="C27" s="467">
        <v>1</v>
      </c>
      <c r="D27" s="467">
        <v>2</v>
      </c>
      <c r="E27" s="467">
        <v>3</v>
      </c>
      <c r="F27" s="467">
        <v>4</v>
      </c>
      <c r="G27" s="467"/>
      <c r="H27" s="468" t="s">
        <v>168</v>
      </c>
      <c r="I27" s="468" t="s">
        <v>169</v>
      </c>
      <c r="J27" s="504" t="s">
        <v>257</v>
      </c>
      <c r="K27" s="505" t="s">
        <v>258</v>
      </c>
      <c r="L27" s="506" t="s">
        <v>259</v>
      </c>
      <c r="M27" s="506" t="s">
        <v>260</v>
      </c>
      <c r="N27" s="472" t="s">
        <v>170</v>
      </c>
      <c r="O27" s="472" t="s">
        <v>170</v>
      </c>
      <c r="P27" s="473" t="s">
        <v>261</v>
      </c>
      <c r="Q27" s="507" t="s">
        <v>21</v>
      </c>
      <c r="R27" s="507" t="b">
        <f>OR(AND(COUNTA(B28:B32)=3,COUNTA(C28:G32)=6),AND(COUNTA(B28:B32)=4,COUNTA(C28:G32)=12),AND(COUNTA(B28:B32)=5,COUNTA(C28:G32)=20))</f>
        <v>1</v>
      </c>
      <c r="S27" s="508" t="s">
        <v>262</v>
      </c>
      <c r="T27" s="509" t="s">
        <v>263</v>
      </c>
      <c r="U27" s="477"/>
      <c r="V27" s="477"/>
      <c r="W27" s="477"/>
      <c r="X27" s="477"/>
      <c r="Y27" s="477"/>
      <c r="Z27" s="477"/>
      <c r="AA27" s="477"/>
      <c r="AD27" s="405">
        <f t="shared" si="0"/>
        <v>0</v>
      </c>
      <c r="AE27" s="406" t="str">
        <f>IFERROR(INDEX(V!R$7:R$107,MATCH(AF27,V!L$7:L$107,0)),"")</f>
        <v/>
      </c>
      <c r="AF27" s="407">
        <f t="shared" si="1"/>
        <v>0</v>
      </c>
    </row>
    <row r="28" spans="1:32" x14ac:dyDescent="0.2">
      <c r="A28" s="316">
        <v>1</v>
      </c>
      <c r="B28" s="518" t="s">
        <v>153</v>
      </c>
      <c r="C28" s="319"/>
      <c r="D28" s="318">
        <v>13</v>
      </c>
      <c r="E28" s="318">
        <v>13</v>
      </c>
      <c r="F28" s="318">
        <v>13</v>
      </c>
      <c r="G28" s="318"/>
      <c r="H28" s="317" t="str">
        <f>(IF(D28-C29&gt;0,1)+IF(E28-C30&gt;0,1)+IF(F28-C31&gt;0,1)+IF(G28-C32&gt;0,1))&amp;"-"&amp;(IF(D28-C29&lt;0,1)+IF(E28-C30&lt;0,1)+IF(F28-C31&lt;0,1)+IF(G28-C32&lt;0,1))</f>
        <v>3-0</v>
      </c>
      <c r="I28" s="318" t="str">
        <f>IF(AND(B28&lt;&gt;"",R$27=TRUE),A$27&amp;RANK(S28,S$28:S$32,0)," ")</f>
        <v>D1</v>
      </c>
      <c r="J28" s="480">
        <f>IF(AND(Q28=1,Q29=1,D28&gt;C29),1)+IF(AND(Q28=1,Q30=1,E28&gt;C30),1)+IF(AND(Q28=1,Q31=1,F28&gt;C31),1)+IF(AND(Q28=1,Q32=1,G28&gt;C32),1)+IF(AND(Q28=2,Q29=2,D28&gt;C29),1)+IF(AND(Q28=2,Q30=2,E28&gt;C30),1)+IF(AND(Q28=2,Q31=2,F28&gt;C31),1)+IF(AND(Q28=2,Q32=2,G28&gt;C32),1)+IF(AND(Q28=3,Q29=3,D28&gt;C29),1)+IF(AND(Q28=3,Q30=3,E28&gt;C30),1)+IF(AND(Q28=3,Q31=3,F28&gt;C31),1)+IF(AND(Q28=3,Q32=3,G28&gt;C32),1)</f>
        <v>0</v>
      </c>
      <c r="K28" s="481">
        <f>SUM(AND(T28=T29,D28&gt;C29),AND(T28=T30,E28&gt;C30),AND(T28=T31,F28&gt;C31),AND(T28=T32,G28&gt;C32))</f>
        <v>0</v>
      </c>
      <c r="L28" s="482">
        <f>IF(AND(Q28=1,Q29=1),D28-C29)+IF(AND(Q28=1,Q30=1),E28-C30)+IF(AND(Q28=1,Q31=1),F28-C31)+IF(AND(Q28=1,Q32=1),G28-C32)+IF(AND(Q28=2,Q29=2),D28-C29)+IF(AND(Q28=2,Q30=2),E28-C30)+IF(AND(Q28=2,Q31=2),F28-C31)+IF(AND(Q28=2,Q32=2),G28-C32)+IF(AND(Q28=3,Q29=3),D28-C29)+IF(AND(Q28=3,Q30=3),E28-C30)+IF(AND(Q28=3,Q31=3),F28-C31)+IF(AND(Q28=3,Q32=3),G28-C32)+IF(AND(Q28=4,Q29=4),D28-C29)+IF(AND(Q28=4,Q30=4),E28-C30)+IF(AND(Q28=4,Q31=4),F28-C31)+IF(AND(Q28=4,Q32=4),G28-C32)</f>
        <v>0</v>
      </c>
      <c r="M28" s="483">
        <f>SUM(AND(R28=R29,D28&gt;C29),AND(R28=R30,E28&gt;C30),AND(R28=R31,F28&gt;C31),AND(R28=R32,G28&gt;C32))</f>
        <v>0</v>
      </c>
      <c r="N28" s="537" t="str">
        <f>SUM(C28:G28)&amp;"-"&amp;SUM(C28:C32)</f>
        <v>39-20</v>
      </c>
      <c r="O28" s="538">
        <f>D28+E28+F28+G28-C29-C30-C31-C32</f>
        <v>19</v>
      </c>
      <c r="P28" s="485">
        <f>SUM(C28:G28,C28:C32)/SUM(C28:C32)</f>
        <v>2.95</v>
      </c>
      <c r="Q28" s="320">
        <f>VALUE(LEFT(H28,1))</f>
        <v>3</v>
      </c>
      <c r="R28" s="321">
        <f>Q28*100000+J28*10000+K28*1000+100*L28</f>
        <v>300000</v>
      </c>
      <c r="S28" s="486">
        <f>R28+M28*0.1+IF(ISNONTEXT(B28),0,0.01)+0.0001*O28</f>
        <v>300000.01189999998</v>
      </c>
      <c r="T28" s="487" t="str">
        <f>Q28&amp;J28</f>
        <v>30</v>
      </c>
      <c r="U28" s="477"/>
      <c r="V28" s="477"/>
      <c r="W28" s="477"/>
      <c r="X28" s="477"/>
      <c r="Y28" s="477"/>
      <c r="Z28" s="477"/>
      <c r="AA28" s="477"/>
      <c r="AD28" s="405">
        <f t="shared" si="0"/>
        <v>164</v>
      </c>
      <c r="AE28" s="406">
        <f>IFERROR(INDEX(V!R$7:R$107,MATCH(AF28,V!L$7:L$107,0)),"")</f>
        <v>164</v>
      </c>
      <c r="AF28" s="407" t="str">
        <f t="shared" si="1"/>
        <v>Kaspar Mänd</v>
      </c>
    </row>
    <row r="29" spans="1:32" x14ac:dyDescent="0.2">
      <c r="A29" s="316">
        <v>2</v>
      </c>
      <c r="B29" s="488" t="s">
        <v>265</v>
      </c>
      <c r="C29" s="318">
        <v>8</v>
      </c>
      <c r="D29" s="319"/>
      <c r="E29" s="654">
        <v>4</v>
      </c>
      <c r="F29" s="654">
        <v>13</v>
      </c>
      <c r="G29" s="318"/>
      <c r="H29" s="317" t="str">
        <f>(IF(C29-D28&gt;0,1)+IF(E29-D30&gt;0,1)+IF(F29-D31&gt;0,1)+IF(G29-D32&gt;0,1))&amp;"-"&amp;(IF(C29-D28&lt;0,1)+IF(E29-D30&lt;0,1)+IF(F29-D31&lt;0,1)+IF(G29-D32&lt;0,1))</f>
        <v>1-2</v>
      </c>
      <c r="I29" s="318" t="str">
        <f t="shared" ref="I29:I32" si="3">IF(AND(B29&lt;&gt;"",R$27=TRUE),A$27&amp;RANK(S29,S$28:S$32,0)," ")</f>
        <v>D3</v>
      </c>
      <c r="J29" s="489">
        <f>IF(AND(Q29=1,Q28=1,C29&gt;D28),1)+IF(AND(Q29=1,Q30=1,E29&gt;D30),1)+IF(AND(Q29=1,Q31=1,F29&gt;D31),1)+IF(AND(Q29=1,Q32=1,G29&gt;D32),1)+IF(AND(Q29=2,Q28=2,C29&gt;D28),1)+IF(AND(Q29=2,Q30=2,E29&gt;D30),1)+IF(AND(Q29=2,Q31=2,F29&gt;D31),1)+IF(AND(Q29=2,Q32=2,G29&gt;D32),1)+IF(AND(Q29=3,Q28=3,C29&gt;D28),1)+IF(AND(Q29=3,Q30=3,E29&gt;D30),1)+IF(AND(Q29=3,Q31=3,F29&gt;D31),1)+IF(AND(Q29=3,Q32=3,G29&gt;D32),1)</f>
        <v>1</v>
      </c>
      <c r="K29" s="483">
        <f>SUM(AND(T29=T28,C29&gt;D28),AND(T29=T30,E29&gt;D30),AND(T29=T31,F29&gt;D31),AND(T29=T32,G29&gt;D32))</f>
        <v>1</v>
      </c>
      <c r="L29" s="490">
        <f>IF(AND(Q29=1,Q28=1),C29-D28)+IF(AND(Q29=1,Q30=1),E29-D30)+IF(AND(Q29=1,Q31=1),F29-D31)+IF(AND(Q29=1,Q32=1),G29-D32)+IF(AND(Q29=2,Q28=2),C29-D28)+IF(AND(Q29=2,Q30=2),E29-D30)+IF(AND(Q29=2,Q31=2),F29-D31)+IF(AND(Q29=2,Q32=2),G29-D32)+IF(AND(Q29=3,Q28=3),C29-D28)+IF(AND(Q29=3,Q30=3),E29-D30)+IF(AND(Q29=3,Q31=3),F29-D31)+IF(AND(Q29=3,Q32=3),G29-D32)+IF(AND(Q29=4,Q28=4),C29-D28)+IF(AND(Q29=4,Q30=4),E29-D30)+IF(AND(Q29=4,Q31=4),F29-D31)+IF(AND(Q29=4,Q32=4),G29-D32)</f>
        <v>-2</v>
      </c>
      <c r="M29" s="483">
        <f>SUM(AND(R29=R28,C29&gt;D28),AND(R29=R30,E29&gt;D30),AND(R29=R31,F29&gt;D31),AND(R29=R32,G29&gt;D32))</f>
        <v>0</v>
      </c>
      <c r="N29" s="537" t="str">
        <f>SUM(C29:G29)&amp;"-"&amp;SUM(D28:D32)</f>
        <v>25-32</v>
      </c>
      <c r="O29" s="538">
        <f>C29+E29+F29+G29-D28-D30-D31-D32</f>
        <v>-7</v>
      </c>
      <c r="P29" s="485">
        <f>SUM(C29:G29,D28:D32)/SUM(D28:D32)</f>
        <v>1.78125</v>
      </c>
      <c r="Q29" s="491">
        <f>VALUE(LEFT(H29,1))</f>
        <v>1</v>
      </c>
      <c r="R29" s="321">
        <f>Q29*100000+J29*10000+K29*1000+100*L29</f>
        <v>110800</v>
      </c>
      <c r="S29" s="486">
        <f>R29+M29*0.1+IF(ISNONTEXT(B29),0,0.01)+0.0001*O29</f>
        <v>110800.00929999999</v>
      </c>
      <c r="T29" s="487" t="str">
        <f>Q29&amp;J29</f>
        <v>11</v>
      </c>
      <c r="U29" s="477"/>
      <c r="V29" s="477"/>
      <c r="W29" s="477"/>
      <c r="X29" s="477"/>
      <c r="Y29" s="477"/>
      <c r="Z29" s="477"/>
      <c r="AA29" s="477"/>
      <c r="AD29" s="405">
        <f t="shared" si="0"/>
        <v>79</v>
      </c>
      <c r="AE29" s="406">
        <f>IFERROR(INDEX(V!R$7:R$107,MATCH(AF29,V!L$7:L$107,0)),"")</f>
        <v>79</v>
      </c>
      <c r="AF29" s="407" t="str">
        <f t="shared" si="1"/>
        <v>Liidia Põllu</v>
      </c>
    </row>
    <row r="30" spans="1:32" x14ac:dyDescent="0.2">
      <c r="A30" s="316">
        <v>3</v>
      </c>
      <c r="B30" s="488" t="s">
        <v>147</v>
      </c>
      <c r="C30" s="318">
        <v>6</v>
      </c>
      <c r="D30" s="655">
        <v>13</v>
      </c>
      <c r="E30" s="319"/>
      <c r="F30" s="654">
        <v>12</v>
      </c>
      <c r="G30" s="318"/>
      <c r="H30" s="317" t="str">
        <f>(IF(C30-E28&gt;0,1)+IF(D30-E29&gt;0,1)+IF(F30-E31&gt;0,1)+IF(G30-E32&gt;0,1))&amp;"-"&amp;(IF(C30-E28&lt;0,1)+IF(D30-E29&lt;0,1)+IF(F30-E31&lt;0,1)+IF(G30-E32&lt;0,1))</f>
        <v>1-2</v>
      </c>
      <c r="I30" s="318" t="str">
        <f t="shared" si="3"/>
        <v>D2</v>
      </c>
      <c r="J30" s="489">
        <f>IF(AND(Q30=1,Q28=1,C30&gt;E28),1)+IF(AND(Q30=1,Q29=1,D30&gt;E29),1)+IF(AND(Q30=1,Q31=1,F30&gt;E31),1)+IF(AND(Q30=1,Q32=1,G30&gt;E32),1)+IF(AND(Q30=2,Q28=2,C30&gt;E28),1)+IF(AND(Q30=2,Q29=2,D30&gt;E29),1)+IF(AND(Q30=2,Q31=2,F30&gt;E31),1)+IF(AND(Q30=2,Q32=2,G30&gt;E32),1)+IF(AND(Q30=3,Q28=3,C30&gt;E28),1)+IF(AND(Q30=3,Q29=3,D30&gt;E29),1)+IF(AND(Q30=3,Q31=3,F30&gt;E31),1)+IF(AND(Q30=3,Q32=3,G30&gt;E32),1)</f>
        <v>1</v>
      </c>
      <c r="K30" s="483">
        <f>SUM(AND(T30=T28,C30&gt;E28),AND(T30=T29,D30&gt;E29),AND(T30=T31,F30&gt;E31),AND(T30=T32,G30&gt;E32))</f>
        <v>1</v>
      </c>
      <c r="L30" s="490">
        <f>IF(AND(Q30=1,Q28=1),C30-E28)+IF(AND(Q30=1,Q29=1),D30-E29)+IF(AND(Q30=1,Q31=1),F30-E31)+IF(AND(Q30=1,Q32=1),G30-E32)+IF(AND(Q30=2,Q28=2),C30-E28)+IF(AND(Q30=2,Q29=2),D30-E29)+IF(AND(Q30=2,Q31=2),F30-E31)+IF(AND(Q30=2,Q32=2),G30-E32)+IF(AND(Q30=3,Q28=3),C30-E28)+IF(AND(Q30=3,Q29=3),D30-E29)+IF(AND(Q30=3,Q31=3),F30-E31)+IF(AND(Q30=3,Q32=3),G30-E32)+IF(AND(Q30=4,Q28=4),C30-E28)+IF(AND(Q30=4,Q29=4),D30-E29)+IF(AND(Q30=4,Q31=4),F30-E31)+IF(AND(Q30=4,Q32=4),G30-E32)</f>
        <v>8</v>
      </c>
      <c r="M30" s="483">
        <f>SUM(AND(R30=R28,C30&gt;E28),AND(R30=R29,D30&gt;E29),AND(R30=R31,F30&gt;E31),AND(R30=R32,G30&gt;E32))</f>
        <v>0</v>
      </c>
      <c r="N30" s="537" t="str">
        <f>SUM(C30:G30)&amp;"-"&amp;SUM(E28:E32)</f>
        <v>31-30</v>
      </c>
      <c r="O30" s="538">
        <f>C30+D30+F30+G30-E28-E29-E31-E32</f>
        <v>1</v>
      </c>
      <c r="P30" s="485">
        <f>SUM(C30:G30,E28:E32)/SUM(E28:E32)</f>
        <v>2.0333333333333332</v>
      </c>
      <c r="Q30" s="491">
        <f>VALUE(LEFT(H30,1))</f>
        <v>1</v>
      </c>
      <c r="R30" s="321">
        <f>Q30*100000+J30*10000+K30*1000+100*L30</f>
        <v>111800</v>
      </c>
      <c r="S30" s="486">
        <f>R30+M30*0.1+IF(ISNONTEXT(B30),0,0.01)+0.0001*O30</f>
        <v>111800.0101</v>
      </c>
      <c r="T30" s="487" t="str">
        <f>Q30&amp;J30</f>
        <v>11</v>
      </c>
      <c r="U30" s="477"/>
      <c r="V30" s="477"/>
      <c r="W30" s="477"/>
      <c r="X30" s="477"/>
      <c r="Y30" s="477"/>
      <c r="Z30" s="477"/>
      <c r="AA30" s="477"/>
      <c r="AD30" s="405">
        <f t="shared" si="0"/>
        <v>112</v>
      </c>
      <c r="AE30" s="406">
        <f>IFERROR(INDEX(V!R$7:R$107,MATCH(AF30,V!L$7:L$107,0)),"")</f>
        <v>112</v>
      </c>
      <c r="AF30" s="407" t="str">
        <f t="shared" si="1"/>
        <v>Viktor Švarõgin</v>
      </c>
    </row>
    <row r="31" spans="1:32" x14ac:dyDescent="0.2">
      <c r="A31" s="316">
        <v>4</v>
      </c>
      <c r="B31" s="493" t="s">
        <v>164</v>
      </c>
      <c r="C31" s="318">
        <v>6</v>
      </c>
      <c r="D31" s="655">
        <v>6</v>
      </c>
      <c r="E31" s="654">
        <v>13</v>
      </c>
      <c r="F31" s="319"/>
      <c r="G31" s="511"/>
      <c r="H31" s="317" t="str">
        <f>(IF(C31-F28&gt;0,1)+IF(D31-F29&gt;0,1)+IF(E31-F30&gt;0,1)+IF(G31-F32&gt;0,1))&amp;"-"&amp;(IF(C31-F28&lt;0,1)+IF(D31-F29&lt;0,1)+IF(E31-F30&lt;0,1)+IF(G31-F32&lt;0,1))</f>
        <v>1-2</v>
      </c>
      <c r="I31" s="318" t="str">
        <f t="shared" si="3"/>
        <v>D4</v>
      </c>
      <c r="J31" s="489">
        <f>IF(AND(Q31=1,Q28=1,C31&gt;F28),1)+IF(AND(Q31=1,Q29=1,D31&gt;F29),1)+IF(AND(Q31=1,Q30=1,E31&gt;F30),1)+IF(AND(Q31=1,Q32=1,G31&gt;F32),1)+IF(AND(Q31=2,Q28=2,C31&gt;F28),1)+IF(AND(Q31=2,Q29=2,D31&gt;F29),1)+IF(AND(Q31=2,Q30=2,E31&gt;F30),1)+IF(AND(Q31=2,Q32=2,G31&gt;F32),1)+IF(AND(Q31=3,Q28=3,C31&gt;F28),1)+IF(AND(Q31=3,Q29=3,D31&gt;F29),1)+IF(AND(Q31=3,Q30=3,E31&gt;F30),1)+IF(AND(Q31=3,Q32=3,G31&gt;F32),1)</f>
        <v>1</v>
      </c>
      <c r="K31" s="483">
        <f>SUM(AND(T31=T28,C31&gt;F28),AND(T31=T29,D31&gt;F29),AND(T31=T30,E31&gt;F30),AND(T31=T32,G31&gt;F32))</f>
        <v>1</v>
      </c>
      <c r="L31" s="490">
        <f>IF(AND(Q31=1,Q28=1),C31-F28)+IF(AND(Q31=1,Q29=1),D31-F29)+IF(AND(Q31=1,Q30=1),E31-F30)+IF(AND(Q31=1,Q32=1),G31-F32)+IF(AND(Q31=2,Q28=2),C31-F28)+IF(AND(Q31=2,Q29=2),D31-F29)+IF(AND(Q31=2,Q30=2),E31-F30)+IF(AND(Q31=2,Q32=2),G31-F32)+IF(AND(Q31=3,Q28=3),C31-F28)+IF(AND(Q31=3,Q29=3),D31-F29)+IF(AND(Q31=3,Q30=3),E31-F30)+IF(AND(Q31=3,Q32=3),G31-F32)+IF(AND(Q31=4,Q28=4),C31-F28)+IF(AND(Q31=4,Q29=4),D31-F29)+IF(AND(Q31=4,Q30=4),E31-F30)+IF(AND(Q31=4,Q32=4),G31-F32)</f>
        <v>-6</v>
      </c>
      <c r="M31" s="483">
        <f>SUM(AND(R31=R28,C31&gt;F28),AND(R31=R29,D31&gt;F29),AND(R31=R30,E31&gt;F30),AND(R31=R32,G31&gt;F32))</f>
        <v>0</v>
      </c>
      <c r="N31" s="537" t="str">
        <f>SUM(C31:G31)&amp;"-"&amp;SUM(F28:F32)</f>
        <v>25-38</v>
      </c>
      <c r="O31" s="538">
        <f>C31+D31+E31+G31-F28-F29-F30-F32</f>
        <v>-13</v>
      </c>
      <c r="P31" s="485">
        <f>SUM(C31:G31,F28:F32)/SUM(F28:F32)</f>
        <v>1.6578947368421053</v>
      </c>
      <c r="Q31" s="491">
        <f>VALUE(LEFT(H31,1))</f>
        <v>1</v>
      </c>
      <c r="R31" s="321">
        <f>Q31*100000+J31*10000+K31*1000+100*L31</f>
        <v>110400</v>
      </c>
      <c r="S31" s="486">
        <f>R31+M31*0.1+IF(ISNONTEXT(B31),0,0.01)+0.0001*O31</f>
        <v>110400.00869999999</v>
      </c>
      <c r="T31" s="487" t="str">
        <f>Q31&amp;J31</f>
        <v>11</v>
      </c>
      <c r="U31" s="477"/>
      <c r="V31" s="477"/>
      <c r="W31" s="477"/>
      <c r="X31" s="477"/>
      <c r="Y31" s="477"/>
      <c r="Z31" s="477"/>
      <c r="AA31" s="477"/>
      <c r="AD31" s="405">
        <f t="shared" si="0"/>
        <v>17</v>
      </c>
      <c r="AE31" s="406">
        <f>IFERROR(INDEX(V!R$7:R$107,MATCH(AF31,V!L$7:L$107,0)),"")</f>
        <v>17</v>
      </c>
      <c r="AF31" s="407" t="str">
        <f t="shared" ref="AF31" si="4">IF(ISNUMBER(SEARCH(", ",$B31)),IFERROR(LEFT($B31,(FIND(",",$B31,1)-1)),""),B31)</f>
        <v>Aleksandr Tipakov</v>
      </c>
    </row>
    <row r="32" spans="1:32" hidden="1" x14ac:dyDescent="0.2">
      <c r="A32" s="316">
        <v>5</v>
      </c>
      <c r="B32" s="493"/>
      <c r="C32" s="318"/>
      <c r="D32" s="318"/>
      <c r="E32" s="318"/>
      <c r="F32" s="318"/>
      <c r="G32" s="319"/>
      <c r="H32" s="317" t="str">
        <f>(IF(C32-G28&gt;0,1)+IF(D32-G29&gt;0,1)+IF(E32-G30&gt;0,1)+IF(F32-G31&gt;0,1))&amp;"-"&amp;(IF(C32-G28&lt;0,1)+IF(D32-G29&lt;0,1)+IF(E32-G30&lt;0,1)+IF(F32-G31&lt;0,1))</f>
        <v>0-0</v>
      </c>
      <c r="I32" s="318" t="str">
        <f t="shared" si="3"/>
        <v xml:space="preserve"> </v>
      </c>
      <c r="J32" s="489">
        <f>IF(AND(Q32=1,Q28=1,C32&gt;G28),1)+IF(AND(Q32=1,Q29=1,D32&gt;G29),1)+IF(AND(Q32=1,Q30=1,E32&gt;G30),1)+IF(AND(Q32=1,Q31=1,F32&gt;G31),1)+IF(AND(Q32=2,Q28=2,C32&gt;G28),1)+IF(AND(Q32=2,Q29=2,D32&gt;G29),1)+IF(AND(Q32=2,Q30=2,E32&gt;G30),1)+IF(AND(Q32=2,Q31=2,F32&gt;G31),1)+IF(AND(Q32=3,Q28=3,C32&gt;G28),1)+IF(AND(Q32=3,Q29=3,D32&gt;G29),1)+IF(AND(Q32=3,Q30=3,E32&gt;G30),1)+IF(AND(Q32=3,Q31=3,F32&gt;G31),1)</f>
        <v>0</v>
      </c>
      <c r="K32" s="483">
        <f>SUM(AND(T32=T28,C32&gt;G28),AND(T32=T29,D32&gt;G29),AND(T32=T30,E32&gt;G30),AND(T32=T31,F32&gt;G31))</f>
        <v>0</v>
      </c>
      <c r="L32" s="490">
        <f>IF(AND(Q32=1,Q28=1),C32-G28)+IF(AND(Q32=1,Q29=1),D32-G29)+IF(AND(Q32=1,Q30=1),E32-G30)+IF(AND(Q32=1,Q31=1),F32-G31)+IF(AND(Q32=2,Q28=2),C32-G28)+IF(AND(Q32=2,Q29=2),D32-G29)+IF(AND(Q32=2,Q30=2),E32-G30)+IF(AND(Q32=2,Q31=2),F32-G31)+IF(AND(Q32=3,Q28=3),C32-G28)+IF(AND(Q32=3,Q29=3),D32-G29)+IF(AND(Q32=3,Q30=3),E32-G30)+IF(AND(Q32=3,Q31=3),F32-G31)+IF(AND(Q32=4,Q28=4),C32-G28)+IF(AND(Q32=4,Q29=4),D32-G29)+IF(AND(Q32=4,Q30=4),E32-G30)+IF(AND(Q32=4,Q31=4),F32-G31)</f>
        <v>0</v>
      </c>
      <c r="M32" s="483">
        <f>SUM(AND(R32=R28,C32&gt;G28),AND(R32=R29,D32&gt;G29),AND(R32=R30,E32&gt;G30),AND(R32=R31,F32&gt;G31))</f>
        <v>0</v>
      </c>
      <c r="N32" s="537" t="str">
        <f>SUM(C32:G32)&amp;"-"&amp;SUM(G28:G32)</f>
        <v>0-0</v>
      </c>
      <c r="O32" s="538">
        <f>C32+D32+E32+F32-G28-G29-G30-G31</f>
        <v>0</v>
      </c>
      <c r="P32" s="485" t="e">
        <f>SUM(C32:G32,G28:G32)/SUM(G28:G32)</f>
        <v>#DIV/0!</v>
      </c>
      <c r="Q32" s="491">
        <f>VALUE(LEFT(H32,1))</f>
        <v>0</v>
      </c>
      <c r="R32" s="321">
        <f>Q32*100000+J32*10000+K32*1000+100*L32</f>
        <v>0</v>
      </c>
      <c r="S32" s="486">
        <f>R32+M32*0.1+IF(ISNONTEXT(B32),0,0.01)+0.0001*O32</f>
        <v>0</v>
      </c>
      <c r="T32" s="487" t="str">
        <f>Q32&amp;J32</f>
        <v>00</v>
      </c>
      <c r="U32" s="477"/>
      <c r="V32" s="477"/>
      <c r="W32" s="477"/>
      <c r="X32" s="477"/>
      <c r="Y32" s="477"/>
      <c r="Z32" s="477"/>
      <c r="AA32" s="477"/>
    </row>
    <row r="33" spans="1:29" x14ac:dyDescent="0.2">
      <c r="A33" s="494"/>
      <c r="B33" s="519"/>
      <c r="C33" s="499"/>
      <c r="D33" s="499"/>
      <c r="E33" s="499"/>
      <c r="F33" s="496"/>
      <c r="G33" s="499"/>
      <c r="H33" s="520"/>
      <c r="I33" s="444"/>
      <c r="J33" s="477"/>
      <c r="K33" s="477"/>
      <c r="L33" s="477"/>
      <c r="M33" s="477"/>
      <c r="N33" s="539"/>
      <c r="O33" s="539"/>
      <c r="P33" s="477"/>
      <c r="Q33" s="477"/>
      <c r="R33" s="502" t="s">
        <v>264</v>
      </c>
      <c r="S33" s="477"/>
      <c r="T33" s="477"/>
      <c r="U33" s="477"/>
      <c r="V33" s="477"/>
      <c r="W33" s="477"/>
      <c r="X33" s="477"/>
      <c r="Y33" s="477"/>
      <c r="Z33" s="477"/>
      <c r="AA33" s="477"/>
    </row>
    <row r="34" spans="1:29" x14ac:dyDescent="0.2">
      <c r="A34" s="316" t="s">
        <v>4</v>
      </c>
      <c r="B34" s="503"/>
      <c r="C34" s="467">
        <v>1</v>
      </c>
      <c r="D34" s="467">
        <v>2</v>
      </c>
      <c r="E34" s="467">
        <v>3</v>
      </c>
      <c r="F34" s="467">
        <v>4</v>
      </c>
      <c r="G34" s="467"/>
      <c r="H34" s="467" t="s">
        <v>168</v>
      </c>
      <c r="I34" s="275" t="s">
        <v>169</v>
      </c>
      <c r="J34" s="504" t="s">
        <v>257</v>
      </c>
      <c r="K34" s="505" t="s">
        <v>258</v>
      </c>
      <c r="L34" s="506" t="s">
        <v>259</v>
      </c>
      <c r="M34" s="506" t="s">
        <v>260</v>
      </c>
      <c r="N34" s="472" t="s">
        <v>170</v>
      </c>
      <c r="O34" s="472" t="s">
        <v>170</v>
      </c>
      <c r="P34" s="473" t="s">
        <v>261</v>
      </c>
      <c r="Q34" s="507" t="s">
        <v>21</v>
      </c>
      <c r="R34" s="507" t="b">
        <f>OR(AND(COUNTA(B35:B39)=3,COUNTA(C35:G39)=6),AND(COUNTA(B35:B39)=4,COUNTA(C35:G39)=12),AND(COUNTA(B35:B39)=5,COUNTA(C35:G39)=20))</f>
        <v>1</v>
      </c>
      <c r="S34" s="508" t="s">
        <v>262</v>
      </c>
      <c r="T34" s="509" t="s">
        <v>263</v>
      </c>
      <c r="U34" s="477"/>
      <c r="V34" s="477"/>
      <c r="W34" s="477"/>
      <c r="X34" s="477"/>
      <c r="Y34" s="477"/>
      <c r="Z34" s="477"/>
      <c r="AA34" s="477"/>
    </row>
    <row r="35" spans="1:29" x14ac:dyDescent="0.2">
      <c r="A35" s="316">
        <v>1</v>
      </c>
      <c r="B35" s="518" t="s">
        <v>159</v>
      </c>
      <c r="C35" s="319"/>
      <c r="D35" s="318">
        <v>9</v>
      </c>
      <c r="E35" s="318">
        <v>11</v>
      </c>
      <c r="F35" s="654">
        <v>13</v>
      </c>
      <c r="G35" s="318"/>
      <c r="H35" s="317" t="str">
        <f>(IF(D35-C36&gt;0,1)+IF(E35-C37&gt;0,1)+IF(F35-C38&gt;0,1)+IF(G35-C39&gt;0,1))&amp;"-"&amp;(IF(D35-C36&lt;0,1)+IF(E35-C37&lt;0,1)+IF(F35-C38&lt;0,1)+IF(G35-C39&lt;0,1))</f>
        <v>1-2</v>
      </c>
      <c r="I35" s="279" t="str">
        <f>IF(AND(B35&lt;&gt;"",R$34=TRUE),A$34&amp;RANK(S35,S$35:S$39,0)," ")</f>
        <v>E3</v>
      </c>
      <c r="J35" s="480">
        <f>IF(AND(Q35=1,Q36=1,D35&gt;C36),1)+IF(AND(Q35=1,Q37=1,E35&gt;C37),1)+IF(AND(Q35=1,Q38=1,F35&gt;C38),1)+IF(AND(Q35=1,Q39=1,G35&gt;C39),1)+IF(AND(Q35=2,Q36=2,D35&gt;C36),1)+IF(AND(Q35=2,Q37=2,E35&gt;C37),1)+IF(AND(Q35=2,Q38=2,F35&gt;C38),1)+IF(AND(Q35=2,Q39=2,G35&gt;C39),1)+IF(AND(Q35=3,Q36=3,D35&gt;C36),1)+IF(AND(Q35=3,Q37=3,E35&gt;C37),1)+IF(AND(Q35=3,Q38=3,F35&gt;C38),1)+IF(AND(Q35=3,Q39=3,G35&gt;C39),1)</f>
        <v>1</v>
      </c>
      <c r="K35" s="481">
        <f>SUM(AND(T35=T36,D35&gt;C36),AND(T35=T37,E35&gt;C37),AND(T35=T38,F35&gt;C38),AND(T35=T39,G35&gt;C39))</f>
        <v>0</v>
      </c>
      <c r="L35" s="482">
        <f>IF(AND(Q35=1,Q36=1),D35-C36)+IF(AND(Q35=1,Q37=1),E35-C37)+IF(AND(Q35=1,Q38=1),F35-C38)+IF(AND(Q35=1,Q39=1),G35-C39)+IF(AND(Q35=2,Q36=2),D35-C36)+IF(AND(Q35=2,Q37=2),E35-C37)+IF(AND(Q35=2,Q38=2),F35-C38)+IF(AND(Q35=2,Q39=2),G35-C39)+IF(AND(Q35=3,Q36=3),D35-C36)+IF(AND(Q35=3,Q37=3),E35-C37)+IF(AND(Q35=3,Q38=3),F35-C38)+IF(AND(Q35=3,Q39=3),G35-C39)+IF(AND(Q35=4,Q36=4),D35-C36)+IF(AND(Q35=4,Q37=4),E35-C37)+IF(AND(Q35=4,Q38=4),F35-C38)+IF(AND(Q35=4,Q39=4),G35-C39)</f>
        <v>4</v>
      </c>
      <c r="M35" s="483">
        <f>SUM(AND(R35=R36,D35&gt;C36),AND(R35=R37,E35&gt;C37),AND(R35=R38,F35&gt;C38),AND(R35=R39,G35&gt;C39))</f>
        <v>0</v>
      </c>
      <c r="N35" s="537" t="str">
        <f>SUM(C35:G35)&amp;"-"&amp;SUM(C35:C39)</f>
        <v>33-35</v>
      </c>
      <c r="O35" s="538">
        <f>D35+E35+F35+G35-C36-C37-C38-C39</f>
        <v>-2</v>
      </c>
      <c r="P35" s="485">
        <f>SUM(C35:G35,C35:C39)/SUM(C35:C39)</f>
        <v>1.9428571428571428</v>
      </c>
      <c r="Q35" s="320">
        <f>VALUE(LEFT(H35,1))</f>
        <v>1</v>
      </c>
      <c r="R35" s="321">
        <f>Q35*100000+J35*10000+K35*1000+100*L35</f>
        <v>110400</v>
      </c>
      <c r="S35" s="486">
        <f>R35+M35*0.1+IF(ISNONTEXT(B35),0,0.01)+0.0001*O35</f>
        <v>110400.0098</v>
      </c>
      <c r="T35" s="487" t="str">
        <f>Q35&amp;J35</f>
        <v>11</v>
      </c>
      <c r="U35" s="477"/>
      <c r="V35" s="477"/>
      <c r="W35" s="477"/>
      <c r="X35" s="477"/>
      <c r="Y35" s="477"/>
      <c r="Z35" s="477"/>
      <c r="AA35" s="477"/>
    </row>
    <row r="36" spans="1:29" x14ac:dyDescent="0.2">
      <c r="A36" s="316">
        <v>2</v>
      </c>
      <c r="B36" s="488" t="s">
        <v>126</v>
      </c>
      <c r="C36" s="318">
        <v>13</v>
      </c>
      <c r="D36" s="319"/>
      <c r="E36" s="534">
        <v>13</v>
      </c>
      <c r="F36" s="318">
        <v>12</v>
      </c>
      <c r="G36" s="318"/>
      <c r="H36" s="317" t="str">
        <f>(IF(C36-D35&gt;0,1)+IF(E36-D37&gt;0,1)+IF(F36-D38&gt;0,1)+IF(G36-D39&gt;0,1))&amp;"-"&amp;(IF(C36-D35&lt;0,1)+IF(E36-D37&lt;0,1)+IF(F36-D38&lt;0,1)+IF(G36-D39&lt;0,1))</f>
        <v>2-1</v>
      </c>
      <c r="I36" s="279" t="str">
        <f t="shared" ref="I36:I39" si="5">IF(AND(B36&lt;&gt;"",R$34=TRUE),A$34&amp;RANK(S36,S$35:S$39,0)," ")</f>
        <v>E1</v>
      </c>
      <c r="J36" s="489">
        <f>IF(AND(Q36=1,Q35=1,C36&gt;D35),1)+IF(AND(Q36=1,Q37=1,E36&gt;D37),1)+IF(AND(Q36=1,Q38=1,F36&gt;D38),1)+IF(AND(Q36=1,Q39=1,G36&gt;D39),1)+IF(AND(Q36=2,Q35=2,C36&gt;D35),1)+IF(AND(Q36=2,Q37=2,E36&gt;D37),1)+IF(AND(Q36=2,Q38=2,F36&gt;D38),1)+IF(AND(Q36=2,Q39=2,G36&gt;D39),1)+IF(AND(Q36=3,Q35=3,C36&gt;D35),1)+IF(AND(Q36=3,Q37=3,E36&gt;D37),1)+IF(AND(Q36=3,Q38=3,F36&gt;D38),1)+IF(AND(Q36=3,Q39=3,G36&gt;D39),1)</f>
        <v>1</v>
      </c>
      <c r="K36" s="483">
        <f>SUM(AND(T36=T35,C36&gt;D35),AND(T36=T37,E36&gt;D37),AND(T36=T38,F36&gt;D38),AND(T36=T39,G36&gt;D39))</f>
        <v>0</v>
      </c>
      <c r="L36" s="490">
        <f>IF(AND(Q36=1,Q35=1),C36-D35)+IF(AND(Q36=1,Q37=1),E36-D37)+IF(AND(Q36=1,Q38=1),F36-D38)+IF(AND(Q36=1,Q39=1),G36-D39)+IF(AND(Q36=2,Q35=2),C36-D35)+IF(AND(Q36=2,Q37=2),E36-D37)+IF(AND(Q36=2,Q38=2),F36-D38)+IF(AND(Q36=2,Q39=2),G36-D39)+IF(AND(Q36=3,Q35=3),C36-D35)+IF(AND(Q36=3,Q37=3),E36-D37)+IF(AND(Q36=3,Q38=3),F36-D38)+IF(AND(Q36=3,Q39=3),G36-D39)+IF(AND(Q36=4,Q35=4),C36-D35)+IF(AND(Q36=4,Q37=4),E36-D37)+IF(AND(Q36=4,Q38=4),F36-D38)+IF(AND(Q36=4,Q39=4),G36-D39)</f>
        <v>1</v>
      </c>
      <c r="M36" s="483">
        <f>SUM(AND(R36=R35,C36&gt;D35),AND(R36=R37,E36&gt;D37),AND(R36=R38,F36&gt;D38),AND(R36=R39,G36&gt;D39))</f>
        <v>0</v>
      </c>
      <c r="N36" s="537" t="str">
        <f>SUM(C36:G36)&amp;"-"&amp;SUM(D35:D39)</f>
        <v>38-34</v>
      </c>
      <c r="O36" s="538">
        <f>C36+E36+F36+G36-D35-D37-D38-D39</f>
        <v>4</v>
      </c>
      <c r="P36" s="485">
        <f>SUM(C36:G36,D35:D39)/SUM(D35:D39)</f>
        <v>2.1176470588235294</v>
      </c>
      <c r="Q36" s="491">
        <f>VALUE(LEFT(H36,1))</f>
        <v>2</v>
      </c>
      <c r="R36" s="321">
        <f>Q36*100000+J36*10000+K36*1000+100*L36</f>
        <v>210100</v>
      </c>
      <c r="S36" s="486">
        <f>R36+M36*0.1+IF(ISNONTEXT(B36),0,0.01)+0.0001*O36</f>
        <v>210100.0104</v>
      </c>
      <c r="T36" s="487" t="str">
        <f>Q36&amp;J36</f>
        <v>21</v>
      </c>
      <c r="U36" s="477"/>
      <c r="V36" s="477"/>
      <c r="W36" s="477"/>
      <c r="X36" s="477"/>
      <c r="Y36" s="477"/>
      <c r="Z36" s="477"/>
      <c r="AA36" s="477"/>
    </row>
    <row r="37" spans="1:29" x14ac:dyDescent="0.2">
      <c r="A37" s="316">
        <v>3</v>
      </c>
      <c r="B37" s="488" t="s">
        <v>133</v>
      </c>
      <c r="C37" s="318">
        <v>13</v>
      </c>
      <c r="D37" s="535">
        <v>12</v>
      </c>
      <c r="E37" s="319"/>
      <c r="F37" s="318">
        <v>13</v>
      </c>
      <c r="G37" s="318"/>
      <c r="H37" s="317" t="str">
        <f>(IF(C37-E35&gt;0,1)+IF(D37-E36&gt;0,1)+IF(F37-E38&gt;0,1)+IF(G37-E39&gt;0,1))&amp;"-"&amp;(IF(C37-E35&lt;0,1)+IF(D37-E36&lt;0,1)+IF(F37-E38&lt;0,1)+IF(G37-E39&lt;0,1))</f>
        <v>2-1</v>
      </c>
      <c r="I37" s="279" t="str">
        <f t="shared" si="5"/>
        <v>E2</v>
      </c>
      <c r="J37" s="489">
        <f>IF(AND(Q37=1,Q35=1,C37&gt;E35),1)+IF(AND(Q37=1,Q36=1,D37&gt;E36),1)+IF(AND(Q37=1,Q38=1,F37&gt;E38),1)+IF(AND(Q37=1,Q39=1,G37&gt;E39),1)+IF(AND(Q37=2,Q35=2,C37&gt;E35),1)+IF(AND(Q37=2,Q36=2,D37&gt;E36),1)+IF(AND(Q37=2,Q38=2,F37&gt;E38),1)+IF(AND(Q37=2,Q39=2,G37&gt;E39),1)+IF(AND(Q37=3,Q35=3,C37&gt;E35),1)+IF(AND(Q37=3,Q36=3,D37&gt;E36),1)+IF(AND(Q37=3,Q38=3,F37&gt;E38),1)+IF(AND(Q37=3,Q39=3,G37&gt;E39),1)</f>
        <v>0</v>
      </c>
      <c r="K37" s="483">
        <f>SUM(AND(T37=T35,C37&gt;E35),AND(T37=T36,D37&gt;E36),AND(T37=T38,F37&gt;E38),AND(T37=T39,G37&gt;E39))</f>
        <v>0</v>
      </c>
      <c r="L37" s="490">
        <f>IF(AND(Q37=1,Q35=1),C37-E35)+IF(AND(Q37=1,Q36=1),D37-E36)+IF(AND(Q37=1,Q38=1),F37-E38)+IF(AND(Q37=1,Q39=1),G37-E39)+IF(AND(Q37=2,Q35=2),C37-E35)+IF(AND(Q37=2,Q36=2),D37-E36)+IF(AND(Q37=2,Q38=2),F37-E38)+IF(AND(Q37=2,Q39=2),G37-E39)+IF(AND(Q37=3,Q35=3),C37-E35)+IF(AND(Q37=3,Q36=3),D37-E36)+IF(AND(Q37=3,Q38=3),F37-E38)+IF(AND(Q37=3,Q39=3),G37-E39)+IF(AND(Q37=4,Q35=4),C37-E35)+IF(AND(Q37=4,Q36=4),D37-E36)+IF(AND(Q37=4,Q38=4),F37-E38)+IF(AND(Q37=4,Q39=4),G37-E39)</f>
        <v>-1</v>
      </c>
      <c r="M37" s="483">
        <f>SUM(AND(R37=R35,C37&gt;E35),AND(R37=R36,D37&gt;E36),AND(R37=R38,F37&gt;E38),AND(R37=R39,G37&gt;E39))</f>
        <v>0</v>
      </c>
      <c r="N37" s="537" t="str">
        <f>SUM(C37:G37)&amp;"-"&amp;SUM(E35:E39)</f>
        <v>38-33</v>
      </c>
      <c r="O37" s="538">
        <f>C37+D37+F37+G37-E35-E36-E38-E39</f>
        <v>5</v>
      </c>
      <c r="P37" s="485">
        <f>SUM(C37:G37,E35:E39)/SUM(E35:E39)</f>
        <v>2.1515151515151514</v>
      </c>
      <c r="Q37" s="491">
        <f>VALUE(LEFT(H37,1))</f>
        <v>2</v>
      </c>
      <c r="R37" s="321">
        <f>Q37*100000+J37*10000+K37*1000+100*L37</f>
        <v>199900</v>
      </c>
      <c r="S37" s="486">
        <f>R37+M37*0.1+IF(ISNONTEXT(B37),0,0.01)+0.0001*O37</f>
        <v>199900.0105</v>
      </c>
      <c r="T37" s="487" t="str">
        <f>Q37&amp;J37</f>
        <v>20</v>
      </c>
      <c r="U37" s="477"/>
      <c r="V37" s="477"/>
      <c r="W37" s="477"/>
      <c r="X37" s="477"/>
      <c r="Y37" s="477"/>
      <c r="Z37" s="477"/>
      <c r="AA37" s="477"/>
    </row>
    <row r="38" spans="1:29" x14ac:dyDescent="0.2">
      <c r="A38" s="316">
        <v>4</v>
      </c>
      <c r="B38" s="493" t="s">
        <v>160</v>
      </c>
      <c r="C38" s="654">
        <v>9</v>
      </c>
      <c r="D38" s="492">
        <v>13</v>
      </c>
      <c r="E38" s="318">
        <v>9</v>
      </c>
      <c r="F38" s="319"/>
      <c r="G38" s="511"/>
      <c r="H38" s="317" t="str">
        <f>(IF(C38-F35&gt;0,1)+IF(D38-F36&gt;0,1)+IF(E38-F37&gt;0,1)+IF(G38-F39&gt;0,1))&amp;"-"&amp;(IF(C38-F35&lt;0,1)+IF(D38-F36&lt;0,1)+IF(E38-F37&lt;0,1)+IF(G38-F39&lt;0,1))</f>
        <v>1-2</v>
      </c>
      <c r="I38" s="279" t="str">
        <f t="shared" si="5"/>
        <v>E4</v>
      </c>
      <c r="J38" s="489">
        <f>IF(AND(Q38=1,Q35=1,C38&gt;F35),1)+IF(AND(Q38=1,Q36=1,D38&gt;F36),1)+IF(AND(Q38=1,Q37=1,E38&gt;F37),1)+IF(AND(Q38=1,Q39=1,G38&gt;F39),1)+IF(AND(Q38=2,Q35=2,C38&gt;F35),1)+IF(AND(Q38=2,Q36=2,D38&gt;F36),1)+IF(AND(Q38=2,Q37=2,E38&gt;F37),1)+IF(AND(Q38=2,Q39=2,G38&gt;F39),1)+IF(AND(Q38=3,Q35=3,C38&gt;F35),1)+IF(AND(Q38=3,Q36=3,D38&gt;F36),1)+IF(AND(Q38=3,Q37=3,E38&gt;F37),1)+IF(AND(Q38=3,Q39=3,G38&gt;F39),1)</f>
        <v>0</v>
      </c>
      <c r="K38" s="483">
        <f>SUM(AND(T38=T35,C38&gt;F35),AND(T38=T36,D38&gt;F36),AND(T38=T37,E38&gt;F37),AND(T38=T39,G38&gt;F39))</f>
        <v>0</v>
      </c>
      <c r="L38" s="490">
        <f>IF(AND(Q38=1,Q35=1),C38-F35)+IF(AND(Q38=1,Q36=1),D38-F36)+IF(AND(Q38=1,Q37=1),E38-F37)+IF(AND(Q38=1,Q39=1),G38-F39)+IF(AND(Q38=2,Q35=2),C38-F35)+IF(AND(Q38=2,Q36=2),D38-F36)+IF(AND(Q38=2,Q37=2),E38-F37)+IF(AND(Q38=2,Q39=2),G38-F39)+IF(AND(Q38=3,Q35=3),C38-F35)+IF(AND(Q38=3,Q36=3),D38-F36)+IF(AND(Q38=3,Q37=3),E38-F37)+IF(AND(Q38=3,Q39=3),G38-F39)+IF(AND(Q38=4,Q35=4),C38-F35)+IF(AND(Q38=4,Q36=4),D38-F36)+IF(AND(Q38=4,Q37=4),E38-F37)+IF(AND(Q38=4,Q39=4),G38-F39)</f>
        <v>-4</v>
      </c>
      <c r="M38" s="483">
        <f>SUM(AND(R38=R35,C38&gt;F35),AND(R38=R36,D38&gt;F36),AND(R38=R37,E38&gt;F37),AND(R38=R39,G38&gt;F39))</f>
        <v>0</v>
      </c>
      <c r="N38" s="537" t="str">
        <f>SUM(C38:G38)&amp;"-"&amp;SUM(F35:F39)</f>
        <v>31-38</v>
      </c>
      <c r="O38" s="538">
        <f>C38+D38+E38+G38-F35-F36-F37-F39</f>
        <v>-7</v>
      </c>
      <c r="P38" s="485">
        <f>SUM(C38:G38,F35:F39)/SUM(F35:F39)</f>
        <v>1.8157894736842106</v>
      </c>
      <c r="Q38" s="491">
        <f>VALUE(LEFT(H38,1))</f>
        <v>1</v>
      </c>
      <c r="R38" s="321">
        <f>Q38*100000+J38*10000+K38*1000+100*L38</f>
        <v>99600</v>
      </c>
      <c r="S38" s="486">
        <f>R38+M38*0.1+IF(ISNONTEXT(B38),0,0.01)+0.0001*O38</f>
        <v>99600.009299999991</v>
      </c>
      <c r="T38" s="487" t="str">
        <f>Q38&amp;J38</f>
        <v>10</v>
      </c>
      <c r="U38" s="477"/>
      <c r="V38" s="477"/>
      <c r="W38" s="477"/>
      <c r="X38" s="477"/>
      <c r="Y38" s="477"/>
      <c r="Z38" s="477"/>
      <c r="AA38" s="477"/>
    </row>
    <row r="39" spans="1:29" hidden="1" x14ac:dyDescent="0.2">
      <c r="A39" s="316">
        <v>5</v>
      </c>
      <c r="B39" s="493"/>
      <c r="C39" s="318"/>
      <c r="D39" s="318"/>
      <c r="E39" s="318"/>
      <c r="F39" s="318"/>
      <c r="G39" s="319"/>
      <c r="H39" s="317" t="str">
        <f>(IF(C39-G35&gt;0,1)+IF(D39-G36&gt;0,1)+IF(E39-G37&gt;0,1)+IF(F39-G38&gt;0,1))&amp;"-"&amp;(IF(C39-G35&lt;0,1)+IF(D39-G36&lt;0,1)+IF(E39-G37&lt;0,1)+IF(F39-G38&lt;0,1))</f>
        <v>0-0</v>
      </c>
      <c r="I39" s="279" t="str">
        <f t="shared" si="5"/>
        <v xml:space="preserve"> </v>
      </c>
      <c r="J39" s="489">
        <f>IF(AND(Q39=1,Q35=1,C39&gt;G35),1)+IF(AND(Q39=1,Q36=1,D39&gt;G36),1)+IF(AND(Q39=1,Q37=1,E39&gt;G37),1)+IF(AND(Q39=1,Q38=1,F39&gt;G38),1)+IF(AND(Q39=2,Q35=2,C39&gt;G35),1)+IF(AND(Q39=2,Q36=2,D39&gt;G36),1)+IF(AND(Q39=2,Q37=2,E39&gt;G37),1)+IF(AND(Q39=2,Q38=2,F39&gt;G38),1)+IF(AND(Q39=3,Q35=3,C39&gt;G35),1)+IF(AND(Q39=3,Q36=3,D39&gt;G36),1)+IF(AND(Q39=3,Q37=3,E39&gt;G37),1)+IF(AND(Q39=3,Q38=3,F39&gt;G38),1)</f>
        <v>0</v>
      </c>
      <c r="K39" s="483">
        <f>SUM(AND(T39=T35,C39&gt;G35),AND(T39=T36,D39&gt;G36),AND(T39=T37,E39&gt;G37),AND(T39=T38,F39&gt;G38))</f>
        <v>0</v>
      </c>
      <c r="L39" s="490">
        <f>IF(AND(Q39=1,Q35=1),C39-G35)+IF(AND(Q39=1,Q36=1),D39-G36)+IF(AND(Q39=1,Q37=1),E39-G37)+IF(AND(Q39=1,Q38=1),F39-G38)+IF(AND(Q39=2,Q35=2),C39-G35)+IF(AND(Q39=2,Q36=2),D39-G36)+IF(AND(Q39=2,Q37=2),E39-G37)+IF(AND(Q39=2,Q38=2),F39-G38)+IF(AND(Q39=3,Q35=3),C39-G35)+IF(AND(Q39=3,Q36=3),D39-G36)+IF(AND(Q39=3,Q37=3),E39-G37)+IF(AND(Q39=3,Q38=3),F39-G38)+IF(AND(Q39=4,Q35=4),C39-G35)+IF(AND(Q39=4,Q36=4),D39-G36)+IF(AND(Q39=4,Q37=4),E39-G37)+IF(AND(Q39=4,Q38=4),F39-G38)</f>
        <v>0</v>
      </c>
      <c r="M39" s="483">
        <f>SUM(AND(R39=R35,C39&gt;G35),AND(R39=R36,D39&gt;G36),AND(R39=R37,E39&gt;G37),AND(R39=R38,F39&gt;G38))</f>
        <v>0</v>
      </c>
      <c r="N39" s="537" t="str">
        <f>SUM(C39:G39)&amp;"-"&amp;SUM(G35:G39)</f>
        <v>0-0</v>
      </c>
      <c r="O39" s="538">
        <f>C39+D39+E39+F39-G35-G36-G37-G38</f>
        <v>0</v>
      </c>
      <c r="P39" s="485" t="e">
        <f>SUM(C39:G39,G35:G39)/SUM(G35:G39)</f>
        <v>#DIV/0!</v>
      </c>
      <c r="Q39" s="491">
        <f>VALUE(LEFT(H39,1))</f>
        <v>0</v>
      </c>
      <c r="R39" s="321">
        <f>Q39*100000+J39*10000+K39*1000+100*L39</f>
        <v>0</v>
      </c>
      <c r="S39" s="486">
        <f>R39+M39*0.1+IF(ISNONTEXT(B39),0,0.01)+0.0001*O39</f>
        <v>0</v>
      </c>
      <c r="T39" s="487" t="str">
        <f>Q39&amp;J39</f>
        <v>00</v>
      </c>
      <c r="U39" s="477"/>
      <c r="V39" s="477"/>
      <c r="W39" s="477"/>
      <c r="X39" s="477"/>
      <c r="Y39" s="477"/>
      <c r="Z39" s="477"/>
      <c r="AA39" s="477"/>
    </row>
    <row r="40" spans="1:29" x14ac:dyDescent="0.2">
      <c r="A40" s="494"/>
      <c r="B40" s="495"/>
      <c r="C40" s="496"/>
      <c r="D40" s="497"/>
      <c r="E40" s="496"/>
      <c r="F40" s="498"/>
      <c r="G40" s="499"/>
      <c r="H40" s="500"/>
      <c r="I40" s="297"/>
      <c r="J40" s="477"/>
      <c r="K40" s="477"/>
      <c r="L40" s="477"/>
      <c r="M40" s="477"/>
      <c r="N40" s="539"/>
      <c r="O40" s="539"/>
      <c r="P40" s="477"/>
      <c r="Q40" s="477"/>
      <c r="R40" s="502" t="s">
        <v>264</v>
      </c>
      <c r="S40" s="477"/>
      <c r="T40" s="477"/>
      <c r="U40" s="477"/>
      <c r="V40" s="477"/>
      <c r="W40" s="477"/>
      <c r="X40" s="477"/>
      <c r="Y40" s="477"/>
      <c r="Z40" s="477"/>
      <c r="AA40" s="477"/>
    </row>
    <row r="41" spans="1:29" x14ac:dyDescent="0.2">
      <c r="A41" s="316" t="s">
        <v>5</v>
      </c>
      <c r="B41" s="503"/>
      <c r="C41" s="467">
        <v>1</v>
      </c>
      <c r="D41" s="467">
        <v>2</v>
      </c>
      <c r="E41" s="467">
        <v>3</v>
      </c>
      <c r="F41" s="467">
        <v>4</v>
      </c>
      <c r="G41" s="467"/>
      <c r="H41" s="468" t="s">
        <v>168</v>
      </c>
      <c r="I41" s="275" t="s">
        <v>169</v>
      </c>
      <c r="J41" s="504" t="s">
        <v>257</v>
      </c>
      <c r="K41" s="505" t="s">
        <v>258</v>
      </c>
      <c r="L41" s="506" t="s">
        <v>259</v>
      </c>
      <c r="M41" s="506" t="s">
        <v>260</v>
      </c>
      <c r="N41" s="472" t="s">
        <v>170</v>
      </c>
      <c r="O41" s="472" t="s">
        <v>170</v>
      </c>
      <c r="P41" s="473" t="s">
        <v>261</v>
      </c>
      <c r="Q41" s="507" t="s">
        <v>21</v>
      </c>
      <c r="R41" s="507" t="b">
        <f>OR(AND(COUNTA(B42:B46)=3,COUNTA(C42:G46)=6),AND(COUNTA(B42:B46)=4,COUNTA(C42:G46)=12),AND(COUNTA(B42:B46)=5,COUNTA(C42:G46)=20))</f>
        <v>1</v>
      </c>
      <c r="S41" s="508" t="s">
        <v>262</v>
      </c>
      <c r="T41" s="509" t="s">
        <v>263</v>
      </c>
      <c r="U41" s="477"/>
      <c r="V41" s="477"/>
      <c r="W41" s="477"/>
      <c r="X41" s="477"/>
      <c r="Y41" s="477"/>
      <c r="Z41" s="477"/>
      <c r="AA41" s="477"/>
    </row>
    <row r="42" spans="1:29" x14ac:dyDescent="0.2">
      <c r="A42" s="316">
        <v>1</v>
      </c>
      <c r="B42" s="518" t="s">
        <v>131</v>
      </c>
      <c r="C42" s="319"/>
      <c r="D42" s="318">
        <v>6</v>
      </c>
      <c r="E42" s="318">
        <v>8</v>
      </c>
      <c r="F42" s="318">
        <v>4</v>
      </c>
      <c r="G42" s="318"/>
      <c r="H42" s="317" t="str">
        <f>(IF(D42-C43&gt;0,1)+IF(E42-C44&gt;0,1)+IF(F42-C45&gt;0,1)+IF(G42-C46&gt;0,1))&amp;"-"&amp;(IF(D42-C43&lt;0,1)+IF(E42-C44&lt;0,1)+IF(F42-C45&lt;0,1)+IF(G42-C46&lt;0,1))</f>
        <v>0-3</v>
      </c>
      <c r="I42" s="279" t="str">
        <f>IF(AND(B42&lt;&gt;"",R$41=TRUE),A$41&amp;RANK(S42,S$42:S$46,0)," ")</f>
        <v>F4</v>
      </c>
      <c r="J42" s="480">
        <f>IF(AND(Q42=1,Q43=1,D42&gt;C43),1)+IF(AND(Q42=1,Q44=1,E42&gt;C44),1)+IF(AND(Q42=1,Q45=1,F42&gt;C45),1)+IF(AND(Q42=1,Q46=1,G42&gt;C46),1)+IF(AND(Q42=2,Q43=2,D42&gt;C43),1)+IF(AND(Q42=2,Q44=2,E42&gt;C44),1)+IF(AND(Q42=2,Q45=2,F42&gt;C45),1)+IF(AND(Q42=2,Q46=2,G42&gt;C46),1)+IF(AND(Q42=3,Q43=3,D42&gt;C43),1)+IF(AND(Q42=3,Q44=3,E42&gt;C44),1)+IF(AND(Q42=3,Q45=3,F42&gt;C45),1)+IF(AND(Q42=3,Q46=3,G42&gt;C46),1)</f>
        <v>0</v>
      </c>
      <c r="K42" s="481">
        <f>SUM(AND(T42=T43,D42&gt;C43),AND(T42=T44,E42&gt;C44),AND(T42=T45,F42&gt;C45),AND(T42=T46,G42&gt;C46))</f>
        <v>0</v>
      </c>
      <c r="L42" s="482">
        <f>IF(AND(Q42=1,Q43=1),D42-C43)+IF(AND(Q42=1,Q44=1),E42-C44)+IF(AND(Q42=1,Q45=1),F42-C45)+IF(AND(Q42=1,Q46=1),G42-C46)+IF(AND(Q42=2,Q43=2),D42-C43)+IF(AND(Q42=2,Q44=2),E42-C44)+IF(AND(Q42=2,Q45=2),F42-C45)+IF(AND(Q42=2,Q46=2),G42-C46)+IF(AND(Q42=3,Q43=3),D42-C43)+IF(AND(Q42=3,Q44=3),E42-C44)+IF(AND(Q42=3,Q45=3),F42-C45)+IF(AND(Q42=3,Q46=3),G42-C46)+IF(AND(Q42=4,Q43=4),D42-C43)+IF(AND(Q42=4,Q44=4),E42-C44)+IF(AND(Q42=4,Q45=4),F42-C45)+IF(AND(Q42=4,Q46=4),G42-C46)</f>
        <v>0</v>
      </c>
      <c r="M42" s="483">
        <f>SUM(AND(R42=R43,D42&gt;C43),AND(R42=R44,E42&gt;C44),AND(R42=R45,F42&gt;C45),AND(R42=R46,G42&gt;C46))</f>
        <v>0</v>
      </c>
      <c r="N42" s="537" t="str">
        <f>SUM(C42:G42)&amp;"-"&amp;SUM(C42:C46)</f>
        <v>18-39</v>
      </c>
      <c r="O42" s="538">
        <f>D42+E42+F42+G42-C43-C44-C45-C46</f>
        <v>-21</v>
      </c>
      <c r="P42" s="485">
        <f>SUM(C42:G42,C42:C46)/SUM(C42:C46)</f>
        <v>1.4615384615384615</v>
      </c>
      <c r="Q42" s="320">
        <f>VALUE(LEFT(H42,1))</f>
        <v>0</v>
      </c>
      <c r="R42" s="321">
        <f>Q42*100000+J42*10000+K42*1000+100*L42</f>
        <v>0</v>
      </c>
      <c r="S42" s="486">
        <f>R42+M42*0.1+IF(ISNONTEXT(B42),0,0.01)+0.0001*O42</f>
        <v>7.9000000000000008E-3</v>
      </c>
      <c r="T42" s="487" t="str">
        <f>Q42&amp;J42</f>
        <v>00</v>
      </c>
      <c r="U42" s="477"/>
      <c r="V42" s="477"/>
      <c r="W42" s="477"/>
      <c r="X42" s="477"/>
      <c r="Y42" s="477"/>
      <c r="Z42" s="477"/>
      <c r="AA42" s="477"/>
    </row>
    <row r="43" spans="1:29" x14ac:dyDescent="0.2">
      <c r="A43" s="316">
        <v>2</v>
      </c>
      <c r="B43" s="488" t="s">
        <v>127</v>
      </c>
      <c r="C43" s="318">
        <v>13</v>
      </c>
      <c r="D43" s="319"/>
      <c r="E43" s="534">
        <v>11</v>
      </c>
      <c r="F43" s="534">
        <v>13</v>
      </c>
      <c r="G43" s="318"/>
      <c r="H43" s="317" t="str">
        <f>(IF(C43-D42&gt;0,1)+IF(E43-D44&gt;0,1)+IF(F43-D45&gt;0,1)+IF(G43-D46&gt;0,1))&amp;"-"&amp;(IF(C43-D42&lt;0,1)+IF(E43-D44&lt;0,1)+IF(F43-D45&lt;0,1)+IF(G43-D46&lt;0,1))</f>
        <v>2-1</v>
      </c>
      <c r="I43" s="279" t="str">
        <f t="shared" ref="I43:I46" si="6">IF(AND(B43&lt;&gt;"",R$41=TRUE),A$41&amp;RANK(S43,S$42:S$46,0)," ")</f>
        <v>F2</v>
      </c>
      <c r="J43" s="489">
        <f>IF(AND(Q43=1,Q42=1,C43&gt;D42),1)+IF(AND(Q43=1,Q44=1,E43&gt;D44),1)+IF(AND(Q43=1,Q45=1,F43&gt;D45),1)+IF(AND(Q43=1,Q46=1,G43&gt;D46),1)+IF(AND(Q43=2,Q42=2,C43&gt;D42),1)+IF(AND(Q43=2,Q44=2,E43&gt;D44),1)+IF(AND(Q43=2,Q45=2,F43&gt;D45),1)+IF(AND(Q43=2,Q46=2,G43&gt;D46),1)+IF(AND(Q43=3,Q42=3,C43&gt;D42),1)+IF(AND(Q43=3,Q44=3,E43&gt;D44),1)+IF(AND(Q43=3,Q45=3,F43&gt;D45),1)+IF(AND(Q43=3,Q46=3,G43&gt;D46),1)</f>
        <v>1</v>
      </c>
      <c r="K43" s="483">
        <f>SUM(AND(T43=T42,C43&gt;D42),AND(T43=T44,E43&gt;D44),AND(T43=T45,F43&gt;D45),AND(T43=T46,G43&gt;D46))</f>
        <v>1</v>
      </c>
      <c r="L43" s="490">
        <f>IF(AND(Q43=1,Q42=1),C43-D42)+IF(AND(Q43=1,Q44=1),E43-D44)+IF(AND(Q43=1,Q45=1),F43-D45)+IF(AND(Q43=1,Q46=1),G43-D46)+IF(AND(Q43=2,Q42=2),C43-D42)+IF(AND(Q43=2,Q44=2),E43-D44)+IF(AND(Q43=2,Q45=2),F43-D45)+IF(AND(Q43=2,Q46=2),G43-D46)+IF(AND(Q43=3,Q42=3),C43-D42)+IF(AND(Q43=3,Q44=3),E43-D44)+IF(AND(Q43=3,Q45=3),F43-D45)+IF(AND(Q43=3,Q46=3),G43-D46)+IF(AND(Q43=4,Q42=4),C43-D42)+IF(AND(Q43=4,Q44=4),E43-D44)+IF(AND(Q43=4,Q45=4),F43-D45)+IF(AND(Q43=4,Q46=4),G43-D46)</f>
        <v>2</v>
      </c>
      <c r="M43" s="483">
        <f>SUM(AND(R43=R42,C43&gt;D42),AND(R43=R44,E43&gt;D44),AND(R43=R45,F43&gt;D45),AND(R43=R46,G43&gt;D46))</f>
        <v>0</v>
      </c>
      <c r="N43" s="537" t="str">
        <f>SUM(C43:G43)&amp;"-"&amp;SUM(D42:D46)</f>
        <v>37-28</v>
      </c>
      <c r="O43" s="538">
        <f>C43+E43+F43+G43-D42-D44-D45-D46</f>
        <v>9</v>
      </c>
      <c r="P43" s="485">
        <f>SUM(C43:G43,D42:D46)/SUM(D42:D46)</f>
        <v>2.3214285714285716</v>
      </c>
      <c r="Q43" s="491">
        <f>VALUE(LEFT(H43,1))</f>
        <v>2</v>
      </c>
      <c r="R43" s="321">
        <f>Q43*100000+J43*10000+K43*1000+100*L43</f>
        <v>211200</v>
      </c>
      <c r="S43" s="486">
        <f>R43+M43*0.1+IF(ISNONTEXT(B43),0,0.01)+0.0001*O43</f>
        <v>211200.01090000002</v>
      </c>
      <c r="T43" s="487" t="str">
        <f>Q43&amp;J43</f>
        <v>21</v>
      </c>
      <c r="U43" s="477"/>
      <c r="V43" s="477"/>
      <c r="W43" s="477"/>
      <c r="X43" s="477"/>
      <c r="Y43" s="477"/>
      <c r="Z43" s="477"/>
      <c r="AA43" s="477"/>
    </row>
    <row r="44" spans="1:29" x14ac:dyDescent="0.2">
      <c r="A44" s="316">
        <v>3</v>
      </c>
      <c r="B44" s="488" t="s">
        <v>148</v>
      </c>
      <c r="C44" s="318">
        <v>13</v>
      </c>
      <c r="D44" s="535">
        <v>13</v>
      </c>
      <c r="E44" s="319"/>
      <c r="F44" s="534">
        <v>6</v>
      </c>
      <c r="G44" s="318"/>
      <c r="H44" s="317" t="str">
        <f>(IF(C44-E42&gt;0,1)+IF(D44-E43&gt;0,1)+IF(F44-E45&gt;0,1)+IF(G44-E46&gt;0,1))&amp;"-"&amp;(IF(C44-E42&lt;0,1)+IF(D44-E43&lt;0,1)+IF(F44-E45&lt;0,1)+IF(G44-E46&lt;0,1))</f>
        <v>2-1</v>
      </c>
      <c r="I44" s="279" t="str">
        <f t="shared" si="6"/>
        <v>F3</v>
      </c>
      <c r="J44" s="489">
        <f>IF(AND(Q44=1,Q42=1,C44&gt;E42),1)+IF(AND(Q44=1,Q43=1,D44&gt;E43),1)+IF(AND(Q44=1,Q45=1,F44&gt;E45),1)+IF(AND(Q44=1,Q46=1,G44&gt;E46),1)+IF(AND(Q44=2,Q42=2,C44&gt;E42),1)+IF(AND(Q44=2,Q43=2,D44&gt;E43),1)+IF(AND(Q44=2,Q45=2,F44&gt;E45),1)+IF(AND(Q44=2,Q46=2,G44&gt;E46),1)+IF(AND(Q44=3,Q42=3,C44&gt;E42),1)+IF(AND(Q44=3,Q43=3,D44&gt;E43),1)+IF(AND(Q44=3,Q45=3,F44&gt;E45),1)+IF(AND(Q44=3,Q46=3,G44&gt;E46),1)</f>
        <v>1</v>
      </c>
      <c r="K44" s="483">
        <f>SUM(AND(T44=T42,C44&gt;E42),AND(T44=T43,D44&gt;E43),AND(T44=T45,F44&gt;E45),AND(T44=T46,G44&gt;E46))</f>
        <v>1</v>
      </c>
      <c r="L44" s="490">
        <f>IF(AND(Q44=1,Q42=1),C44-E42)+IF(AND(Q44=1,Q43=1),D44-E43)+IF(AND(Q44=1,Q45=1),F44-E45)+IF(AND(Q44=1,Q46=1),G44-E46)+IF(AND(Q44=2,Q42=2),C44-E42)+IF(AND(Q44=2,Q43=2),D44-E43)+IF(AND(Q44=2,Q45=2),F44-E45)+IF(AND(Q44=2,Q46=2),G44-E46)+IF(AND(Q44=3,Q42=3),C44-E42)+IF(AND(Q44=3,Q43=3),D44-E43)+IF(AND(Q44=3,Q45=3),F44-E45)+IF(AND(Q44=3,Q46=3),G44-E46)+IF(AND(Q44=4,Q42=4),C44-E42)+IF(AND(Q44=4,Q43=4),D44-E43)+IF(AND(Q44=4,Q45=4),F44-E45)+IF(AND(Q44=4,Q46=4),G44-E46)</f>
        <v>-5</v>
      </c>
      <c r="M44" s="483">
        <f>SUM(AND(R44=R42,C44&gt;E42),AND(R44=R43,D44&gt;E43),AND(R44=R45,F44&gt;E45),AND(R44=R46,G44&gt;E46))</f>
        <v>0</v>
      </c>
      <c r="N44" s="537" t="str">
        <f>SUM(C44:G44)&amp;"-"&amp;SUM(E42:E46)</f>
        <v>32-32</v>
      </c>
      <c r="O44" s="538">
        <f>C44+D44+F44+G44-E42-E43-E45-E46</f>
        <v>0</v>
      </c>
      <c r="P44" s="485">
        <f>SUM(C44:G44,E42:E46)/SUM(E42:E46)</f>
        <v>2</v>
      </c>
      <c r="Q44" s="491">
        <f>VALUE(LEFT(H44,1))</f>
        <v>2</v>
      </c>
      <c r="R44" s="321">
        <f>Q44*100000+J44*10000+K44*1000+100*L44</f>
        <v>210500</v>
      </c>
      <c r="S44" s="486">
        <f>R44+M44*0.1+IF(ISNONTEXT(B44),0,0.01)+0.0001*O44</f>
        <v>210500.01</v>
      </c>
      <c r="T44" s="487" t="str">
        <f>Q44&amp;J44</f>
        <v>21</v>
      </c>
      <c r="U44" s="477"/>
      <c r="V44" s="477"/>
      <c r="W44" s="477"/>
      <c r="X44" s="477"/>
      <c r="Y44" s="477"/>
      <c r="Z44" s="477"/>
      <c r="AA44" s="477"/>
    </row>
    <row r="45" spans="1:29" x14ac:dyDescent="0.2">
      <c r="A45" s="316">
        <v>4</v>
      </c>
      <c r="B45" s="493" t="s">
        <v>141</v>
      </c>
      <c r="C45" s="318">
        <v>13</v>
      </c>
      <c r="D45" s="535">
        <v>9</v>
      </c>
      <c r="E45" s="534">
        <v>13</v>
      </c>
      <c r="F45" s="319"/>
      <c r="G45" s="511"/>
      <c r="H45" s="317" t="str">
        <f>(IF(C45-F42&gt;0,1)+IF(D45-F43&gt;0,1)+IF(E45-F44&gt;0,1)+IF(G45-F46&gt;0,1))&amp;"-"&amp;(IF(C45-F42&lt;0,1)+IF(D45-F43&lt;0,1)+IF(E45-F44&lt;0,1)+IF(G45-F46&lt;0,1))</f>
        <v>2-1</v>
      </c>
      <c r="I45" s="279" t="str">
        <f t="shared" si="6"/>
        <v>F1</v>
      </c>
      <c r="J45" s="489">
        <f>IF(AND(Q45=1,Q42=1,C45&gt;F42),1)+IF(AND(Q45=1,Q43=1,D45&gt;F43),1)+IF(AND(Q45=1,Q44=1,E45&gt;F44),1)+IF(AND(Q45=1,Q46=1,G45&gt;F46),1)+IF(AND(Q45=2,Q42=2,C45&gt;F42),1)+IF(AND(Q45=2,Q43=2,D45&gt;F43),1)+IF(AND(Q45=2,Q44=2,E45&gt;F44),1)+IF(AND(Q45=2,Q46=2,G45&gt;F46),1)+IF(AND(Q45=3,Q42=3,C45&gt;F42),1)+IF(AND(Q45=3,Q43=3,D45&gt;F43),1)+IF(AND(Q45=3,Q44=3,E45&gt;F44),1)+IF(AND(Q45=3,Q46=3,G45&gt;F46),1)</f>
        <v>1</v>
      </c>
      <c r="K45" s="483">
        <f>SUM(AND(T45=T42,C45&gt;F42),AND(T45=T43,D45&gt;F43),AND(T45=T44,E45&gt;F44),AND(T45=T46,G45&gt;F46))</f>
        <v>1</v>
      </c>
      <c r="L45" s="490">
        <f>IF(AND(Q45=1,Q42=1),C45-F42)+IF(AND(Q45=1,Q43=1),D45-F43)+IF(AND(Q45=1,Q44=1),E45-F44)+IF(AND(Q45=1,Q46=1),G45-F46)+IF(AND(Q45=2,Q42=2),C45-F42)+IF(AND(Q45=2,Q43=2),D45-F43)+IF(AND(Q45=2,Q44=2),E45-F44)+IF(AND(Q45=2,Q46=2),G45-F46)+IF(AND(Q45=3,Q42=3),C45-F42)+IF(AND(Q45=3,Q43=3),D45-F43)+IF(AND(Q45=3,Q44=3),E45-F44)+IF(AND(Q45=3,Q46=3),G45-F46)+IF(AND(Q45=4,Q42=4),C45-F42)+IF(AND(Q45=4,Q43=4),D45-F43)+IF(AND(Q45=4,Q44=4),E45-F44)+IF(AND(Q45=4,Q46=4),G45-F46)</f>
        <v>3</v>
      </c>
      <c r="M45" s="483">
        <f>SUM(AND(R45=R42,C45&gt;F42),AND(R45=R43,D45&gt;F43),AND(R45=R44,E45&gt;F44),AND(R45=R46,G45&gt;F46))</f>
        <v>0</v>
      </c>
      <c r="N45" s="537" t="str">
        <f>SUM(C45:G45)&amp;"-"&amp;SUM(F42:F46)</f>
        <v>35-23</v>
      </c>
      <c r="O45" s="538">
        <f>C45+D45+E45+G45-F42-F43-F44-F46</f>
        <v>12</v>
      </c>
      <c r="P45" s="485">
        <f>SUM(C45:G45,F42:F46)/SUM(F42:F46)</f>
        <v>2.5217391304347827</v>
      </c>
      <c r="Q45" s="491">
        <f>VALUE(LEFT(H45,1))</f>
        <v>2</v>
      </c>
      <c r="R45" s="321">
        <f>Q45*100000+J45*10000+K45*1000+100*L45</f>
        <v>211300</v>
      </c>
      <c r="S45" s="486">
        <f>R45+M45*0.1+IF(ISNONTEXT(B45),0,0.01)+0.0001*O45</f>
        <v>211300.01120000001</v>
      </c>
      <c r="T45" s="487" t="str">
        <f>Q45&amp;J45</f>
        <v>21</v>
      </c>
      <c r="U45" s="477"/>
      <c r="V45" s="477"/>
      <c r="W45" s="477"/>
      <c r="X45" s="477"/>
      <c r="Y45" s="477"/>
      <c r="Z45" s="477"/>
      <c r="AA45" s="477"/>
      <c r="AB45" s="477"/>
      <c r="AC45" s="477"/>
    </row>
    <row r="46" spans="1:29" hidden="1" x14ac:dyDescent="0.2">
      <c r="A46" s="316">
        <v>5</v>
      </c>
      <c r="B46" s="493"/>
      <c r="C46" s="318"/>
      <c r="D46" s="318"/>
      <c r="E46" s="318"/>
      <c r="F46" s="318"/>
      <c r="G46" s="319"/>
      <c r="H46" s="317" t="str">
        <f>(IF(C46-G42&gt;0,1)+IF(D46-G43&gt;0,1)+IF(E46-G44&gt;0,1)+IF(F46-G45&gt;0,1))&amp;"-"&amp;(IF(C46-G42&lt;0,1)+IF(D46-G43&lt;0,1)+IF(E46-G44&lt;0,1)+IF(F46-G45&lt;0,1))</f>
        <v>0-0</v>
      </c>
      <c r="I46" s="279" t="str">
        <f t="shared" si="6"/>
        <v xml:space="preserve"> </v>
      </c>
      <c r="J46" s="489">
        <f>IF(AND(Q46=1,Q42=1,C46&gt;G42),1)+IF(AND(Q46=1,Q43=1,D46&gt;G43),1)+IF(AND(Q46=1,Q44=1,E46&gt;G44),1)+IF(AND(Q46=1,Q45=1,F46&gt;G45),1)+IF(AND(Q46=2,Q42=2,C46&gt;G42),1)+IF(AND(Q46=2,Q43=2,D46&gt;G43),1)+IF(AND(Q46=2,Q44=2,E46&gt;G44),1)+IF(AND(Q46=2,Q45=2,F46&gt;G45),1)+IF(AND(Q46=3,Q42=3,C46&gt;G42),1)+IF(AND(Q46=3,Q43=3,D46&gt;G43),1)+IF(AND(Q46=3,Q44=3,E46&gt;G44),1)+IF(AND(Q46=3,Q45=3,F46&gt;G45),1)</f>
        <v>0</v>
      </c>
      <c r="K46" s="483">
        <f>SUM(AND(T46=T42,C46&gt;G42),AND(T46=T43,D46&gt;G43),AND(T46=T44,E46&gt;G44),AND(T46=T45,F46&gt;G45))</f>
        <v>0</v>
      </c>
      <c r="L46" s="490">
        <f>IF(AND(Q46=1,Q42=1),C46-G42)+IF(AND(Q46=1,Q43=1),D46-G43)+IF(AND(Q46=1,Q44=1),E46-G44)+IF(AND(Q46=1,Q45=1),F46-G45)+IF(AND(Q46=2,Q42=2),C46-G42)+IF(AND(Q46=2,Q43=2),D46-G43)+IF(AND(Q46=2,Q44=2),E46-G44)+IF(AND(Q46=2,Q45=2),F46-G45)+IF(AND(Q46=3,Q42=3),C46-G42)+IF(AND(Q46=3,Q43=3),D46-G43)+IF(AND(Q46=3,Q44=3),E46-G44)+IF(AND(Q46=3,Q45=3),F46-G45)+IF(AND(Q46=4,Q42=4),C46-G42)+IF(AND(Q46=4,Q43=4),D46-G43)+IF(AND(Q46=4,Q44=4),E46-G44)+IF(AND(Q46=4,Q45=4),F46-G45)</f>
        <v>0</v>
      </c>
      <c r="M46" s="483">
        <f>SUM(AND(R46=R42,C46&gt;G42),AND(R46=R43,D46&gt;G43),AND(R46=R44,E46&gt;G44),AND(R46=R45,F46&gt;G45))</f>
        <v>0</v>
      </c>
      <c r="N46" s="537" t="str">
        <f>SUM(C46:G46)&amp;"-"&amp;SUM(G42:G46)</f>
        <v>0-0</v>
      </c>
      <c r="O46" s="538">
        <f>C46+D46+E46+F46-G42-G43-G44-G45</f>
        <v>0</v>
      </c>
      <c r="P46" s="485" t="e">
        <f>SUM(C46:G46,G42:G46)/SUM(G42:G46)</f>
        <v>#DIV/0!</v>
      </c>
      <c r="Q46" s="491">
        <f>VALUE(LEFT(H46,1))</f>
        <v>0</v>
      </c>
      <c r="R46" s="321">
        <f>Q46*100000+J46*10000+K46*1000+100*L46</f>
        <v>0</v>
      </c>
      <c r="S46" s="486">
        <f>R46+M46*0.1+IF(ISNONTEXT(B46),0,0.01)+0.0001*O46</f>
        <v>0</v>
      </c>
      <c r="T46" s="487" t="str">
        <f>Q46&amp;J46</f>
        <v>00</v>
      </c>
      <c r="U46" s="477"/>
      <c r="V46" s="477"/>
      <c r="W46" s="477"/>
      <c r="X46" s="477"/>
      <c r="Y46" s="477"/>
      <c r="Z46" s="477"/>
      <c r="AA46" s="477"/>
      <c r="AB46" s="477"/>
      <c r="AC46" s="477"/>
    </row>
    <row r="47" spans="1:29" hidden="1" x14ac:dyDescent="0.2">
      <c r="A47" s="494"/>
      <c r="B47" s="495"/>
      <c r="C47" s="496"/>
      <c r="D47" s="497"/>
      <c r="E47" s="496"/>
      <c r="F47" s="498"/>
      <c r="G47" s="499"/>
      <c r="H47" s="500"/>
      <c r="I47" s="512"/>
      <c r="J47" s="477"/>
      <c r="K47" s="477"/>
      <c r="L47" s="477"/>
      <c r="M47" s="477"/>
      <c r="N47" s="539"/>
      <c r="O47" s="539"/>
      <c r="P47" s="477"/>
      <c r="Q47" s="477"/>
      <c r="R47" s="502" t="s">
        <v>264</v>
      </c>
      <c r="S47" s="477"/>
      <c r="T47" s="477"/>
      <c r="U47" s="477"/>
      <c r="V47" s="477"/>
      <c r="W47" s="477"/>
      <c r="X47" s="477"/>
      <c r="Y47" s="477"/>
      <c r="Z47" s="477"/>
      <c r="AA47" s="477"/>
      <c r="AB47" s="477"/>
      <c r="AC47" s="477"/>
    </row>
    <row r="48" spans="1:29" hidden="1" x14ac:dyDescent="0.2">
      <c r="A48" s="477"/>
      <c r="B48" s="477"/>
      <c r="C48" s="477"/>
      <c r="D48" s="477"/>
      <c r="E48" s="477"/>
      <c r="F48" s="477"/>
      <c r="G48" s="477"/>
      <c r="H48" s="477"/>
      <c r="I48" s="477"/>
      <c r="J48" s="477"/>
      <c r="K48" s="477"/>
      <c r="L48" s="477"/>
      <c r="M48" s="477"/>
      <c r="N48" s="477"/>
      <c r="O48" s="477"/>
      <c r="P48" s="477"/>
      <c r="Q48" s="477"/>
      <c r="R48" s="477"/>
      <c r="S48" s="477"/>
      <c r="T48" s="477"/>
      <c r="U48" s="477"/>
      <c r="V48" s="477"/>
      <c r="W48" s="477"/>
      <c r="X48" s="477"/>
      <c r="Y48" s="477"/>
      <c r="Z48" s="477"/>
      <c r="AA48" s="477"/>
      <c r="AB48" s="477"/>
      <c r="AC48" s="477"/>
    </row>
    <row r="49" spans="1:29" hidden="1" x14ac:dyDescent="0.2">
      <c r="A49" s="477"/>
      <c r="B49" s="477"/>
      <c r="C49" s="477"/>
      <c r="D49" s="477"/>
      <c r="E49" s="477"/>
      <c r="F49" s="477"/>
      <c r="G49" s="477"/>
      <c r="H49" s="477"/>
      <c r="I49" s="477"/>
      <c r="J49" s="477"/>
      <c r="K49" s="477"/>
      <c r="L49" s="477"/>
      <c r="M49" s="477"/>
      <c r="N49" s="477"/>
      <c r="O49" s="477"/>
      <c r="P49" s="477"/>
      <c r="Q49" s="477"/>
      <c r="R49" s="477"/>
      <c r="S49" s="477"/>
      <c r="T49" s="477"/>
      <c r="U49" s="477"/>
      <c r="V49" s="477"/>
      <c r="W49" s="477"/>
      <c r="X49" s="477"/>
      <c r="Y49" s="477"/>
      <c r="Z49" s="477"/>
      <c r="AA49" s="477"/>
      <c r="AB49" s="477"/>
      <c r="AC49" s="477"/>
    </row>
    <row r="50" spans="1:29" hidden="1" x14ac:dyDescent="0.2">
      <c r="A50" s="477"/>
      <c r="B50" s="477"/>
      <c r="C50" s="477"/>
      <c r="D50" s="477"/>
      <c r="E50" s="477"/>
      <c r="F50" s="477"/>
      <c r="G50" s="477"/>
      <c r="H50" s="477"/>
      <c r="I50" s="477"/>
      <c r="J50" s="477"/>
      <c r="K50" s="477"/>
      <c r="L50" s="477"/>
      <c r="M50" s="477"/>
      <c r="N50" s="477"/>
      <c r="O50" s="477"/>
      <c r="P50" s="477"/>
      <c r="Q50" s="477"/>
      <c r="R50" s="477"/>
      <c r="S50" s="477"/>
      <c r="T50" s="477"/>
      <c r="U50" s="477"/>
      <c r="V50" s="477"/>
      <c r="W50" s="477"/>
      <c r="X50" s="477"/>
      <c r="Y50" s="477"/>
      <c r="Z50" s="477"/>
      <c r="AA50" s="477"/>
      <c r="AB50" s="477"/>
      <c r="AC50" s="477"/>
    </row>
    <row r="51" spans="1:29" hidden="1" x14ac:dyDescent="0.2">
      <c r="A51" s="477"/>
      <c r="B51" s="477"/>
      <c r="C51" s="477"/>
      <c r="D51" s="477"/>
      <c r="E51" s="477"/>
      <c r="F51" s="477"/>
      <c r="G51" s="477"/>
      <c r="H51" s="477"/>
      <c r="I51" s="477"/>
      <c r="J51" s="477"/>
      <c r="K51" s="477"/>
      <c r="L51" s="477"/>
      <c r="M51" s="477"/>
      <c r="N51" s="477"/>
      <c r="O51" s="477"/>
      <c r="P51" s="477"/>
      <c r="Q51" s="477"/>
      <c r="R51" s="477"/>
      <c r="S51" s="477"/>
      <c r="T51" s="477"/>
      <c r="U51" s="477"/>
      <c r="V51" s="477"/>
      <c r="W51" s="477"/>
      <c r="X51" s="477"/>
      <c r="Y51" s="477"/>
      <c r="Z51" s="477"/>
      <c r="AA51" s="477"/>
      <c r="AB51" s="477"/>
      <c r="AC51" s="477"/>
    </row>
    <row r="52" spans="1:29" hidden="1" x14ac:dyDescent="0.2">
      <c r="A52" s="477"/>
      <c r="B52" s="477"/>
      <c r="C52" s="477"/>
      <c r="D52" s="477"/>
      <c r="E52" s="477"/>
      <c r="F52" s="477"/>
      <c r="G52" s="477"/>
      <c r="H52" s="477"/>
      <c r="I52" s="477"/>
      <c r="J52" s="477"/>
      <c r="K52" s="477"/>
      <c r="L52" s="477"/>
      <c r="M52" s="477"/>
      <c r="N52" s="477"/>
      <c r="O52" s="477"/>
      <c r="P52" s="477"/>
      <c r="Q52" s="477"/>
      <c r="R52" s="477"/>
      <c r="S52" s="477"/>
      <c r="T52" s="477"/>
      <c r="U52" s="477"/>
      <c r="V52" s="477"/>
      <c r="W52" s="477"/>
      <c r="X52" s="477"/>
      <c r="Y52" s="477"/>
      <c r="Z52" s="477"/>
      <c r="AA52" s="477"/>
      <c r="AB52" s="477"/>
      <c r="AC52" s="477"/>
    </row>
    <row r="53" spans="1:29" hidden="1" x14ac:dyDescent="0.2">
      <c r="A53" s="477"/>
      <c r="B53" s="477"/>
      <c r="C53" s="477"/>
      <c r="D53" s="477"/>
      <c r="E53" s="477"/>
      <c r="F53" s="477"/>
      <c r="G53" s="477"/>
      <c r="H53" s="477"/>
      <c r="I53" s="477"/>
      <c r="J53" s="477"/>
      <c r="K53" s="477"/>
      <c r="L53" s="477"/>
      <c r="M53" s="477"/>
      <c r="N53" s="477"/>
      <c r="O53" s="477"/>
      <c r="P53" s="477"/>
      <c r="Q53" s="477"/>
      <c r="R53" s="477"/>
      <c r="S53" s="477"/>
      <c r="T53" s="477"/>
      <c r="U53" s="477"/>
      <c r="V53" s="477"/>
      <c r="W53" s="477"/>
      <c r="X53" s="477"/>
      <c r="Y53" s="477"/>
      <c r="Z53" s="477"/>
      <c r="AA53" s="477"/>
      <c r="AB53" s="477"/>
      <c r="AC53" s="477"/>
    </row>
    <row r="54" spans="1:29" hidden="1" x14ac:dyDescent="0.2">
      <c r="A54" s="477"/>
      <c r="B54" s="477"/>
      <c r="C54" s="477"/>
      <c r="D54" s="477"/>
      <c r="E54" s="477"/>
      <c r="F54" s="477"/>
      <c r="G54" s="477"/>
      <c r="H54" s="477"/>
      <c r="I54" s="477"/>
      <c r="J54" s="477"/>
      <c r="K54" s="477"/>
      <c r="L54" s="477"/>
      <c r="M54" s="477"/>
      <c r="N54" s="477"/>
      <c r="O54" s="477"/>
      <c r="P54" s="477"/>
      <c r="Q54" s="477"/>
      <c r="R54" s="477"/>
      <c r="S54" s="477"/>
      <c r="T54" s="477"/>
      <c r="U54" s="477"/>
      <c r="V54" s="477"/>
      <c r="W54" s="477"/>
      <c r="X54" s="477"/>
      <c r="Y54" s="477"/>
      <c r="Z54" s="477"/>
      <c r="AA54" s="477"/>
      <c r="AB54" s="477"/>
      <c r="AC54" s="477"/>
    </row>
    <row r="55" spans="1:29" hidden="1" x14ac:dyDescent="0.2">
      <c r="A55" s="477"/>
      <c r="B55" s="477"/>
      <c r="C55" s="477"/>
      <c r="D55" s="477"/>
      <c r="E55" s="477"/>
      <c r="F55" s="477"/>
      <c r="G55" s="477"/>
      <c r="H55" s="477"/>
      <c r="I55" s="477"/>
      <c r="J55" s="477"/>
      <c r="K55" s="477"/>
      <c r="L55" s="477"/>
      <c r="M55" s="477"/>
      <c r="N55" s="477"/>
      <c r="O55" s="477"/>
      <c r="P55" s="477"/>
      <c r="Q55" s="477"/>
      <c r="R55" s="477"/>
      <c r="S55" s="477"/>
      <c r="T55" s="477"/>
      <c r="U55" s="477"/>
      <c r="V55" s="477"/>
      <c r="W55" s="477"/>
      <c r="X55" s="477"/>
      <c r="Y55" s="477"/>
      <c r="Z55" s="477"/>
      <c r="AA55" s="477"/>
      <c r="AB55" s="477"/>
      <c r="AC55" s="477"/>
    </row>
    <row r="56" spans="1:29" hidden="1" x14ac:dyDescent="0.2">
      <c r="A56" s="477"/>
      <c r="B56" s="477"/>
      <c r="C56" s="477"/>
      <c r="D56" s="477"/>
      <c r="E56" s="477"/>
      <c r="F56" s="477"/>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row>
    <row r="57" spans="1:29" hidden="1" x14ac:dyDescent="0.2">
      <c r="A57" s="477"/>
      <c r="B57" s="477"/>
      <c r="C57" s="477"/>
      <c r="D57" s="477"/>
      <c r="E57" s="477"/>
      <c r="F57" s="477"/>
      <c r="G57" s="477"/>
      <c r="H57" s="477"/>
      <c r="I57" s="477"/>
      <c r="J57" s="477"/>
      <c r="K57" s="477"/>
      <c r="L57" s="477"/>
      <c r="M57" s="477"/>
      <c r="N57" s="477"/>
      <c r="O57" s="477"/>
      <c r="P57" s="477"/>
      <c r="Q57" s="477"/>
      <c r="R57" s="477"/>
      <c r="S57" s="477"/>
      <c r="T57" s="477"/>
      <c r="U57" s="477"/>
      <c r="V57" s="477"/>
      <c r="W57" s="477"/>
      <c r="X57" s="477"/>
      <c r="Y57" s="477"/>
      <c r="Z57" s="477"/>
      <c r="AA57" s="477"/>
      <c r="AB57" s="477"/>
      <c r="AC57" s="477"/>
    </row>
    <row r="58" spans="1:29" hidden="1" x14ac:dyDescent="0.2">
      <c r="A58" s="477"/>
      <c r="B58" s="477"/>
      <c r="C58" s="477"/>
      <c r="D58" s="477"/>
      <c r="E58" s="477"/>
      <c r="F58" s="477"/>
      <c r="G58" s="477"/>
      <c r="H58" s="477"/>
      <c r="I58" s="477"/>
      <c r="J58" s="477"/>
      <c r="K58" s="477"/>
      <c r="L58" s="477"/>
      <c r="M58" s="477"/>
      <c r="N58" s="477"/>
      <c r="O58" s="477"/>
      <c r="P58" s="477"/>
      <c r="Q58" s="477"/>
      <c r="R58" s="477"/>
      <c r="S58" s="477"/>
      <c r="T58" s="477"/>
      <c r="U58" s="477"/>
      <c r="V58" s="477"/>
      <c r="W58" s="477"/>
      <c r="X58" s="477"/>
      <c r="Y58" s="477"/>
      <c r="Z58" s="477"/>
      <c r="AA58" s="477"/>
      <c r="AB58" s="477"/>
      <c r="AC58" s="477"/>
    </row>
    <row r="59" spans="1:29" hidden="1" x14ac:dyDescent="0.2">
      <c r="A59" s="477"/>
      <c r="B59" s="477"/>
      <c r="C59" s="477"/>
      <c r="D59" s="477"/>
      <c r="E59" s="477"/>
      <c r="F59" s="477"/>
      <c r="G59" s="477"/>
      <c r="H59" s="477"/>
      <c r="I59" s="477"/>
      <c r="J59" s="477"/>
      <c r="K59" s="477"/>
      <c r="L59" s="477"/>
      <c r="M59" s="477"/>
      <c r="N59" s="477"/>
      <c r="O59" s="477"/>
      <c r="P59" s="477"/>
      <c r="Q59" s="477"/>
      <c r="R59" s="477"/>
      <c r="S59" s="477"/>
      <c r="T59" s="477"/>
      <c r="U59" s="477"/>
      <c r="V59" s="477"/>
      <c r="W59" s="477"/>
      <c r="X59" s="477"/>
      <c r="Y59" s="477"/>
      <c r="Z59" s="477"/>
      <c r="AA59" s="477"/>
      <c r="AB59" s="477"/>
      <c r="AC59" s="477"/>
    </row>
    <row r="60" spans="1:29" hidden="1" x14ac:dyDescent="0.2">
      <c r="A60" s="477"/>
      <c r="B60" s="477"/>
      <c r="C60" s="477"/>
      <c r="D60" s="477"/>
      <c r="E60" s="477"/>
      <c r="F60" s="477"/>
      <c r="G60" s="477"/>
      <c r="H60" s="477"/>
      <c r="I60" s="477"/>
      <c r="J60" s="477"/>
      <c r="K60" s="477"/>
      <c r="L60" s="477"/>
      <c r="M60" s="477"/>
      <c r="N60" s="477"/>
      <c r="O60" s="477"/>
      <c r="P60" s="477"/>
      <c r="Q60" s="477"/>
      <c r="R60" s="477"/>
      <c r="S60" s="477"/>
      <c r="T60" s="477"/>
      <c r="U60" s="477"/>
      <c r="V60" s="477"/>
      <c r="W60" s="477"/>
      <c r="X60" s="477"/>
      <c r="Y60" s="477"/>
      <c r="Z60" s="477"/>
      <c r="AA60" s="477"/>
      <c r="AB60" s="477"/>
      <c r="AC60" s="477"/>
    </row>
    <row r="61" spans="1:29" hidden="1" x14ac:dyDescent="0.2">
      <c r="A61" s="477"/>
      <c r="B61" s="477"/>
      <c r="C61" s="477"/>
      <c r="D61" s="477"/>
      <c r="E61" s="477"/>
      <c r="F61" s="477"/>
      <c r="G61" s="477"/>
      <c r="H61" s="477"/>
      <c r="I61" s="477"/>
      <c r="J61" s="477"/>
      <c r="K61" s="477"/>
      <c r="L61" s="477"/>
      <c r="M61" s="477"/>
      <c r="N61" s="477"/>
      <c r="O61" s="477"/>
      <c r="P61" s="477"/>
      <c r="Q61" s="477"/>
      <c r="R61" s="477"/>
      <c r="S61" s="477"/>
      <c r="T61" s="477"/>
    </row>
    <row r="62" spans="1:29" hidden="1" x14ac:dyDescent="0.2">
      <c r="A62" s="79"/>
      <c r="B62" s="322" t="s">
        <v>171</v>
      </c>
      <c r="C62" s="283" t="s">
        <v>175</v>
      </c>
      <c r="D62" s="445"/>
      <c r="E62" s="79"/>
      <c r="F62" s="62"/>
      <c r="G62" s="79"/>
      <c r="H62" s="79"/>
      <c r="I62" s="79"/>
      <c r="J62" s="79"/>
      <c r="K62" s="62"/>
      <c r="L62" s="79"/>
      <c r="M62" s="62"/>
      <c r="N62" s="79"/>
      <c r="O62" s="299"/>
      <c r="P62" s="62"/>
      <c r="Q62" s="62"/>
      <c r="R62" s="62"/>
      <c r="S62" s="62"/>
      <c r="T62" s="62"/>
    </row>
    <row r="63" spans="1:29" hidden="1" x14ac:dyDescent="0.2">
      <c r="A63" s="79"/>
      <c r="B63" s="322" t="s">
        <v>174</v>
      </c>
      <c r="C63" s="283" t="s">
        <v>191</v>
      </c>
      <c r="D63" s="79"/>
      <c r="E63" s="79"/>
      <c r="F63" s="62"/>
      <c r="G63" s="79"/>
      <c r="H63" s="79"/>
      <c r="I63" s="79"/>
      <c r="J63" s="79"/>
      <c r="K63" s="62"/>
      <c r="L63" s="79"/>
      <c r="M63" s="62"/>
      <c r="N63" s="79"/>
      <c r="O63" s="299"/>
      <c r="P63" s="62"/>
      <c r="Q63" s="62"/>
      <c r="R63" s="62"/>
      <c r="S63" s="62"/>
      <c r="T63" s="62"/>
    </row>
    <row r="64" spans="1:29" hidden="1" x14ac:dyDescent="0.2">
      <c r="A64" s="79"/>
      <c r="B64" s="322" t="s">
        <v>177</v>
      </c>
      <c r="C64" s="283" t="s">
        <v>183</v>
      </c>
      <c r="D64" s="79"/>
      <c r="E64" s="79"/>
      <c r="F64" s="62"/>
      <c r="G64" s="79"/>
      <c r="H64" s="79"/>
      <c r="I64" s="79"/>
      <c r="J64" s="79"/>
      <c r="K64" s="62"/>
      <c r="L64" s="79"/>
      <c r="M64" s="62"/>
      <c r="N64" s="79"/>
      <c r="O64" s="299"/>
      <c r="P64" s="62"/>
      <c r="Q64" s="62"/>
      <c r="R64" s="62"/>
      <c r="S64" s="62"/>
      <c r="T64" s="62"/>
    </row>
    <row r="65" spans="1:20" ht="12.75" hidden="1" customHeight="1" x14ac:dyDescent="0.2">
      <c r="A65" s="79"/>
      <c r="B65" s="79"/>
      <c r="C65" s="79"/>
      <c r="D65" s="79"/>
      <c r="E65" s="79"/>
      <c r="F65" s="79"/>
      <c r="G65" s="79"/>
      <c r="H65" s="79"/>
      <c r="I65" s="79"/>
      <c r="J65" s="79"/>
      <c r="K65" s="62"/>
      <c r="L65" s="79"/>
      <c r="M65" s="62"/>
      <c r="N65" s="79"/>
      <c r="O65" s="299"/>
      <c r="P65" s="62"/>
      <c r="Q65" s="62"/>
      <c r="R65" s="62"/>
      <c r="S65" s="62"/>
      <c r="T65" s="62"/>
    </row>
    <row r="66" spans="1:20" ht="12.75" hidden="1" customHeight="1" x14ac:dyDescent="0.2">
      <c r="A66" s="79"/>
      <c r="B66" s="322" t="s">
        <v>171</v>
      </c>
      <c r="C66" s="283" t="s">
        <v>184</v>
      </c>
      <c r="D66" s="283" t="s">
        <v>183</v>
      </c>
      <c r="E66" s="79"/>
      <c r="F66" s="79"/>
      <c r="G66" s="79"/>
      <c r="H66" s="79"/>
      <c r="I66" s="79"/>
      <c r="J66" s="79"/>
      <c r="K66" s="62"/>
      <c r="L66" s="79"/>
      <c r="M66" s="62"/>
      <c r="N66" s="79"/>
      <c r="O66" s="299"/>
      <c r="P66" s="62"/>
      <c r="Q66" s="62"/>
      <c r="R66" s="62"/>
      <c r="S66" s="62"/>
      <c r="T66" s="62"/>
    </row>
    <row r="67" spans="1:20" ht="12.75" hidden="1" customHeight="1" x14ac:dyDescent="0.2">
      <c r="A67" s="79"/>
      <c r="B67" s="322" t="s">
        <v>174</v>
      </c>
      <c r="C67" s="283" t="s">
        <v>175</v>
      </c>
      <c r="D67" s="283" t="s">
        <v>173</v>
      </c>
      <c r="E67" s="79"/>
      <c r="F67" s="79"/>
      <c r="G67" s="79"/>
      <c r="H67" s="79"/>
      <c r="I67" s="79"/>
      <c r="J67" s="79"/>
      <c r="K67" s="62"/>
      <c r="L67" s="79"/>
      <c r="M67" s="62"/>
      <c r="N67" s="79"/>
      <c r="O67" s="299"/>
      <c r="P67" s="62"/>
      <c r="Q67" s="62"/>
      <c r="R67" s="62"/>
      <c r="S67" s="62"/>
      <c r="T67" s="62"/>
    </row>
    <row r="68" spans="1:20" ht="12.75" hidden="1" customHeight="1" x14ac:dyDescent="0.2">
      <c r="A68" s="79"/>
      <c r="B68" s="322" t="s">
        <v>177</v>
      </c>
      <c r="C68" s="283" t="s">
        <v>191</v>
      </c>
      <c r="D68" s="283" t="s">
        <v>179</v>
      </c>
      <c r="E68" s="79"/>
      <c r="F68" s="79"/>
      <c r="G68" s="79"/>
      <c r="H68" s="79"/>
      <c r="I68" s="79"/>
      <c r="J68" s="79"/>
      <c r="K68" s="62"/>
      <c r="L68" s="79"/>
      <c r="M68" s="62"/>
      <c r="N68" s="79"/>
      <c r="O68" s="299"/>
      <c r="P68" s="62"/>
      <c r="Q68" s="62"/>
      <c r="R68" s="62"/>
      <c r="S68" s="62"/>
      <c r="T68" s="62"/>
    </row>
    <row r="69" spans="1:20" hidden="1" x14ac:dyDescent="0.2">
      <c r="A69" s="79"/>
      <c r="B69" s="330"/>
      <c r="C69" s="140"/>
      <c r="D69" s="140"/>
      <c r="E69" s="79"/>
      <c r="F69" s="79"/>
      <c r="G69" s="79"/>
      <c r="H69" s="79"/>
      <c r="I69" s="79"/>
      <c r="J69" s="79"/>
      <c r="K69" s="62"/>
      <c r="L69" s="79"/>
      <c r="M69" s="62"/>
      <c r="N69" s="79"/>
      <c r="O69" s="299"/>
      <c r="P69" s="62"/>
      <c r="Q69" s="62"/>
      <c r="R69" s="62"/>
      <c r="S69" s="62"/>
      <c r="T69" s="62"/>
    </row>
    <row r="70" spans="1:20" hidden="1" x14ac:dyDescent="0.2">
      <c r="A70" s="79"/>
      <c r="B70" s="322" t="s">
        <v>171</v>
      </c>
      <c r="C70" s="283" t="s">
        <v>172</v>
      </c>
      <c r="D70" s="283" t="s">
        <v>173</v>
      </c>
      <c r="E70" s="79"/>
      <c r="F70" s="62"/>
      <c r="G70" s="62"/>
      <c r="H70" s="79"/>
      <c r="I70" s="79"/>
      <c r="J70" s="79"/>
      <c r="K70" s="62"/>
      <c r="L70" s="79"/>
      <c r="M70" s="62"/>
      <c r="N70" s="79"/>
      <c r="O70" s="299"/>
      <c r="P70" s="62"/>
      <c r="Q70" s="62"/>
      <c r="R70" s="62"/>
      <c r="S70" s="62"/>
      <c r="T70" s="62"/>
    </row>
    <row r="71" spans="1:20" hidden="1" x14ac:dyDescent="0.2">
      <c r="A71" s="79"/>
      <c r="B71" s="322" t="s">
        <v>174</v>
      </c>
      <c r="C71" s="283" t="s">
        <v>184</v>
      </c>
      <c r="D71" s="283" t="s">
        <v>183</v>
      </c>
      <c r="E71" s="79"/>
      <c r="F71" s="62"/>
      <c r="G71" s="62"/>
      <c r="H71" s="62"/>
      <c r="I71" s="79"/>
      <c r="J71" s="79"/>
      <c r="K71" s="62"/>
      <c r="L71" s="79"/>
      <c r="M71" s="62"/>
      <c r="N71" s="79"/>
      <c r="O71" s="299"/>
      <c r="P71" s="62"/>
      <c r="Q71" s="62"/>
      <c r="R71" s="62"/>
      <c r="S71" s="62"/>
      <c r="T71" s="62"/>
    </row>
    <row r="72" spans="1:20" hidden="1" x14ac:dyDescent="0.2">
      <c r="A72" s="79"/>
      <c r="B72" s="322" t="s">
        <v>177</v>
      </c>
      <c r="C72" s="283" t="s">
        <v>175</v>
      </c>
      <c r="D72" s="283" t="s">
        <v>176</v>
      </c>
      <c r="E72" s="79"/>
      <c r="F72" s="62"/>
      <c r="G72" s="62"/>
      <c r="H72" s="79"/>
      <c r="I72" s="79"/>
      <c r="J72" s="79"/>
      <c r="K72" s="62"/>
      <c r="L72" s="79"/>
      <c r="M72" s="62"/>
      <c r="N72" s="79"/>
      <c r="O72" s="299"/>
      <c r="P72" s="62"/>
      <c r="Q72" s="62"/>
      <c r="R72" s="62"/>
      <c r="S72" s="62"/>
      <c r="T72" s="62"/>
    </row>
    <row r="73" spans="1:20" hidden="1" x14ac:dyDescent="0.2">
      <c r="A73" s="79"/>
      <c r="B73" s="322" t="s">
        <v>180</v>
      </c>
      <c r="C73" s="446" t="s">
        <v>191</v>
      </c>
      <c r="D73" s="283" t="s">
        <v>181</v>
      </c>
      <c r="E73" s="79"/>
      <c r="F73" s="62"/>
      <c r="G73" s="62"/>
      <c r="H73" s="79"/>
      <c r="I73" s="79"/>
      <c r="J73" s="79"/>
      <c r="K73" s="62"/>
      <c r="L73" s="79"/>
      <c r="M73" s="62"/>
      <c r="N73" s="79"/>
      <c r="O73" s="299"/>
      <c r="P73" s="62"/>
      <c r="Q73" s="62"/>
      <c r="R73" s="62"/>
      <c r="S73" s="62"/>
      <c r="T73" s="62"/>
    </row>
    <row r="74" spans="1:20" hidden="1" x14ac:dyDescent="0.2">
      <c r="A74" s="79"/>
      <c r="B74" s="322" t="s">
        <v>182</v>
      </c>
      <c r="C74" s="283" t="s">
        <v>178</v>
      </c>
      <c r="D74" s="283" t="s">
        <v>179</v>
      </c>
      <c r="E74" s="79"/>
      <c r="F74" s="62"/>
      <c r="G74" s="62"/>
      <c r="H74" s="79"/>
      <c r="I74" s="79"/>
      <c r="J74" s="79"/>
      <c r="K74" s="62"/>
      <c r="L74" s="79"/>
      <c r="M74" s="62"/>
      <c r="N74" s="79"/>
      <c r="O74" s="299"/>
      <c r="P74" s="62"/>
      <c r="Q74" s="62"/>
      <c r="R74" s="62"/>
      <c r="S74" s="62"/>
      <c r="T74" s="62"/>
    </row>
    <row r="75" spans="1:20" hidden="1" x14ac:dyDescent="0.2"/>
    <row r="76" spans="1:20" hidden="1" x14ac:dyDescent="0.2">
      <c r="B76" s="1" t="s">
        <v>490</v>
      </c>
    </row>
    <row r="78" spans="1:20" x14ac:dyDescent="0.2">
      <c r="B78" s="1" t="s">
        <v>489</v>
      </c>
    </row>
    <row r="79" spans="1:20" hidden="1" x14ac:dyDescent="0.2"/>
    <row r="80" spans="1:20" hidden="1" x14ac:dyDescent="0.2">
      <c r="B80" s="1" t="s">
        <v>488</v>
      </c>
    </row>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spans="1:11" hidden="1" x14ac:dyDescent="0.2"/>
    <row r="98" spans="1:11" hidden="1" x14ac:dyDescent="0.2"/>
    <row r="100" spans="1:11" x14ac:dyDescent="0.2">
      <c r="A100" s="286" t="s">
        <v>192</v>
      </c>
      <c r="B100" s="287"/>
      <c r="C100" s="288"/>
      <c r="D100" s="288"/>
      <c r="E100" s="288"/>
      <c r="F100" s="285"/>
      <c r="G100" s="283"/>
      <c r="H100" s="269"/>
      <c r="I100" s="269"/>
      <c r="J100" s="269"/>
      <c r="K100" s="269"/>
    </row>
    <row r="102" spans="1:11" x14ac:dyDescent="0.2">
      <c r="A102" s="300" t="s">
        <v>193</v>
      </c>
      <c r="B102" s="582" t="str">
        <f>IF(A102="-","-",IFERROR(INDEX(B$1:B$100,MATCH(A102,I$1:I$100,0)),""))</f>
        <v>Kenneth Muusikus</v>
      </c>
      <c r="C102" s="301">
        <f>IF(B102="-",0,IF(B104="-",13,""))</f>
        <v>13</v>
      </c>
      <c r="D102" s="269"/>
      <c r="E102" s="269"/>
      <c r="F102" s="269"/>
      <c r="G102" s="269"/>
      <c r="H102" s="269"/>
      <c r="I102" s="269"/>
      <c r="J102" s="269"/>
    </row>
    <row r="103" spans="1:11" x14ac:dyDescent="0.2">
      <c r="A103" s="302"/>
      <c r="B103" s="449"/>
      <c r="C103" s="303" t="str">
        <f>IF(COUNT(C102,C104)=2,IF(C102&gt;C104,B102,B104),"")</f>
        <v>Kenneth Muusikus</v>
      </c>
      <c r="D103" s="269"/>
      <c r="E103" s="301">
        <v>8</v>
      </c>
      <c r="F103" s="269"/>
      <c r="G103" s="269"/>
      <c r="H103" s="269"/>
      <c r="I103" s="269"/>
      <c r="J103" s="269"/>
    </row>
    <row r="104" spans="1:11" x14ac:dyDescent="0.2">
      <c r="A104" s="302" t="s">
        <v>205</v>
      </c>
      <c r="B104" s="450" t="str">
        <f>IF(A104="-","-",IFERROR(INDEX(B$1:B$100,MATCH(A104,I$1:I$100,0)),""))</f>
        <v>-</v>
      </c>
      <c r="C104" s="304">
        <f>IF(B104="-",0,IF(B102="-",13,""))</f>
        <v>0</v>
      </c>
      <c r="D104" s="336"/>
      <c r="E104" s="269"/>
      <c r="F104" s="269"/>
      <c r="G104" s="269"/>
      <c r="H104" s="269"/>
      <c r="I104" s="269"/>
      <c r="J104" s="269"/>
    </row>
    <row r="105" spans="1:11" x14ac:dyDescent="0.2">
      <c r="A105" s="302"/>
      <c r="B105" s="292"/>
      <c r="C105" s="269"/>
      <c r="D105" s="982" t="s">
        <v>15</v>
      </c>
      <c r="E105" s="303" t="str">
        <f>IF(COUNT(E103,E107)=2,IF(E103&gt;E107,C103,C107),"")</f>
        <v>Jaan Sepp</v>
      </c>
      <c r="F105" s="269"/>
      <c r="G105" s="301">
        <v>13</v>
      </c>
      <c r="H105" s="269"/>
      <c r="I105" s="269"/>
      <c r="J105" s="269"/>
    </row>
    <row r="106" spans="1:11" x14ac:dyDescent="0.2">
      <c r="A106" s="302" t="s">
        <v>198</v>
      </c>
      <c r="B106" s="582" t="str">
        <f>IF(A106="-","-",IFERROR(INDEX(B$1:B$100,MATCH(A106,I$1:I$100,0)),""))</f>
        <v>Jaan Sepp</v>
      </c>
      <c r="C106" s="301">
        <v>13</v>
      </c>
      <c r="D106" s="305"/>
      <c r="E106" s="306"/>
      <c r="F106" s="336"/>
      <c r="G106" s="269"/>
      <c r="H106" s="269"/>
      <c r="I106" s="269"/>
      <c r="J106" s="269"/>
    </row>
    <row r="107" spans="1:11" x14ac:dyDescent="0.2">
      <c r="A107" s="302"/>
      <c r="B107" s="979" t="s">
        <v>10</v>
      </c>
      <c r="C107" s="303" t="str">
        <f>IF(COUNT(C106,C108)=2,IF(C106&gt;C108,B106,B108),"")</f>
        <v>Jaan Sepp</v>
      </c>
      <c r="D107" s="451"/>
      <c r="E107" s="304">
        <v>13</v>
      </c>
      <c r="F107" s="305"/>
      <c r="G107" s="269"/>
      <c r="H107" s="269"/>
      <c r="I107" s="269"/>
      <c r="J107" s="269"/>
    </row>
    <row r="108" spans="1:11" x14ac:dyDescent="0.2">
      <c r="A108" s="302" t="s">
        <v>224</v>
      </c>
      <c r="B108" s="450" t="str">
        <f>IF(A108="-","-",IFERROR(INDEX(B$1:B$100,MATCH(A108,I$1:I$100,0)),""))</f>
        <v>Tõnu Piik</v>
      </c>
      <c r="C108" s="304">
        <v>5</v>
      </c>
      <c r="D108" s="269"/>
      <c r="E108" s="287"/>
      <c r="F108" s="305"/>
      <c r="G108" s="269"/>
      <c r="H108" s="269"/>
      <c r="I108" s="269"/>
      <c r="J108" s="269"/>
    </row>
    <row r="109" spans="1:11" x14ac:dyDescent="0.2">
      <c r="A109" s="268"/>
      <c r="B109" s="292"/>
      <c r="C109" s="269"/>
      <c r="D109" s="269"/>
      <c r="E109" s="287"/>
      <c r="F109" s="305"/>
      <c r="G109" s="303" t="str">
        <f>IF(COUNT(G105,G113)=2,IF(G105&gt;G113,E105,E113),"")</f>
        <v>Jaan Sepp</v>
      </c>
      <c r="H109" s="269"/>
      <c r="I109" s="301">
        <v>13</v>
      </c>
      <c r="J109" s="269"/>
    </row>
    <row r="110" spans="1:11" x14ac:dyDescent="0.2">
      <c r="A110" s="300" t="s">
        <v>223</v>
      </c>
      <c r="B110" s="582" t="str">
        <f>IF(A110="-","-",IFERROR(INDEX(B$1:B$100,MATCH(A110,I$1:I$100,0)),""))</f>
        <v>Karla Purgats</v>
      </c>
      <c r="C110" s="301">
        <v>13</v>
      </c>
      <c r="D110" s="269"/>
      <c r="E110" s="269"/>
      <c r="F110" s="305"/>
      <c r="G110" s="988"/>
      <c r="H110" s="989"/>
      <c r="I110" s="269"/>
      <c r="J110" s="269"/>
    </row>
    <row r="111" spans="1:11" x14ac:dyDescent="0.2">
      <c r="A111" s="302"/>
      <c r="B111" s="979" t="s">
        <v>11</v>
      </c>
      <c r="C111" s="303" t="str">
        <f>IF(COUNT(C110,C112)=2,IF(C110&gt;C112,B110,B112),"")</f>
        <v>Karla Purgats</v>
      </c>
      <c r="D111" s="269"/>
      <c r="E111" s="301">
        <v>7</v>
      </c>
      <c r="F111" s="305"/>
      <c r="G111" s="287"/>
      <c r="H111" s="305"/>
      <c r="I111" s="269"/>
      <c r="J111" s="269"/>
    </row>
    <row r="112" spans="1:11" x14ac:dyDescent="0.2">
      <c r="A112" s="302" t="s">
        <v>196</v>
      </c>
      <c r="B112" s="450" t="str">
        <f>IF(A112="-","-",IFERROR(INDEX(B$1:B$100,MATCH(A112,I$1:I$100,0)),""))</f>
        <v>Ljudmila Varendi</v>
      </c>
      <c r="C112" s="304">
        <v>8</v>
      </c>
      <c r="D112" s="336"/>
      <c r="E112" s="269"/>
      <c r="F112" s="305"/>
      <c r="G112" s="287"/>
      <c r="H112" s="305"/>
      <c r="I112" s="269"/>
      <c r="J112" s="269"/>
    </row>
    <row r="113" spans="1:11" x14ac:dyDescent="0.2">
      <c r="A113" s="302"/>
      <c r="B113" s="292"/>
      <c r="C113" s="269"/>
      <c r="D113" s="982" t="s">
        <v>17</v>
      </c>
      <c r="E113" s="303" t="str">
        <f>IF(COUNT(E111,E115)=2,IF(E111&gt;E115,C111,C115),"")</f>
        <v>Kaspar Mänd</v>
      </c>
      <c r="F113" s="451"/>
      <c r="G113" s="304">
        <v>5</v>
      </c>
      <c r="H113" s="305"/>
      <c r="I113" s="269"/>
      <c r="J113" s="269"/>
    </row>
    <row r="114" spans="1:11" x14ac:dyDescent="0.2">
      <c r="A114" s="302" t="s">
        <v>205</v>
      </c>
      <c r="B114" s="582" t="str">
        <f>IF(A114="-","-",IFERROR(INDEX(B$1:B$100,MATCH(A114,I$1:I$100,0)),""))</f>
        <v>-</v>
      </c>
      <c r="C114" s="301">
        <f>IF(B114="-",0,IF(B116="-",13,""))</f>
        <v>0</v>
      </c>
      <c r="D114" s="305"/>
      <c r="E114" s="306"/>
      <c r="F114" s="287"/>
      <c r="G114" s="287"/>
      <c r="H114" s="305"/>
      <c r="I114" s="269"/>
      <c r="J114" s="269"/>
    </row>
    <row r="115" spans="1:11" x14ac:dyDescent="0.2">
      <c r="A115" s="302"/>
      <c r="B115" s="449"/>
      <c r="C115" s="303" t="str">
        <f>IF(COUNT(C114,C116)=2,IF(C114&gt;C116,B114,B116),"")</f>
        <v>Kaspar Mänd</v>
      </c>
      <c r="D115" s="451"/>
      <c r="E115" s="304">
        <v>13</v>
      </c>
      <c r="F115" s="269"/>
      <c r="G115" s="287"/>
      <c r="H115" s="305"/>
      <c r="I115" s="269"/>
      <c r="J115" s="269"/>
    </row>
    <row r="116" spans="1:11" x14ac:dyDescent="0.2">
      <c r="A116" s="302" t="s">
        <v>200</v>
      </c>
      <c r="B116" s="450" t="str">
        <f>IF(A116="-","-",IFERROR(INDEX(B$1:B$100,MATCH(A116,I$1:I$100,0)),""))</f>
        <v>Kaspar Mänd</v>
      </c>
      <c r="C116" s="304">
        <f>IF(B116="-",0,IF(B114="-",13,""))</f>
        <v>13</v>
      </c>
      <c r="D116" s="269"/>
      <c r="E116" s="287"/>
      <c r="F116" s="287"/>
      <c r="G116" s="287"/>
      <c r="H116" s="305"/>
      <c r="I116" s="269"/>
      <c r="J116" s="269"/>
    </row>
    <row r="117" spans="1:11" ht="13.5" thickBot="1" x14ac:dyDescent="0.25">
      <c r="A117" s="268"/>
      <c r="B117" s="292"/>
      <c r="C117" s="269"/>
      <c r="D117" s="269"/>
      <c r="E117" s="269"/>
      <c r="F117" s="269"/>
      <c r="G117" s="287"/>
      <c r="H117" s="305"/>
      <c r="I117" s="269"/>
      <c r="J117" s="284" t="str">
        <f>IF(COUNT(I109,I125)=2,IF(I109&gt;I125,G109,G125),"")</f>
        <v>Jaan Sepp</v>
      </c>
    </row>
    <row r="118" spans="1:11" x14ac:dyDescent="0.2">
      <c r="A118" s="300" t="s">
        <v>197</v>
      </c>
      <c r="B118" s="582" t="str">
        <f>IF(A118="-","-",IFERROR(INDEX(B$1:B$100,MATCH(A118,I$1:I$100,0)),""))</f>
        <v>Oskar Sepp</v>
      </c>
      <c r="C118" s="301">
        <f>IF(B118="-",0,IF(B120="-",13,""))</f>
        <v>13</v>
      </c>
      <c r="D118" s="269"/>
      <c r="E118" s="269"/>
      <c r="F118" s="269"/>
      <c r="G118" s="287"/>
      <c r="H118" s="305"/>
      <c r="I118" s="307"/>
      <c r="J118" s="290" t="s">
        <v>185</v>
      </c>
      <c r="K118" s="333"/>
    </row>
    <row r="119" spans="1:11" x14ac:dyDescent="0.2">
      <c r="A119" s="302"/>
      <c r="B119" s="449"/>
      <c r="C119" s="303" t="str">
        <f>IF(COUNT(C118,C120)=2,IF(C118&gt;C120,B118,B120),"")</f>
        <v>Oskar Sepp</v>
      </c>
      <c r="D119" s="269"/>
      <c r="E119" s="527">
        <v>0</v>
      </c>
      <c r="F119" s="269"/>
      <c r="G119" s="287"/>
      <c r="H119" s="305"/>
      <c r="I119" s="287"/>
      <c r="J119" s="287"/>
      <c r="K119" s="334"/>
    </row>
    <row r="120" spans="1:11" x14ac:dyDescent="0.2">
      <c r="A120" s="302" t="s">
        <v>205</v>
      </c>
      <c r="B120" s="450" t="str">
        <f>IF(A120="-","-",IFERROR(INDEX(B$1:B$100,MATCH(A120,I$1:I$100,0)),""))</f>
        <v>-</v>
      </c>
      <c r="C120" s="304">
        <f>IF(B120="-",0,IF(B118="-",13,""))</f>
        <v>0</v>
      </c>
      <c r="D120" s="336"/>
      <c r="E120" s="269"/>
      <c r="F120" s="269"/>
      <c r="G120" s="287"/>
      <c r="H120" s="305"/>
      <c r="I120" s="287"/>
      <c r="J120" s="287"/>
      <c r="K120" s="334"/>
    </row>
    <row r="121" spans="1:11" x14ac:dyDescent="0.2">
      <c r="A121" s="302"/>
      <c r="B121" s="292"/>
      <c r="C121" s="269"/>
      <c r="D121" s="982" t="s">
        <v>18</v>
      </c>
      <c r="E121" s="303" t="str">
        <f>IF(COUNT(E119,E123)=2,IF(E119&gt;E123,C119,C123),"")</f>
        <v>Viktor Švarõgin</v>
      </c>
      <c r="F121" s="269"/>
      <c r="G121" s="308">
        <v>13</v>
      </c>
      <c r="H121" s="305"/>
      <c r="I121" s="287"/>
      <c r="J121" s="287"/>
      <c r="K121" s="334"/>
    </row>
    <row r="122" spans="1:11" x14ac:dyDescent="0.2">
      <c r="A122" s="302" t="s">
        <v>194</v>
      </c>
      <c r="B122" s="582" t="str">
        <f>IF(A122="-","-",IFERROR(INDEX(B$1:B$100,MATCH(A122,I$1:I$100,0)),""))</f>
        <v>Viktor Švarõgin</v>
      </c>
      <c r="C122" s="301">
        <v>13</v>
      </c>
      <c r="D122" s="305"/>
      <c r="E122" s="306"/>
      <c r="F122" s="336"/>
      <c r="G122" s="287"/>
      <c r="H122" s="305"/>
      <c r="I122" s="287"/>
      <c r="J122" s="287"/>
      <c r="K122" s="334"/>
    </row>
    <row r="123" spans="1:11" x14ac:dyDescent="0.2">
      <c r="A123" s="302"/>
      <c r="B123" s="979" t="s">
        <v>12</v>
      </c>
      <c r="C123" s="303" t="str">
        <f>IF(COUNT(C122,C124)=2,IF(C122&gt;C124,B122,B124),"")</f>
        <v>Viktor Švarõgin</v>
      </c>
      <c r="D123" s="451"/>
      <c r="E123" s="304">
        <v>13</v>
      </c>
      <c r="F123" s="305"/>
      <c r="G123" s="287"/>
      <c r="H123" s="305"/>
      <c r="I123" s="287"/>
      <c r="J123" s="287"/>
      <c r="K123" s="334"/>
    </row>
    <row r="124" spans="1:11" x14ac:dyDescent="0.2">
      <c r="A124" s="302" t="s">
        <v>225</v>
      </c>
      <c r="B124" s="450" t="str">
        <f>IF(A124="-","-",IFERROR(INDEX(B$1:B$100,MATCH(A124,I$1:I$100,0)),""))</f>
        <v>Henri Mitt</v>
      </c>
      <c r="C124" s="304">
        <v>3</v>
      </c>
      <c r="D124" s="269"/>
      <c r="E124" s="287"/>
      <c r="F124" s="305"/>
      <c r="G124" s="287"/>
      <c r="H124" s="305"/>
      <c r="I124" s="287"/>
      <c r="J124" s="287"/>
      <c r="K124" s="334"/>
    </row>
    <row r="125" spans="1:11" x14ac:dyDescent="0.2">
      <c r="A125" s="268"/>
      <c r="B125" s="292"/>
      <c r="C125" s="269"/>
      <c r="D125" s="269"/>
      <c r="E125" s="287"/>
      <c r="F125" s="305"/>
      <c r="G125" s="303" t="str">
        <f>IF(COUNT(G121,G129)=2,IF(G121&gt;G129,E121,E129),"")</f>
        <v>Viktor Švarõgin</v>
      </c>
      <c r="H125" s="990"/>
      <c r="I125" s="304">
        <v>6</v>
      </c>
      <c r="J125" s="287"/>
      <c r="K125" s="334"/>
    </row>
    <row r="126" spans="1:11" ht="13.5" thickBot="1" x14ac:dyDescent="0.25">
      <c r="A126" s="300" t="s">
        <v>226</v>
      </c>
      <c r="B126" s="582" t="str">
        <f>IF(A126="-","-",IFERROR(INDEX(B$1:B$100,MATCH(A126,I$1:I$100,0)),""))</f>
        <v>Illar Tõnurist</v>
      </c>
      <c r="C126" s="301">
        <v>13</v>
      </c>
      <c r="D126" s="269"/>
      <c r="E126" s="269"/>
      <c r="F126" s="305"/>
      <c r="G126" s="987"/>
      <c r="H126" s="269"/>
      <c r="I126" s="287"/>
      <c r="J126" s="583" t="str">
        <f>IF(COUNT(I109,I125)=2,IF(I109&lt;I125,G109,G125),"")</f>
        <v>Viktor Švarõgin</v>
      </c>
      <c r="K126" s="584"/>
    </row>
    <row r="127" spans="1:11" x14ac:dyDescent="0.2">
      <c r="A127" s="302"/>
      <c r="B127" s="979" t="s">
        <v>13</v>
      </c>
      <c r="C127" s="303" t="str">
        <f>IF(COUNT(C126,C128)=2,IF(C126&gt;C128,B126,B128),"")</f>
        <v>Illar Tõnurist</v>
      </c>
      <c r="D127" s="269"/>
      <c r="E127" s="301">
        <v>6</v>
      </c>
      <c r="F127" s="305"/>
      <c r="G127" s="287"/>
      <c r="H127" s="269"/>
      <c r="I127" s="287"/>
      <c r="J127" s="296" t="s">
        <v>186</v>
      </c>
    </row>
    <row r="128" spans="1:11" x14ac:dyDescent="0.2">
      <c r="A128" s="302" t="s">
        <v>199</v>
      </c>
      <c r="B128" s="450" t="str">
        <f>IF(A128="-","-",IFERROR(INDEX(B$1:B$100,MATCH(A128,I$1:I$100,0)),""))</f>
        <v>Tarmo Bombe</v>
      </c>
      <c r="C128" s="304">
        <v>11</v>
      </c>
      <c r="D128" s="336"/>
      <c r="E128" s="269"/>
      <c r="F128" s="305"/>
      <c r="G128" s="287"/>
      <c r="H128" s="269"/>
      <c r="I128" s="287"/>
      <c r="J128" s="269"/>
    </row>
    <row r="129" spans="1:11" x14ac:dyDescent="0.2">
      <c r="A129" s="302"/>
      <c r="B129" s="292"/>
      <c r="C129" s="269"/>
      <c r="D129" s="982" t="s">
        <v>19</v>
      </c>
      <c r="E129" s="303" t="str">
        <f>IF(COUNT(E127,E131)=2,IF(E127&gt;E131,C127,C131),"")</f>
        <v>Aarne Välja</v>
      </c>
      <c r="F129" s="451"/>
      <c r="G129" s="304">
        <v>6</v>
      </c>
      <c r="H129" s="269"/>
      <c r="I129" s="287"/>
      <c r="J129" s="269"/>
    </row>
    <row r="130" spans="1:11" x14ac:dyDescent="0.2">
      <c r="A130" s="302" t="s">
        <v>205</v>
      </c>
      <c r="B130" s="582" t="str">
        <f>IF(A130="-","-",IFERROR(INDEX(B$1:B$100,MATCH(A130,I$1:I$100,0)),""))</f>
        <v>-</v>
      </c>
      <c r="C130" s="301">
        <f>IF(B130="-",0,IF(B132="-",13,""))</f>
        <v>0</v>
      </c>
      <c r="D130" s="305"/>
      <c r="E130" s="306"/>
      <c r="F130" s="287"/>
      <c r="G130" s="287"/>
      <c r="H130" s="269"/>
      <c r="I130" s="287"/>
      <c r="J130" s="269"/>
    </row>
    <row r="131" spans="1:11" x14ac:dyDescent="0.2">
      <c r="A131" s="302"/>
      <c r="B131" s="449"/>
      <c r="C131" s="303" t="str">
        <f>IF(COUNT(C130,C132)=2,IF(C130&gt;C132,B130,B132),"")</f>
        <v>Aarne Välja</v>
      </c>
      <c r="D131" s="451"/>
      <c r="E131" s="304">
        <v>13</v>
      </c>
      <c r="F131" s="269"/>
      <c r="G131" s="287" t="str">
        <f>IF(COUNT(G105,G113)=2,IF(G105&lt;G113,E105,E113),"")</f>
        <v>Kaspar Mänd</v>
      </c>
      <c r="H131" s="269"/>
      <c r="I131" s="301">
        <v>13</v>
      </c>
      <c r="J131" s="269"/>
    </row>
    <row r="132" spans="1:11" ht="13.5" thickBot="1" x14ac:dyDescent="0.25">
      <c r="A132" s="302" t="s">
        <v>195</v>
      </c>
      <c r="B132" s="450" t="str">
        <f>IF(A132="-","-",IFERROR(INDEX(B$1:B$100,MATCH(A132,I$1:I$100,0)),""))</f>
        <v>Aarne Välja</v>
      </c>
      <c r="C132" s="304">
        <f>IF(B132="-",0,IF(B130="-",13,""))</f>
        <v>13</v>
      </c>
      <c r="D132" s="269"/>
      <c r="E132" s="287"/>
      <c r="F132" s="287"/>
      <c r="G132" s="455"/>
      <c r="H132" s="336"/>
      <c r="I132" s="338"/>
      <c r="J132" s="284" t="str">
        <f>IF(COUNT(I131,I133)=2,IF(I131&gt;I133,G131,G133),"")</f>
        <v>Kaspar Mänd</v>
      </c>
    </row>
    <row r="133" spans="1:11" x14ac:dyDescent="0.2">
      <c r="A133" s="269"/>
      <c r="B133" s="269"/>
      <c r="C133" s="269"/>
      <c r="D133" s="269"/>
      <c r="E133" s="269"/>
      <c r="F133" s="287"/>
      <c r="G133" s="456" t="str">
        <f>IF(COUNT(G121,G129)=2,IF(G121&lt;G129,E121,E129),"")</f>
        <v>Aarne Välja</v>
      </c>
      <c r="H133" s="451"/>
      <c r="I133" s="991">
        <v>11</v>
      </c>
      <c r="J133" s="290" t="s">
        <v>187</v>
      </c>
      <c r="K133" s="333"/>
    </row>
    <row r="134" spans="1:11" x14ac:dyDescent="0.2">
      <c r="A134" s="269"/>
      <c r="B134" s="269"/>
      <c r="C134" s="269"/>
      <c r="D134" s="269"/>
      <c r="E134" s="269"/>
      <c r="F134" s="287"/>
      <c r="G134" s="269"/>
      <c r="H134" s="269"/>
      <c r="I134" s="269"/>
      <c r="J134" s="287"/>
      <c r="K134" s="334"/>
    </row>
    <row r="135" spans="1:11" ht="13.5" thickBot="1" x14ac:dyDescent="0.25">
      <c r="A135" s="269"/>
      <c r="B135" s="269"/>
      <c r="C135" s="269"/>
      <c r="D135" s="269"/>
      <c r="E135" s="269"/>
      <c r="F135" s="287"/>
      <c r="G135" s="287"/>
      <c r="H135" s="287"/>
      <c r="I135" s="269"/>
      <c r="J135" s="583" t="str">
        <f>IF(COUNT(I131,I133)=2,IF(I131&lt;I133,G131,G133),"")</f>
        <v>Aarne Välja</v>
      </c>
      <c r="K135" s="584"/>
    </row>
    <row r="136" spans="1:11" x14ac:dyDescent="0.2">
      <c r="A136" s="269"/>
      <c r="B136" s="269"/>
      <c r="C136" s="269"/>
      <c r="D136" s="269"/>
      <c r="E136" s="269"/>
      <c r="F136" s="269"/>
      <c r="G136" s="287"/>
      <c r="H136" s="287"/>
      <c r="I136" s="269"/>
      <c r="J136" s="268" t="s">
        <v>188</v>
      </c>
    </row>
    <row r="137" spans="1:11" x14ac:dyDescent="0.2">
      <c r="A137" s="269"/>
      <c r="B137" s="269"/>
      <c r="C137" s="269"/>
      <c r="D137" s="269"/>
      <c r="E137" s="269"/>
      <c r="F137" s="269"/>
      <c r="G137" s="287"/>
      <c r="H137" s="287"/>
      <c r="I137" s="269"/>
      <c r="J137" s="268"/>
    </row>
    <row r="138" spans="1:11" x14ac:dyDescent="0.2">
      <c r="A138" s="331" t="s">
        <v>495</v>
      </c>
    </row>
    <row r="140" spans="1:11" x14ac:dyDescent="0.2">
      <c r="A140" s="269"/>
      <c r="B140" s="269"/>
      <c r="C140" s="269"/>
      <c r="D140" s="983" t="s">
        <v>15</v>
      </c>
      <c r="E140" s="456" t="str">
        <f>IF(COUNT(E103,E107)=2,IF(E103&lt;E107,C103,C107),"")</f>
        <v>Kenneth Muusikus</v>
      </c>
      <c r="F140" s="269"/>
      <c r="G140" s="301">
        <v>13</v>
      </c>
      <c r="H140" s="301"/>
      <c r="I140" s="301"/>
      <c r="J140" s="269"/>
    </row>
    <row r="141" spans="1:11" x14ac:dyDescent="0.2">
      <c r="A141" s="269"/>
      <c r="B141" s="269"/>
      <c r="C141" s="269"/>
      <c r="D141" s="981"/>
      <c r="E141" s="457"/>
      <c r="F141" s="337"/>
      <c r="G141" s="338" t="str">
        <f>IF(COUNT(G140,G142)=2,IF(G140&gt;G142,E140,E142),"")</f>
        <v>Kenneth Muusikus</v>
      </c>
      <c r="H141" s="269"/>
      <c r="I141" s="301">
        <v>10</v>
      </c>
      <c r="J141" s="269"/>
    </row>
    <row r="142" spans="1:11" x14ac:dyDescent="0.2">
      <c r="A142" s="269"/>
      <c r="B142" s="269"/>
      <c r="C142" s="269"/>
      <c r="D142" s="983" t="s">
        <v>17</v>
      </c>
      <c r="E142" s="456" t="str">
        <f>IF(COUNT(E111,E115)=2,IF(E111&lt;E115,C111,C115),"")</f>
        <v>Karla Purgats</v>
      </c>
      <c r="F142" s="458"/>
      <c r="G142" s="1010">
        <v>0</v>
      </c>
      <c r="H142" s="337"/>
      <c r="I142" s="269"/>
      <c r="J142" s="269"/>
    </row>
    <row r="143" spans="1:11" ht="13.5" thickBot="1" x14ac:dyDescent="0.25">
      <c r="A143" s="269"/>
      <c r="B143" s="269"/>
      <c r="C143" s="269"/>
      <c r="D143" s="981"/>
      <c r="E143" s="301"/>
      <c r="F143" s="301"/>
      <c r="G143" s="308"/>
      <c r="H143" s="309"/>
      <c r="I143" s="338"/>
      <c r="J143" s="284" t="str">
        <f>IF(COUNT(I141,I145)=2,IF(I141&gt;I145,G141,G145),"")</f>
        <v>Oskar Sepp</v>
      </c>
    </row>
    <row r="144" spans="1:11" x14ac:dyDescent="0.2">
      <c r="A144" s="269"/>
      <c r="B144" s="269"/>
      <c r="C144" s="269"/>
      <c r="D144" s="983" t="s">
        <v>18</v>
      </c>
      <c r="E144" s="456" t="str">
        <f>IF(COUNT(E119,E123)=2,IF(E119&lt;E123,C119,C123),"")</f>
        <v>Oskar Sepp</v>
      </c>
      <c r="F144" s="301"/>
      <c r="G144" s="308">
        <v>13</v>
      </c>
      <c r="H144" s="309"/>
      <c r="I144" s="992"/>
      <c r="J144" s="290" t="s">
        <v>189</v>
      </c>
      <c r="K144" s="333"/>
    </row>
    <row r="145" spans="1:11" x14ac:dyDescent="0.2">
      <c r="A145" s="269"/>
      <c r="B145" s="269"/>
      <c r="C145" s="269"/>
      <c r="D145" s="981"/>
      <c r="E145" s="457"/>
      <c r="F145" s="337"/>
      <c r="G145" s="995" t="str">
        <f>IF(COUNT(G144,G146)=2,IF(G144&gt;G146,E144,E146),"")</f>
        <v>Oskar Sepp</v>
      </c>
      <c r="H145" s="451"/>
      <c r="I145" s="304">
        <v>13</v>
      </c>
      <c r="J145" s="287"/>
      <c r="K145" s="334"/>
    </row>
    <row r="146" spans="1:11" ht="13.5" thickBot="1" x14ac:dyDescent="0.25">
      <c r="A146" s="269"/>
      <c r="B146" s="269"/>
      <c r="C146" s="269"/>
      <c r="D146" s="983" t="s">
        <v>19</v>
      </c>
      <c r="E146" s="456" t="str">
        <f>IF(COUNT(E127,E131)=2,IF(E127&lt;E131,C127,C131),"")</f>
        <v>Illar Tõnurist</v>
      </c>
      <c r="F146" s="458"/>
      <c r="G146" s="304">
        <v>3</v>
      </c>
      <c r="H146" s="301"/>
      <c r="I146" s="308"/>
      <c r="J146" s="583" t="str">
        <f>IF(COUNT(I141,I145)=2,IF(I141&lt;I145,G141,G145),"")</f>
        <v>Kenneth Muusikus</v>
      </c>
      <c r="K146" s="584"/>
    </row>
    <row r="147" spans="1:11" x14ac:dyDescent="0.2">
      <c r="A147" s="269"/>
      <c r="B147" s="269"/>
      <c r="C147" s="269"/>
      <c r="D147" s="269"/>
      <c r="E147" s="301"/>
      <c r="F147" s="301"/>
      <c r="G147" s="301"/>
      <c r="H147" s="301"/>
      <c r="I147" s="308"/>
      <c r="J147" s="296" t="s">
        <v>190</v>
      </c>
    </row>
    <row r="148" spans="1:11" x14ac:dyDescent="0.2">
      <c r="A148" s="269"/>
      <c r="B148" s="269"/>
      <c r="C148" s="269"/>
      <c r="D148" s="269"/>
      <c r="E148" s="301"/>
      <c r="F148" s="308"/>
      <c r="G148" s="284" t="str">
        <f>IF(COUNT(G140,G142)=2,IF(G140&lt;G142,E140,E142),"")</f>
        <v>Karla Purgats</v>
      </c>
      <c r="H148" s="269"/>
      <c r="I148" s="1009">
        <v>0</v>
      </c>
      <c r="J148" s="287"/>
    </row>
    <row r="149" spans="1:11" ht="13.5" thickBot="1" x14ac:dyDescent="0.25">
      <c r="A149" s="269"/>
      <c r="B149" s="269"/>
      <c r="C149" s="269"/>
      <c r="D149" s="269"/>
      <c r="E149" s="301"/>
      <c r="F149" s="308"/>
      <c r="G149" s="455"/>
      <c r="H149" s="336"/>
      <c r="I149" s="585"/>
      <c r="J149" s="284" t="str">
        <f>IF(COUNT(I148,I150)=2,IF(I148&gt;I150,G148,G150),"")</f>
        <v>Illar Tõnurist</v>
      </c>
    </row>
    <row r="150" spans="1:11" x14ac:dyDescent="0.2">
      <c r="A150" s="269"/>
      <c r="B150" s="269"/>
      <c r="C150" s="269"/>
      <c r="D150" s="269"/>
      <c r="E150" s="301"/>
      <c r="F150" s="308"/>
      <c r="G150" s="456" t="str">
        <f>IF(COUNT(G144,G146)=2,IF(G144&lt;G146,E144,E146),"")</f>
        <v>Illar Tõnurist</v>
      </c>
      <c r="H150" s="451"/>
      <c r="I150" s="304">
        <v>13</v>
      </c>
      <c r="J150" s="290" t="s">
        <v>201</v>
      </c>
      <c r="K150" s="333"/>
    </row>
    <row r="151" spans="1:11" x14ac:dyDescent="0.2">
      <c r="A151" s="269"/>
      <c r="B151" s="269"/>
      <c r="C151" s="269"/>
      <c r="D151" s="269"/>
      <c r="E151" s="269"/>
      <c r="F151" s="287"/>
      <c r="G151" s="269"/>
      <c r="H151" s="269"/>
      <c r="I151" s="269"/>
      <c r="J151" s="287"/>
      <c r="K151" s="334"/>
    </row>
    <row r="152" spans="1:11" ht="13.5" thickBot="1" x14ac:dyDescent="0.25">
      <c r="A152" s="269"/>
      <c r="B152" s="269"/>
      <c r="C152" s="269"/>
      <c r="D152" s="269"/>
      <c r="E152" s="269"/>
      <c r="F152" s="269"/>
      <c r="G152" s="287"/>
      <c r="H152" s="287"/>
      <c r="I152" s="269"/>
      <c r="J152" s="586" t="str">
        <f>IF(COUNT(I148,I150)=2,IF(I148&lt;I150,G148,G150),"")</f>
        <v>Karla Purgats</v>
      </c>
      <c r="K152" s="584"/>
    </row>
    <row r="153" spans="1:11" x14ac:dyDescent="0.2">
      <c r="A153" s="269"/>
      <c r="B153" s="269"/>
      <c r="C153" s="269"/>
      <c r="D153" s="269"/>
      <c r="E153" s="269"/>
      <c r="F153" s="269"/>
      <c r="G153" s="287"/>
      <c r="H153" s="287"/>
      <c r="I153" s="269"/>
      <c r="J153" s="296" t="s">
        <v>202</v>
      </c>
    </row>
    <row r="154" spans="1:11" hidden="1" x14ac:dyDescent="0.2"/>
    <row r="155" spans="1:11" hidden="1" x14ac:dyDescent="0.2">
      <c r="A155" s="331" t="s">
        <v>318</v>
      </c>
      <c r="B155" s="151"/>
      <c r="C155" s="151"/>
      <c r="D155" s="151"/>
      <c r="E155" s="151"/>
      <c r="F155" s="151"/>
      <c r="G155" s="151"/>
      <c r="H155" s="151"/>
      <c r="I155" s="151"/>
      <c r="J155" s="151"/>
    </row>
    <row r="156" spans="1:11" x14ac:dyDescent="0.2">
      <c r="A156" s="151"/>
      <c r="B156" s="151"/>
      <c r="C156" s="151"/>
      <c r="D156" s="151"/>
      <c r="E156" s="151"/>
      <c r="F156" s="151"/>
      <c r="G156" s="151"/>
      <c r="H156" s="151"/>
      <c r="I156" s="151"/>
      <c r="J156" s="151"/>
    </row>
    <row r="157" spans="1:11" x14ac:dyDescent="0.2">
      <c r="A157" s="151"/>
      <c r="B157" s="984"/>
      <c r="C157" s="456" t="str">
        <f>IF(COUNT(C102,C104)=2,IF(C102&lt;C104,B102,B104),"")</f>
        <v>-</v>
      </c>
      <c r="D157" s="151"/>
      <c r="E157" s="301">
        <f>IF(C157="-",0,IF(C159="-",13,""))</f>
        <v>0</v>
      </c>
      <c r="F157" s="269"/>
      <c r="G157" s="269"/>
      <c r="H157" s="269"/>
      <c r="I157" s="269"/>
      <c r="J157" s="269"/>
    </row>
    <row r="158" spans="1:11" x14ac:dyDescent="0.2">
      <c r="A158" s="151"/>
      <c r="B158" s="984"/>
      <c r="C158" s="449"/>
      <c r="D158" s="335"/>
      <c r="E158" s="303" t="str">
        <f>IF(COUNT(E157,E159)=2,IF(E157&gt;E159,C157,C159),"")</f>
        <v>Tõnu Piik</v>
      </c>
      <c r="F158" s="269"/>
      <c r="G158" s="301">
        <v>4</v>
      </c>
      <c r="H158" s="269"/>
      <c r="I158" s="269"/>
      <c r="J158" s="269"/>
    </row>
    <row r="159" spans="1:11" x14ac:dyDescent="0.2">
      <c r="A159" s="151"/>
      <c r="B159" s="980" t="s">
        <v>10</v>
      </c>
      <c r="C159" s="456" t="str">
        <f>IF(COUNT(C106,C108)=2,IF(C106&lt;C108,B106,B108),"")</f>
        <v>Tõnu Piik</v>
      </c>
      <c r="D159" s="587"/>
      <c r="E159" s="304">
        <f>IF(C159="-",0,IF(C157="-",13,""))</f>
        <v>13</v>
      </c>
      <c r="F159" s="336"/>
      <c r="G159" s="269"/>
      <c r="H159" s="269"/>
      <c r="I159" s="269"/>
      <c r="J159" s="269"/>
    </row>
    <row r="160" spans="1:11" x14ac:dyDescent="0.2">
      <c r="A160" s="151"/>
      <c r="B160" s="984"/>
      <c r="C160" s="292"/>
      <c r="D160" s="151"/>
      <c r="E160" s="269"/>
      <c r="F160" s="305"/>
      <c r="G160" s="303" t="str">
        <f>IF(COUNT(G158,G162)=2,IF(G158&gt;G162,E158,E162),"")</f>
        <v>Ljudmila Varendi</v>
      </c>
      <c r="H160" s="269"/>
      <c r="I160" s="301">
        <v>13</v>
      </c>
      <c r="J160" s="269"/>
    </row>
    <row r="161" spans="1:11" x14ac:dyDescent="0.2">
      <c r="A161" s="151"/>
      <c r="B161" s="980" t="s">
        <v>11</v>
      </c>
      <c r="C161" s="456" t="str">
        <f>IF(COUNT(C110,C112)=2,IF(C110&lt;C112,B110,B112),"")</f>
        <v>Ljudmila Varendi</v>
      </c>
      <c r="D161" s="151"/>
      <c r="E161" s="301">
        <f>IF(C161="-",0,IF(C163="-",13,""))</f>
        <v>13</v>
      </c>
      <c r="F161" s="305"/>
      <c r="G161" s="306"/>
      <c r="H161" s="336"/>
      <c r="I161" s="269"/>
      <c r="J161" s="269"/>
    </row>
    <row r="162" spans="1:11" x14ac:dyDescent="0.2">
      <c r="A162" s="151"/>
      <c r="B162" s="984"/>
      <c r="C162" s="449"/>
      <c r="D162" s="335"/>
      <c r="E162" s="303" t="str">
        <f>IF(COUNT(E161,E163)=2,IF(E161&gt;E163,C161,C163),"")</f>
        <v>Ljudmila Varendi</v>
      </c>
      <c r="F162" s="451"/>
      <c r="G162" s="304">
        <v>13</v>
      </c>
      <c r="H162" s="305"/>
      <c r="I162" s="269"/>
      <c r="J162" s="269"/>
    </row>
    <row r="163" spans="1:11" x14ac:dyDescent="0.2">
      <c r="A163" s="151"/>
      <c r="B163" s="984"/>
      <c r="C163" s="456" t="str">
        <f>IF(COUNT(C114,C116)=2,IF(C114&lt;C116,B114,B116),"")</f>
        <v>-</v>
      </c>
      <c r="D163" s="587"/>
      <c r="E163" s="304">
        <f>IF(C163="-",0,IF(C161="-",13,""))</f>
        <v>0</v>
      </c>
      <c r="F163" s="269"/>
      <c r="G163" s="287"/>
      <c r="H163" s="305"/>
      <c r="I163" s="269"/>
      <c r="J163" s="269"/>
    </row>
    <row r="164" spans="1:11" ht="13.5" thickBot="1" x14ac:dyDescent="0.25">
      <c r="A164" s="151"/>
      <c r="B164" s="984"/>
      <c r="C164" s="292"/>
      <c r="D164" s="151"/>
      <c r="E164" s="269"/>
      <c r="F164" s="269"/>
      <c r="G164" s="287"/>
      <c r="H164" s="305"/>
      <c r="I164" s="269"/>
      <c r="J164" s="284" t="str">
        <f>IF(COUNT(I160,I168)=2,IF(I160&gt;I168,G160,G168),"")</f>
        <v>Ljudmila Varendi</v>
      </c>
    </row>
    <row r="165" spans="1:11" x14ac:dyDescent="0.2">
      <c r="A165" s="151"/>
      <c r="B165" s="984"/>
      <c r="C165" s="456" t="str">
        <f>IF(COUNT(C118,C120)=2,IF(C118&lt;C120,B118,B120),"")</f>
        <v>-</v>
      </c>
      <c r="D165" s="151"/>
      <c r="E165" s="301">
        <f>IF(C165="-",0,IF(C167="-",13,""))</f>
        <v>0</v>
      </c>
      <c r="F165" s="269"/>
      <c r="G165" s="269"/>
      <c r="H165" s="305"/>
      <c r="I165" s="307"/>
      <c r="J165" s="290" t="s">
        <v>207</v>
      </c>
      <c r="K165" s="333"/>
    </row>
    <row r="166" spans="1:11" x14ac:dyDescent="0.2">
      <c r="A166" s="151"/>
      <c r="B166" s="984"/>
      <c r="C166" s="449"/>
      <c r="D166" s="335"/>
      <c r="E166" s="303" t="str">
        <f>IF(COUNT(E165,E167)=2,IF(E165&gt;E167,C165,C167),"")</f>
        <v>Henri Mitt</v>
      </c>
      <c r="F166" s="269"/>
      <c r="G166" s="527">
        <v>0</v>
      </c>
      <c r="H166" s="305"/>
      <c r="I166" s="287"/>
      <c r="J166" s="287"/>
      <c r="K166" s="334"/>
    </row>
    <row r="167" spans="1:11" x14ac:dyDescent="0.2">
      <c r="A167" s="151"/>
      <c r="B167" s="980" t="s">
        <v>12</v>
      </c>
      <c r="C167" s="456" t="str">
        <f>IF(COUNT(C122,C124)=2,IF(C122&lt;C124,B122,B124),"")</f>
        <v>Henri Mitt</v>
      </c>
      <c r="D167" s="587"/>
      <c r="E167" s="304">
        <f>IF(C167="-",0,IF(C165="-",13,""))</f>
        <v>13</v>
      </c>
      <c r="F167" s="336"/>
      <c r="G167" s="269"/>
      <c r="H167" s="305"/>
      <c r="I167" s="287"/>
      <c r="J167" s="287"/>
      <c r="K167" s="334"/>
    </row>
    <row r="168" spans="1:11" x14ac:dyDescent="0.2">
      <c r="A168" s="151"/>
      <c r="B168" s="984"/>
      <c r="C168" s="292"/>
      <c r="D168" s="151"/>
      <c r="E168" s="269"/>
      <c r="F168" s="305"/>
      <c r="G168" s="303" t="str">
        <f>IF(COUNT(G166,G170)=2,IF(G166&gt;G170,E166,E170),"")</f>
        <v>Tarmo Bombe</v>
      </c>
      <c r="H168" s="451"/>
      <c r="I168" s="528">
        <v>0</v>
      </c>
      <c r="J168" s="287"/>
      <c r="K168" s="334"/>
    </row>
    <row r="169" spans="1:11" ht="13.5" thickBot="1" x14ac:dyDescent="0.25">
      <c r="A169" s="151"/>
      <c r="B169" s="980" t="s">
        <v>13</v>
      </c>
      <c r="C169" s="456" t="str">
        <f>IF(COUNT(C126,C128)=2,IF(C126&lt;C128,B126,B128),"")</f>
        <v>Tarmo Bombe</v>
      </c>
      <c r="D169" s="151"/>
      <c r="E169" s="301">
        <f>IF(C169="-",0,IF(C171="-",13,""))</f>
        <v>13</v>
      </c>
      <c r="F169" s="305"/>
      <c r="G169" s="306"/>
      <c r="H169" s="287"/>
      <c r="I169" s="287"/>
      <c r="J169" s="583" t="str">
        <f>IF(COUNT(I160,I168)=2,IF(I160&lt;I168,G160,G168),"")</f>
        <v>Tarmo Bombe</v>
      </c>
      <c r="K169" s="584"/>
    </row>
    <row r="170" spans="1:11" x14ac:dyDescent="0.2">
      <c r="A170" s="151"/>
      <c r="B170" s="984"/>
      <c r="C170" s="449"/>
      <c r="D170" s="335"/>
      <c r="E170" s="656" t="str">
        <f>IF(COUNT(E169,E171)=2,IF(E169&gt;E171,C169,C171),"")</f>
        <v>Tarmo Bombe</v>
      </c>
      <c r="F170" s="451"/>
      <c r="G170" s="528">
        <v>0</v>
      </c>
      <c r="H170" s="269"/>
      <c r="I170" s="287"/>
      <c r="J170" s="296" t="s">
        <v>209</v>
      </c>
    </row>
    <row r="171" spans="1:11" x14ac:dyDescent="0.2">
      <c r="A171" s="151"/>
      <c r="B171" s="984"/>
      <c r="C171" s="456" t="str">
        <f>IF(COUNT(C130,C132)=2,IF(C130&lt;C132,B130,B132),"")</f>
        <v>-</v>
      </c>
      <c r="D171" s="587"/>
      <c r="E171" s="652">
        <v>0</v>
      </c>
      <c r="F171" s="269"/>
      <c r="G171" s="287"/>
      <c r="H171" s="287"/>
      <c r="I171" s="287"/>
      <c r="J171" s="269"/>
    </row>
    <row r="172" spans="1:11" x14ac:dyDescent="0.2">
      <c r="A172" s="151"/>
      <c r="B172" s="151"/>
      <c r="C172" s="151"/>
      <c r="D172" s="151"/>
      <c r="E172" s="269"/>
      <c r="F172" s="269"/>
      <c r="G172" s="284" t="str">
        <f>IF(COUNT(G158,G162)=2,IF(G158&lt;G162,E158,E162),"")</f>
        <v>Tõnu Piik</v>
      </c>
      <c r="H172" s="269"/>
      <c r="I172" s="301">
        <v>13</v>
      </c>
      <c r="J172" s="269"/>
    </row>
    <row r="173" spans="1:11" ht="13.5" thickBot="1" x14ac:dyDescent="0.25">
      <c r="A173" s="151"/>
      <c r="B173" s="151"/>
      <c r="C173" s="151"/>
      <c r="D173" s="151"/>
      <c r="E173" s="269"/>
      <c r="F173" s="269"/>
      <c r="G173" s="455"/>
      <c r="H173" s="336"/>
      <c r="I173" s="338"/>
      <c r="J173" s="284" t="str">
        <f>IF(COUNT(I172,I174)=2,IF(I172&gt;I174,G172,G174),"")</f>
        <v>Tõnu Piik</v>
      </c>
    </row>
    <row r="174" spans="1:11" x14ac:dyDescent="0.2">
      <c r="A174" s="151"/>
      <c r="B174" s="151"/>
      <c r="C174" s="151"/>
      <c r="D174" s="151"/>
      <c r="E174" s="269"/>
      <c r="F174" s="269"/>
      <c r="G174" s="456" t="str">
        <f>IF(COUNT(G166,G170)=2,IF(G166&lt;G170,E166,E170),"")</f>
        <v>Tarmo Bombe</v>
      </c>
      <c r="H174" s="451"/>
      <c r="I174" s="1008">
        <v>0</v>
      </c>
      <c r="J174" s="290" t="s">
        <v>210</v>
      </c>
      <c r="K174" s="333"/>
    </row>
    <row r="175" spans="1:11" x14ac:dyDescent="0.2">
      <c r="A175" s="151"/>
      <c r="B175" s="151"/>
      <c r="C175" s="151"/>
      <c r="D175" s="269"/>
      <c r="E175" s="269"/>
      <c r="F175" s="269"/>
      <c r="G175" s="269"/>
      <c r="H175" s="269"/>
      <c r="I175" s="269"/>
      <c r="J175" s="287"/>
      <c r="K175" s="334"/>
    </row>
    <row r="176" spans="1:11" ht="13.5" thickBot="1" x14ac:dyDescent="0.25">
      <c r="A176" s="151"/>
      <c r="B176" s="151"/>
      <c r="C176" s="151"/>
      <c r="D176" s="269"/>
      <c r="E176" s="269"/>
      <c r="F176" s="269"/>
      <c r="G176" s="287"/>
      <c r="H176" s="287"/>
      <c r="I176" s="269"/>
      <c r="J176" s="583" t="str">
        <f>IF(COUNT(I172,I174)=2,IF(I172&lt;I174,G172,G174),"")</f>
        <v>Tarmo Bombe</v>
      </c>
      <c r="K176" s="584"/>
    </row>
    <row r="177" spans="1:11" x14ac:dyDescent="0.2">
      <c r="A177" s="151"/>
      <c r="B177" s="151"/>
      <c r="C177" s="151"/>
      <c r="D177" s="269"/>
      <c r="E177" s="269"/>
      <c r="F177" s="269"/>
      <c r="G177" s="269"/>
      <c r="H177" s="269"/>
      <c r="I177" s="269"/>
      <c r="J177" s="268" t="s">
        <v>211</v>
      </c>
    </row>
    <row r="178" spans="1:11" hidden="1" x14ac:dyDescent="0.2">
      <c r="A178" s="151"/>
      <c r="B178" s="151"/>
      <c r="C178" s="151"/>
      <c r="D178" s="269"/>
      <c r="E178" s="269"/>
      <c r="F178" s="269"/>
      <c r="G178" s="269"/>
      <c r="H178" s="269"/>
      <c r="I178" s="269"/>
      <c r="J178" s="269"/>
    </row>
    <row r="179" spans="1:11" hidden="1" x14ac:dyDescent="0.2">
      <c r="A179" s="151"/>
      <c r="B179" s="151"/>
      <c r="C179" s="151"/>
      <c r="D179" s="269"/>
      <c r="E179" s="456" t="str">
        <f>IF(COUNT(E157,E159)=2,IF(E157&lt;E159,C157,C159),"")</f>
        <v>-</v>
      </c>
      <c r="F179" s="269"/>
      <c r="G179" s="301">
        <f>IF(E179="-",0,IF(E181="-",13,""))</f>
        <v>0</v>
      </c>
      <c r="H179" s="301"/>
      <c r="I179" s="301"/>
      <c r="J179" s="269"/>
    </row>
    <row r="180" spans="1:11" hidden="1" x14ac:dyDescent="0.2">
      <c r="A180" s="151"/>
      <c r="B180" s="151"/>
      <c r="C180" s="151"/>
      <c r="D180" s="269"/>
      <c r="E180" s="457"/>
      <c r="F180" s="337"/>
      <c r="G180" s="303" t="str">
        <f>IF(COUNT(G179,G181)=2,IF(G179&gt;G181,E179,E181),"")</f>
        <v>-</v>
      </c>
      <c r="H180" s="269"/>
      <c r="I180" s="301">
        <f>IF(G180="-",0,IF(G184="-",13,""))</f>
        <v>0</v>
      </c>
      <c r="J180" s="269"/>
    </row>
    <row r="181" spans="1:11" hidden="1" x14ac:dyDescent="0.2">
      <c r="A181" s="151"/>
      <c r="B181" s="151"/>
      <c r="C181" s="151"/>
      <c r="D181" s="269"/>
      <c r="E181" s="456" t="str">
        <f>IF(COUNT(E161,E163)=2,IF(E161&lt;E163,C161,C163),"")</f>
        <v>-</v>
      </c>
      <c r="F181" s="458"/>
      <c r="G181" s="304">
        <f>IF(E181="-",0,IF(E179="-",13,""))</f>
        <v>0</v>
      </c>
      <c r="H181" s="337"/>
      <c r="I181" s="269"/>
      <c r="J181" s="269"/>
    </row>
    <row r="182" spans="1:11" hidden="1" x14ac:dyDescent="0.2">
      <c r="A182" s="151"/>
      <c r="B182" s="151"/>
      <c r="C182" s="151"/>
      <c r="D182" s="269"/>
      <c r="E182" s="301"/>
      <c r="F182" s="301"/>
      <c r="G182" s="308"/>
      <c r="H182" s="309"/>
      <c r="I182" s="338" t="str">
        <f>IF(COUNT(I180,I184)=2,IF(I180&gt;I184,G180,G184),"")</f>
        <v>-</v>
      </c>
      <c r="J182" s="284" t="str">
        <f>IF(COUNT(I180,I184)=2,IF(I180&gt;I184,G180,G184),"")</f>
        <v>-</v>
      </c>
    </row>
    <row r="183" spans="1:11" hidden="1" x14ac:dyDescent="0.2">
      <c r="A183" s="151"/>
      <c r="B183" s="151"/>
      <c r="C183" s="151"/>
      <c r="D183" s="269"/>
      <c r="E183" s="456" t="str">
        <f>IF(COUNT(E165,E167)=2,IF(E165&lt;E167,C165,C167),"")</f>
        <v>-</v>
      </c>
      <c r="F183" s="301"/>
      <c r="G183" s="301">
        <f>IF(E183="-",0,IF(E185="-",13,""))</f>
        <v>0</v>
      </c>
      <c r="H183" s="309"/>
      <c r="I183" s="307"/>
      <c r="J183" s="290"/>
      <c r="K183" s="333"/>
    </row>
    <row r="184" spans="1:11" hidden="1" x14ac:dyDescent="0.2">
      <c r="A184" s="151"/>
      <c r="B184" s="151"/>
      <c r="C184" s="151"/>
      <c r="D184" s="269"/>
      <c r="E184" s="457"/>
      <c r="F184" s="337"/>
      <c r="G184" s="303" t="str">
        <f>IF(COUNT(G183,G185)=2,IF(G183&gt;G185,E183,E185),"")</f>
        <v>-</v>
      </c>
      <c r="H184" s="451"/>
      <c r="I184" s="304">
        <f>IF(G184="-",0,IF(G180="-",13,""))</f>
        <v>0</v>
      </c>
      <c r="J184" s="287"/>
      <c r="K184" s="334"/>
    </row>
    <row r="185" spans="1:11" ht="13.5" hidden="1" thickBot="1" x14ac:dyDescent="0.25">
      <c r="A185" s="151"/>
      <c r="B185" s="151"/>
      <c r="C185" s="151"/>
      <c r="D185" s="269"/>
      <c r="E185" s="456" t="str">
        <f>IF(COUNT(E169,E171)=2,IF(E169&lt;E171,C169,C171),"")</f>
        <v>-</v>
      </c>
      <c r="F185" s="458"/>
      <c r="G185" s="304">
        <f>IF(E185="-",0,IF(E183="-",13,""))</f>
        <v>0</v>
      </c>
      <c r="H185" s="301"/>
      <c r="I185" s="308"/>
      <c r="J185" s="583" t="str">
        <f>IF(COUNT(I180,I184)=2,IF(I180&lt;I184,G180,G184),"")</f>
        <v>-</v>
      </c>
      <c r="K185" s="584"/>
    </row>
    <row r="186" spans="1:11" hidden="1" x14ac:dyDescent="0.2">
      <c r="A186" s="151"/>
      <c r="B186" s="151"/>
      <c r="C186" s="151"/>
      <c r="D186" s="269"/>
      <c r="E186" s="301"/>
      <c r="F186" s="301"/>
      <c r="G186" s="301"/>
      <c r="H186" s="301"/>
      <c r="I186" s="308"/>
      <c r="J186" s="268"/>
    </row>
    <row r="187" spans="1:11" hidden="1" x14ac:dyDescent="0.2">
      <c r="A187" s="151"/>
      <c r="B187" s="151"/>
      <c r="C187" s="151"/>
      <c r="D187" s="269"/>
      <c r="E187" s="301"/>
      <c r="F187" s="308"/>
      <c r="G187" s="284" t="str">
        <f>IF(COUNT(G179,G181)=2,IF(G179&lt;G181,E179,E181),"")</f>
        <v>-</v>
      </c>
      <c r="H187" s="269"/>
      <c r="I187" s="308">
        <f>IF(G187="-",0,IF(G189="-",13,""))</f>
        <v>0</v>
      </c>
      <c r="J187" s="287"/>
    </row>
    <row r="188" spans="1:11" ht="13.5" hidden="1" thickBot="1" x14ac:dyDescent="0.25">
      <c r="A188" s="151"/>
      <c r="B188" s="151"/>
      <c r="C188" s="151"/>
      <c r="D188" s="269"/>
      <c r="E188" s="301"/>
      <c r="F188" s="308"/>
      <c r="G188" s="455"/>
      <c r="H188" s="336"/>
      <c r="I188" s="585" t="str">
        <f>IF(COUNT(I187,I189)=2,IF(I187&gt;I189,G187,G189),"")</f>
        <v>-</v>
      </c>
      <c r="J188" s="284" t="str">
        <f>IF(COUNT(I187,I189)=2,IF(I187&gt;I189,G187,G189),"")</f>
        <v>-</v>
      </c>
    </row>
    <row r="189" spans="1:11" hidden="1" x14ac:dyDescent="0.2">
      <c r="A189" s="151"/>
      <c r="B189" s="151"/>
      <c r="C189" s="151"/>
      <c r="D189" s="269"/>
      <c r="E189" s="301"/>
      <c r="F189" s="308"/>
      <c r="G189" s="456" t="str">
        <f>IF(COUNT(G183,G185)=2,IF(G183&lt;G185,E183,E185),"")</f>
        <v>-</v>
      </c>
      <c r="H189" s="451"/>
      <c r="I189" s="304">
        <f>IF(G189="-",0,IF(G187="-",13,""))</f>
        <v>0</v>
      </c>
      <c r="J189" s="290"/>
      <c r="K189" s="333"/>
    </row>
    <row r="190" spans="1:11" hidden="1" x14ac:dyDescent="0.2">
      <c r="A190" s="151"/>
      <c r="B190" s="151"/>
      <c r="C190" s="151"/>
      <c r="D190" s="269"/>
      <c r="E190" s="269"/>
      <c r="F190" s="287"/>
      <c r="G190" s="269"/>
      <c r="H190" s="269"/>
      <c r="I190" s="269"/>
      <c r="J190" s="287"/>
      <c r="K190" s="334"/>
    </row>
    <row r="191" spans="1:11" ht="13.5" hidden="1" thickBot="1" x14ac:dyDescent="0.25">
      <c r="A191" s="151"/>
      <c r="B191" s="151"/>
      <c r="C191" s="151"/>
      <c r="D191" s="269"/>
      <c r="E191" s="269"/>
      <c r="F191" s="269"/>
      <c r="G191" s="287"/>
      <c r="H191" s="287"/>
      <c r="I191" s="269"/>
      <c r="J191" s="586" t="str">
        <f>IF(COUNT(I187,I189)=2,IF(I187&lt;I189,G187,G189),"")</f>
        <v>-</v>
      </c>
      <c r="K191" s="584"/>
    </row>
    <row r="192" spans="1:11" hidden="1" x14ac:dyDescent="0.2">
      <c r="A192" s="151"/>
      <c r="B192" s="151"/>
      <c r="C192" s="151"/>
      <c r="D192" s="269"/>
      <c r="E192" s="269"/>
      <c r="F192" s="269"/>
      <c r="G192" s="287"/>
      <c r="H192" s="287"/>
      <c r="I192" s="269"/>
      <c r="J192" s="268"/>
    </row>
    <row r="193" spans="1:11" x14ac:dyDescent="0.2">
      <c r="A193" s="151"/>
      <c r="B193" s="151"/>
      <c r="C193" s="151"/>
      <c r="D193" s="151"/>
      <c r="E193" s="151"/>
      <c r="F193" s="151"/>
      <c r="G193" s="151"/>
      <c r="H193" s="151"/>
      <c r="I193" s="151"/>
      <c r="J193" s="151"/>
    </row>
    <row r="194" spans="1:11" x14ac:dyDescent="0.2">
      <c r="A194" s="286" t="s">
        <v>496</v>
      </c>
      <c r="B194" s="287"/>
      <c r="C194" s="288"/>
      <c r="D194" s="288"/>
      <c r="E194" s="288"/>
      <c r="F194" s="285"/>
      <c r="G194" s="283"/>
      <c r="H194" s="269"/>
      <c r="I194" s="269"/>
      <c r="J194" s="269"/>
      <c r="K194" s="269"/>
    </row>
    <row r="196" spans="1:11" x14ac:dyDescent="0.2">
      <c r="A196" s="300" t="s">
        <v>203</v>
      </c>
      <c r="B196" s="582" t="str">
        <f>IF(A196="-","-",IFERROR(INDEX(B$1:B$100,MATCH(A196,I$1:I$100,0)),""))</f>
        <v>Klavdia Piik</v>
      </c>
      <c r="C196" s="301">
        <f>IF(B196="-",0,IF(B198="-",13,""))</f>
        <v>13</v>
      </c>
      <c r="D196" s="269"/>
      <c r="E196" s="269"/>
      <c r="F196" s="269"/>
      <c r="G196" s="269"/>
      <c r="H196" s="269"/>
      <c r="I196" s="269"/>
      <c r="J196" s="269"/>
    </row>
    <row r="197" spans="1:11" x14ac:dyDescent="0.2">
      <c r="A197" s="302"/>
      <c r="B197" s="449"/>
      <c r="C197" s="303" t="str">
        <f>IF(COUNT(C196,C198)=2,IF(C196&gt;C198,B196,B198),"")</f>
        <v>Klavdia Piik</v>
      </c>
      <c r="D197" s="269"/>
      <c r="E197" s="301">
        <v>3</v>
      </c>
      <c r="F197" s="269"/>
      <c r="G197" s="269"/>
      <c r="H197" s="269"/>
      <c r="I197" s="269"/>
      <c r="J197" s="269"/>
    </row>
    <row r="198" spans="1:11" x14ac:dyDescent="0.2">
      <c r="A198" s="302" t="s">
        <v>205</v>
      </c>
      <c r="B198" s="450" t="str">
        <f>IF(A198="-","-",IFERROR(INDEX(B$1:B$100,MATCH(A198,I$1:I$100,0)),""))</f>
        <v>-</v>
      </c>
      <c r="C198" s="304">
        <f>IF(B198="-",0,IF(B196="-",13,""))</f>
        <v>0</v>
      </c>
      <c r="D198" s="336"/>
      <c r="E198" s="269"/>
      <c r="F198" s="269"/>
      <c r="G198" s="269"/>
      <c r="H198" s="269"/>
      <c r="I198" s="269"/>
      <c r="J198" s="269"/>
    </row>
    <row r="199" spans="1:11" x14ac:dyDescent="0.2">
      <c r="A199" s="302"/>
      <c r="B199" s="292"/>
      <c r="C199" s="269"/>
      <c r="D199" s="982" t="s">
        <v>15</v>
      </c>
      <c r="E199" s="303" t="str">
        <f>IF(COUNT(E197,E201)=2,IF(E197&gt;E201,C197,C201),"")</f>
        <v>Ülo Piik</v>
      </c>
      <c r="F199" s="269"/>
      <c r="G199" s="301">
        <v>13</v>
      </c>
      <c r="H199" s="269"/>
      <c r="I199" s="269"/>
      <c r="J199" s="269"/>
    </row>
    <row r="200" spans="1:11" x14ac:dyDescent="0.2">
      <c r="A200" s="302" t="s">
        <v>268</v>
      </c>
      <c r="B200" s="582" t="str">
        <f>IF(A200="-","-",IFERROR(INDEX(B$1:B$100,MATCH(A200,I$1:I$100,0)),""))</f>
        <v>Janek Tarto</v>
      </c>
      <c r="C200" s="527">
        <v>0</v>
      </c>
      <c r="D200" s="305"/>
      <c r="E200" s="306"/>
      <c r="F200" s="336"/>
      <c r="G200" s="269"/>
      <c r="H200" s="269"/>
      <c r="I200" s="269"/>
      <c r="J200" s="269"/>
    </row>
    <row r="201" spans="1:11" x14ac:dyDescent="0.2">
      <c r="A201" s="302"/>
      <c r="B201" s="979" t="s">
        <v>10</v>
      </c>
      <c r="C201" s="303" t="str">
        <f>IF(COUNT(C200,C202)=2,IF(C200&gt;C202,B200,B202),"")</f>
        <v>Ülo Piik</v>
      </c>
      <c r="D201" s="451"/>
      <c r="E201" s="304">
        <v>13</v>
      </c>
      <c r="F201" s="305"/>
      <c r="G201" s="269"/>
      <c r="H201" s="269"/>
      <c r="I201" s="269"/>
      <c r="J201" s="269"/>
    </row>
    <row r="202" spans="1:11" x14ac:dyDescent="0.2">
      <c r="A202" s="302" t="s">
        <v>499</v>
      </c>
      <c r="B202" s="450" t="str">
        <f>IF(A202="-","-",IFERROR(INDEX(B$1:B$100,MATCH(A202,I$1:I$100,0)),""))</f>
        <v>Ülo Piik</v>
      </c>
      <c r="C202" s="304">
        <v>13</v>
      </c>
      <c r="D202" s="269"/>
      <c r="E202" s="287"/>
      <c r="F202" s="305"/>
      <c r="G202" s="269"/>
      <c r="H202" s="269"/>
      <c r="I202" s="269"/>
      <c r="J202" s="269"/>
    </row>
    <row r="203" spans="1:11" x14ac:dyDescent="0.2">
      <c r="A203" s="268"/>
      <c r="B203" s="292"/>
      <c r="C203" s="269"/>
      <c r="D203" s="269"/>
      <c r="E203" s="287"/>
      <c r="F203" s="305"/>
      <c r="G203" s="303" t="str">
        <f>IF(COUNT(G199,G207)=2,IF(G199&gt;G207,E199,E207),"")</f>
        <v>Ülo Piik</v>
      </c>
      <c r="H203" s="269"/>
      <c r="I203" s="301">
        <v>13</v>
      </c>
      <c r="J203" s="269"/>
    </row>
    <row r="204" spans="1:11" x14ac:dyDescent="0.2">
      <c r="A204" s="300" t="s">
        <v>227</v>
      </c>
      <c r="B204" s="582" t="str">
        <f>IF(A204="-","-",IFERROR(INDEX(B$1:B$100,MATCH(A204,I$1:I$100,0)),""))</f>
        <v>Andrei Grintšak</v>
      </c>
      <c r="C204" s="527">
        <v>0</v>
      </c>
      <c r="D204" s="269"/>
      <c r="E204" s="269"/>
      <c r="F204" s="305"/>
      <c r="G204" s="988"/>
      <c r="H204" s="989"/>
      <c r="I204" s="269"/>
      <c r="J204" s="269"/>
    </row>
    <row r="205" spans="1:11" x14ac:dyDescent="0.2">
      <c r="A205" s="302"/>
      <c r="B205" s="979" t="s">
        <v>11</v>
      </c>
      <c r="C205" s="303" t="str">
        <f>IF(COUNT(C204,C206)=2,IF(C204&gt;C206,B204,B206),"")</f>
        <v>Marta Bernat</v>
      </c>
      <c r="D205" s="269"/>
      <c r="E205" s="301">
        <v>13</v>
      </c>
      <c r="F205" s="305"/>
      <c r="G205" s="287"/>
      <c r="H205" s="305"/>
      <c r="I205" s="269"/>
      <c r="J205" s="269"/>
    </row>
    <row r="206" spans="1:11" x14ac:dyDescent="0.2">
      <c r="A206" s="302" t="s">
        <v>267</v>
      </c>
      <c r="B206" s="450" t="str">
        <f>IF(A206="-","-",IFERROR(INDEX(B$1:B$100,MATCH(A206,I$1:I$100,0)),""))</f>
        <v>Marta Bernat</v>
      </c>
      <c r="C206" s="304">
        <v>13</v>
      </c>
      <c r="D206" s="336"/>
      <c r="E206" s="269"/>
      <c r="F206" s="305"/>
      <c r="G206" s="287"/>
      <c r="H206" s="305"/>
      <c r="I206" s="269"/>
      <c r="J206" s="269"/>
    </row>
    <row r="207" spans="1:11" x14ac:dyDescent="0.2">
      <c r="A207" s="302"/>
      <c r="B207" s="292"/>
      <c r="C207" s="269"/>
      <c r="D207" s="982" t="s">
        <v>17</v>
      </c>
      <c r="E207" s="303" t="str">
        <f>IF(COUNT(E205,E209)=2,IF(E205&gt;E209,C205,C209),"")</f>
        <v>Marta Bernat</v>
      </c>
      <c r="F207" s="451"/>
      <c r="G207" s="304">
        <v>4</v>
      </c>
      <c r="H207" s="305"/>
      <c r="I207" s="269"/>
      <c r="J207" s="269"/>
    </row>
    <row r="208" spans="1:11" x14ac:dyDescent="0.2">
      <c r="A208" s="302" t="s">
        <v>205</v>
      </c>
      <c r="B208" s="582" t="str">
        <f>IF(A208="-","-",IFERROR(INDEX(B$1:B$100,MATCH(A208,I$1:I$100,0)),""))</f>
        <v>-</v>
      </c>
      <c r="C208" s="301">
        <f>IF(B208="-",0,IF(B210="-",13,""))</f>
        <v>0</v>
      </c>
      <c r="D208" s="305"/>
      <c r="E208" s="306"/>
      <c r="F208" s="287"/>
      <c r="G208" s="287"/>
      <c r="H208" s="305"/>
      <c r="I208" s="269"/>
      <c r="J208" s="269"/>
    </row>
    <row r="209" spans="1:11" x14ac:dyDescent="0.2">
      <c r="A209" s="302"/>
      <c r="B209" s="449"/>
      <c r="C209" s="303" t="str">
        <f>IF(COUNT(C208,C210)=2,IF(C208&gt;C210,B208,B210),"")</f>
        <v>Liidia Põllu</v>
      </c>
      <c r="D209" s="451"/>
      <c r="E209" s="304">
        <v>8</v>
      </c>
      <c r="F209" s="269"/>
      <c r="G209" s="287"/>
      <c r="H209" s="305"/>
      <c r="I209" s="269"/>
      <c r="J209" s="269"/>
    </row>
    <row r="210" spans="1:11" x14ac:dyDescent="0.2">
      <c r="A210" s="302" t="s">
        <v>208</v>
      </c>
      <c r="B210" s="450" t="str">
        <f>IF(A210="-","-",IFERROR(INDEX(B$1:B$100,MATCH(A210,I$1:I$100,0)),""))</f>
        <v>Liidia Põllu</v>
      </c>
      <c r="C210" s="304">
        <f>IF(B210="-",0,IF(B208="-",13,""))</f>
        <v>13</v>
      </c>
      <c r="D210" s="269"/>
      <c r="E210" s="287"/>
      <c r="F210" s="287"/>
      <c r="G210" s="287"/>
      <c r="H210" s="305"/>
      <c r="I210" s="269"/>
      <c r="J210" s="269"/>
    </row>
    <row r="211" spans="1:11" ht="13.5" thickBot="1" x14ac:dyDescent="0.25">
      <c r="A211" s="268"/>
      <c r="B211" s="292"/>
      <c r="C211" s="269"/>
      <c r="D211" s="269"/>
      <c r="E211" s="269"/>
      <c r="F211" s="269"/>
      <c r="G211" s="287"/>
      <c r="H211" s="305"/>
      <c r="I211" s="269"/>
      <c r="J211" s="284" t="str">
        <f>IF(COUNT(I203,I219)=2,IF(I203&gt;I219,G203,G219),"")</f>
        <v>Ülo Piik</v>
      </c>
    </row>
    <row r="212" spans="1:11" x14ac:dyDescent="0.2">
      <c r="A212" s="300" t="s">
        <v>206</v>
      </c>
      <c r="B212" s="582" t="str">
        <f>IF(A212="-","-",IFERROR(INDEX(B$1:B$100,MATCH(A212,I$1:I$100,0)),""))</f>
        <v>Enn Tokman</v>
      </c>
      <c r="C212" s="301">
        <f>IF(B212="-",0,IF(B214="-",13,""))</f>
        <v>13</v>
      </c>
      <c r="D212" s="269"/>
      <c r="E212" s="269"/>
      <c r="F212" s="269"/>
      <c r="G212" s="287"/>
      <c r="H212" s="305"/>
      <c r="I212" s="307"/>
      <c r="J212" s="290" t="s">
        <v>212</v>
      </c>
      <c r="K212" s="333"/>
    </row>
    <row r="213" spans="1:11" x14ac:dyDescent="0.2">
      <c r="A213" s="302"/>
      <c r="B213" s="449"/>
      <c r="C213" s="303" t="str">
        <f>IF(COUNT(C212,C214)=2,IF(C212&gt;C214,B212,B214),"")</f>
        <v>Enn Tokman</v>
      </c>
      <c r="D213" s="269"/>
      <c r="E213" s="301">
        <v>13</v>
      </c>
      <c r="F213" s="269"/>
      <c r="G213" s="287"/>
      <c r="H213" s="305"/>
      <c r="I213" s="287"/>
      <c r="J213" s="287"/>
      <c r="K213" s="334"/>
    </row>
    <row r="214" spans="1:11" x14ac:dyDescent="0.2">
      <c r="A214" s="302" t="s">
        <v>205</v>
      </c>
      <c r="B214" s="450" t="str">
        <f>IF(A214="-","-",IFERROR(INDEX(B$1:B$100,MATCH(A214,I$1:I$100,0)),""))</f>
        <v>-</v>
      </c>
      <c r="C214" s="304">
        <f>IF(B214="-",0,IF(B212="-",13,""))</f>
        <v>0</v>
      </c>
      <c r="D214" s="336"/>
      <c r="E214" s="269"/>
      <c r="F214" s="269"/>
      <c r="G214" s="287"/>
      <c r="H214" s="305"/>
      <c r="I214" s="287"/>
      <c r="J214" s="287"/>
      <c r="K214" s="334"/>
    </row>
    <row r="215" spans="1:11" x14ac:dyDescent="0.2">
      <c r="A215" s="302"/>
      <c r="B215" s="292"/>
      <c r="C215" s="269"/>
      <c r="D215" s="982" t="s">
        <v>18</v>
      </c>
      <c r="E215" s="303" t="str">
        <f>IF(COUNT(E213,E217)=2,IF(E213&gt;E217,C213,C217),"")</f>
        <v>Enn Tokman</v>
      </c>
      <c r="F215" s="269"/>
      <c r="G215" s="308">
        <v>13</v>
      </c>
      <c r="H215" s="305"/>
      <c r="I215" s="287"/>
      <c r="J215" s="287"/>
      <c r="K215" s="334"/>
    </row>
    <row r="216" spans="1:11" x14ac:dyDescent="0.2">
      <c r="A216" s="302" t="s">
        <v>266</v>
      </c>
      <c r="B216" s="582" t="str">
        <f>IF(A216="-","-",IFERROR(INDEX(B$1:B$100,MATCH(A216,I$1:I$100,0)),""))</f>
        <v>Aleksandr Tipakov</v>
      </c>
      <c r="C216" s="301">
        <v>13</v>
      </c>
      <c r="D216" s="305"/>
      <c r="E216" s="306"/>
      <c r="F216" s="336"/>
      <c r="G216" s="287"/>
      <c r="H216" s="305"/>
      <c r="I216" s="287"/>
      <c r="J216" s="287"/>
      <c r="K216" s="334"/>
    </row>
    <row r="217" spans="1:11" x14ac:dyDescent="0.2">
      <c r="A217" s="302"/>
      <c r="B217" s="979" t="s">
        <v>12</v>
      </c>
      <c r="C217" s="303" t="str">
        <f>IF(COUNT(C216,C218)=2,IF(C216&gt;C218,B216,B218),"")</f>
        <v>Aleksandr Tipakov</v>
      </c>
      <c r="D217" s="451"/>
      <c r="E217" s="304">
        <v>7</v>
      </c>
      <c r="F217" s="305"/>
      <c r="G217" s="287"/>
      <c r="H217" s="305"/>
      <c r="I217" s="287"/>
      <c r="J217" s="287"/>
      <c r="K217" s="334"/>
    </row>
    <row r="218" spans="1:11" x14ac:dyDescent="0.2">
      <c r="A218" s="302" t="s">
        <v>228</v>
      </c>
      <c r="B218" s="450" t="str">
        <f>IF(A218="-","-",IFERROR(INDEX(B$1:B$100,MATCH(A218,I$1:I$100,0)),""))</f>
        <v>Svetlana Veski</v>
      </c>
      <c r="C218" s="304">
        <v>8</v>
      </c>
      <c r="D218" s="269"/>
      <c r="E218" s="287"/>
      <c r="F218" s="305"/>
      <c r="G218" s="287"/>
      <c r="H218" s="305"/>
      <c r="I218" s="287"/>
      <c r="J218" s="287"/>
      <c r="K218" s="334"/>
    </row>
    <row r="219" spans="1:11" x14ac:dyDescent="0.2">
      <c r="A219" s="268"/>
      <c r="B219" s="292"/>
      <c r="C219" s="269"/>
      <c r="D219" s="269"/>
      <c r="E219" s="287"/>
      <c r="F219" s="305"/>
      <c r="G219" s="303" t="str">
        <f>IF(COUNT(G215,G223)=2,IF(G215&gt;G223,E215,E223),"")</f>
        <v>Enn Tokman</v>
      </c>
      <c r="H219" s="990"/>
      <c r="I219" s="304">
        <v>10</v>
      </c>
      <c r="J219" s="287"/>
      <c r="K219" s="334"/>
    </row>
    <row r="220" spans="1:11" ht="13.5" thickBot="1" x14ac:dyDescent="0.25">
      <c r="A220" s="300" t="s">
        <v>500</v>
      </c>
      <c r="B220" s="582" t="str">
        <f>IF(A220="-","-",IFERROR(INDEX(B$1:B$100,MATCH(A220,I$1:I$100,0)),""))</f>
        <v>Vello Vasser</v>
      </c>
      <c r="C220" s="301">
        <v>13</v>
      </c>
      <c r="D220" s="269"/>
      <c r="E220" s="269"/>
      <c r="F220" s="305"/>
      <c r="G220" s="987"/>
      <c r="H220" s="269"/>
      <c r="I220" s="287"/>
      <c r="J220" s="583" t="str">
        <f>IF(COUNT(I203,I219)=2,IF(I203&lt;I219,G203,G219),"")</f>
        <v>Enn Tokman</v>
      </c>
      <c r="K220" s="584"/>
    </row>
    <row r="221" spans="1:11" x14ac:dyDescent="0.2">
      <c r="A221" s="302"/>
      <c r="B221" s="979" t="s">
        <v>13</v>
      </c>
      <c r="C221" s="303" t="str">
        <f>IF(COUNT(C220,C222)=2,IF(C220&gt;C222,B220,B222),"")</f>
        <v>Vello Vasser</v>
      </c>
      <c r="D221" s="269"/>
      <c r="E221" s="301">
        <v>13</v>
      </c>
      <c r="F221" s="305"/>
      <c r="G221" s="287"/>
      <c r="H221" s="269"/>
      <c r="I221" s="287"/>
      <c r="J221" s="296" t="s">
        <v>213</v>
      </c>
    </row>
    <row r="222" spans="1:11" x14ac:dyDescent="0.2">
      <c r="A222" s="302" t="s">
        <v>269</v>
      </c>
      <c r="B222" s="450" t="str">
        <f>IF(A222="-","-",IFERROR(INDEX(B$1:B$100,MATCH(A222,I$1:I$100,0)),""))</f>
        <v>Sirje Maala</v>
      </c>
      <c r="C222" s="528">
        <v>0</v>
      </c>
      <c r="D222" s="336"/>
      <c r="E222" s="269"/>
      <c r="F222" s="305"/>
      <c r="G222" s="287"/>
      <c r="H222" s="269"/>
      <c r="I222" s="287"/>
      <c r="J222" s="269"/>
    </row>
    <row r="223" spans="1:11" x14ac:dyDescent="0.2">
      <c r="A223" s="302"/>
      <c r="B223" s="292"/>
      <c r="C223" s="269"/>
      <c r="D223" s="982" t="s">
        <v>19</v>
      </c>
      <c r="E223" s="303" t="str">
        <f>IF(COUNT(E221,E225)=2,IF(E221&gt;E225,C221,C225),"")</f>
        <v>Vello Vasser</v>
      </c>
      <c r="F223" s="451"/>
      <c r="G223" s="304">
        <v>10</v>
      </c>
      <c r="H223" s="269"/>
      <c r="I223" s="287"/>
      <c r="J223" s="269"/>
    </row>
    <row r="224" spans="1:11" x14ac:dyDescent="0.2">
      <c r="A224" s="302" t="s">
        <v>205</v>
      </c>
      <c r="B224" s="582" t="str">
        <f>IF(A224="-","-",IFERROR(INDEX(B$1:B$100,MATCH(A224,I$1:I$100,0)),""))</f>
        <v>-</v>
      </c>
      <c r="C224" s="301">
        <f>IF(B224="-",0,IF(B226="-",13,""))</f>
        <v>0</v>
      </c>
      <c r="D224" s="305"/>
      <c r="E224" s="306"/>
      <c r="F224" s="287"/>
      <c r="G224" s="287"/>
      <c r="H224" s="269"/>
      <c r="I224" s="287"/>
      <c r="J224" s="269"/>
    </row>
    <row r="225" spans="1:11" x14ac:dyDescent="0.2">
      <c r="A225" s="302"/>
      <c r="B225" s="449"/>
      <c r="C225" s="303" t="str">
        <f>IF(COUNT(C224,C226)=2,IF(C224&gt;C226,B224,B226),"")</f>
        <v>Tõnis Anton</v>
      </c>
      <c r="D225" s="451"/>
      <c r="E225" s="528">
        <v>0</v>
      </c>
      <c r="F225" s="269"/>
      <c r="G225" s="287" t="str">
        <f>IF(COUNT(G199,G207)=2,IF(G199&lt;G207,E199,E207),"")</f>
        <v>Marta Bernat</v>
      </c>
      <c r="H225" s="269"/>
      <c r="I225" s="301">
        <v>8</v>
      </c>
      <c r="J225" s="269"/>
    </row>
    <row r="226" spans="1:11" ht="13.5" thickBot="1" x14ac:dyDescent="0.25">
      <c r="A226" s="302" t="s">
        <v>204</v>
      </c>
      <c r="B226" s="450" t="str">
        <f>IF(A226="-","-",IFERROR(INDEX(B$1:B$100,MATCH(A226,I$1:I$100,0)),""))</f>
        <v>Tõnis Anton</v>
      </c>
      <c r="C226" s="304">
        <f>IF(B226="-",0,IF(B224="-",13,""))</f>
        <v>13</v>
      </c>
      <c r="D226" s="269"/>
      <c r="E226" s="287"/>
      <c r="F226" s="287"/>
      <c r="G226" s="455"/>
      <c r="H226" s="336"/>
      <c r="I226" s="338"/>
      <c r="J226" s="284" t="str">
        <f>IF(COUNT(I225,I227)=2,IF(I225&gt;I227,G225,G227),"")</f>
        <v>Vello Vasser</v>
      </c>
    </row>
    <row r="227" spans="1:11" x14ac:dyDescent="0.2">
      <c r="A227" s="269"/>
      <c r="B227" s="269"/>
      <c r="C227" s="269"/>
      <c r="D227" s="269"/>
      <c r="E227" s="269"/>
      <c r="F227" s="287"/>
      <c r="G227" s="456" t="str">
        <f>IF(COUNT(G215,G223)=2,IF(G215&lt;G223,E215,E223),"")</f>
        <v>Vello Vasser</v>
      </c>
      <c r="H227" s="451"/>
      <c r="I227" s="991">
        <v>13</v>
      </c>
      <c r="J227" s="290" t="s">
        <v>216</v>
      </c>
      <c r="K227" s="333"/>
    </row>
    <row r="228" spans="1:11" x14ac:dyDescent="0.2">
      <c r="A228" s="269"/>
      <c r="B228" s="269"/>
      <c r="C228" s="269"/>
      <c r="D228" s="269"/>
      <c r="E228" s="269"/>
      <c r="F228" s="287"/>
      <c r="G228" s="269"/>
      <c r="H228" s="269"/>
      <c r="I228" s="269"/>
      <c r="J228" s="287"/>
      <c r="K228" s="334"/>
    </row>
    <row r="229" spans="1:11" ht="13.5" thickBot="1" x14ac:dyDescent="0.25">
      <c r="A229" s="269"/>
      <c r="B229" s="269"/>
      <c r="C229" s="269"/>
      <c r="D229" s="269"/>
      <c r="E229" s="269"/>
      <c r="F229" s="287"/>
      <c r="G229" s="287"/>
      <c r="H229" s="287"/>
      <c r="I229" s="269"/>
      <c r="J229" s="583" t="str">
        <f>IF(COUNT(I225,I227)=2,IF(I225&lt;I227,G225,G227),"")</f>
        <v>Marta Bernat</v>
      </c>
      <c r="K229" s="584"/>
    </row>
    <row r="230" spans="1:11" x14ac:dyDescent="0.2">
      <c r="A230" s="269"/>
      <c r="B230" s="269"/>
      <c r="C230" s="269"/>
      <c r="D230" s="269"/>
      <c r="E230" s="269"/>
      <c r="F230" s="269"/>
      <c r="G230" s="287"/>
      <c r="H230" s="287"/>
      <c r="I230" s="269"/>
      <c r="J230" s="268" t="s">
        <v>217</v>
      </c>
    </row>
    <row r="231" spans="1:11" x14ac:dyDescent="0.2">
      <c r="A231" s="269"/>
      <c r="B231" s="269"/>
      <c r="C231" s="269"/>
      <c r="D231" s="269"/>
      <c r="E231" s="269"/>
      <c r="F231" s="269"/>
      <c r="G231" s="287"/>
      <c r="H231" s="287"/>
      <c r="I231" s="269"/>
      <c r="J231" s="268"/>
    </row>
    <row r="232" spans="1:11" x14ac:dyDescent="0.2">
      <c r="A232" s="331" t="s">
        <v>497</v>
      </c>
    </row>
    <row r="234" spans="1:11" x14ac:dyDescent="0.2">
      <c r="A234" s="269"/>
      <c r="B234" s="269"/>
      <c r="C234" s="269"/>
      <c r="D234" s="983" t="s">
        <v>15</v>
      </c>
      <c r="E234" s="456" t="str">
        <f>IF(COUNT(E197,E201)=2,IF(E197&lt;E201,C197,C201),"")</f>
        <v>Klavdia Piik</v>
      </c>
      <c r="F234" s="269"/>
      <c r="G234" s="301">
        <v>12</v>
      </c>
      <c r="H234" s="301"/>
      <c r="I234" s="301"/>
      <c r="J234" s="269"/>
    </row>
    <row r="235" spans="1:11" x14ac:dyDescent="0.2">
      <c r="A235" s="269"/>
      <c r="B235" s="269"/>
      <c r="C235" s="269"/>
      <c r="D235" s="981"/>
      <c r="E235" s="457"/>
      <c r="F235" s="337"/>
      <c r="G235" s="303" t="str">
        <f>IF(COUNT(G234,G236)=2,IF(G234&gt;G236,E234,E236),"")</f>
        <v>Liidia Põllu</v>
      </c>
      <c r="H235" s="269"/>
      <c r="I235" s="301">
        <v>13</v>
      </c>
      <c r="J235" s="269"/>
    </row>
    <row r="236" spans="1:11" x14ac:dyDescent="0.2">
      <c r="A236" s="269"/>
      <c r="B236" s="269"/>
      <c r="C236" s="269"/>
      <c r="D236" s="983" t="s">
        <v>17</v>
      </c>
      <c r="E236" s="456" t="str">
        <f>IF(COUNT(E205,E209)=2,IF(E205&lt;E209,C205,C209),"")</f>
        <v>Liidia Põllu</v>
      </c>
      <c r="F236" s="458"/>
      <c r="G236" s="304">
        <v>13</v>
      </c>
      <c r="H236" s="337"/>
      <c r="I236" s="269"/>
      <c r="J236" s="269"/>
    </row>
    <row r="237" spans="1:11" ht="13.5" thickBot="1" x14ac:dyDescent="0.25">
      <c r="A237" s="269"/>
      <c r="B237" s="269"/>
      <c r="C237" s="269"/>
      <c r="D237" s="981"/>
      <c r="E237" s="301"/>
      <c r="F237" s="301"/>
      <c r="G237" s="308"/>
      <c r="H237" s="309"/>
      <c r="I237" s="338"/>
      <c r="J237" s="284" t="str">
        <f>IF(COUNT(I235,I239)=2,IF(I235&gt;I239,G235,G239),"")</f>
        <v>Liidia Põllu</v>
      </c>
    </row>
    <row r="238" spans="1:11" x14ac:dyDescent="0.2">
      <c r="A238" s="269"/>
      <c r="B238" s="269"/>
      <c r="C238" s="269"/>
      <c r="D238" s="983" t="s">
        <v>18</v>
      </c>
      <c r="E238" s="456" t="str">
        <f>IF(COUNT(E213,E217)=2,IF(E213&lt;E217,C213,C217),"")</f>
        <v>Aleksandr Tipakov</v>
      </c>
      <c r="F238" s="301"/>
      <c r="G238" s="301">
        <v>13</v>
      </c>
      <c r="H238" s="309"/>
      <c r="I238" s="992"/>
      <c r="J238" s="290" t="s">
        <v>218</v>
      </c>
      <c r="K238" s="333"/>
    </row>
    <row r="239" spans="1:11" x14ac:dyDescent="0.2">
      <c r="A239" s="269"/>
      <c r="B239" s="269"/>
      <c r="C239" s="269"/>
      <c r="D239" s="981"/>
      <c r="E239" s="457"/>
      <c r="F239" s="337"/>
      <c r="G239" s="303" t="str">
        <f>IF(COUNT(G238,G240)=2,IF(G238&gt;G240,E238,E240),"")</f>
        <v>Aleksandr Tipakov</v>
      </c>
      <c r="H239" s="451"/>
      <c r="I239" s="304">
        <v>9</v>
      </c>
      <c r="J239" s="287"/>
      <c r="K239" s="334"/>
    </row>
    <row r="240" spans="1:11" ht="13.5" thickBot="1" x14ac:dyDescent="0.25">
      <c r="A240" s="269"/>
      <c r="B240" s="269"/>
      <c r="C240" s="269"/>
      <c r="D240" s="983" t="s">
        <v>19</v>
      </c>
      <c r="E240" s="456" t="str">
        <f>IF(COUNT(E221,E225)=2,IF(E221&lt;E225,C221,C225),"")</f>
        <v>Tõnis Anton</v>
      </c>
      <c r="F240" s="458"/>
      <c r="G240" s="652">
        <v>0</v>
      </c>
      <c r="H240" s="301"/>
      <c r="I240" s="308"/>
      <c r="J240" s="583" t="str">
        <f>IF(COUNT(I235,I239)=2,IF(I235&lt;I239,G235,G239),"")</f>
        <v>Aleksandr Tipakov</v>
      </c>
      <c r="K240" s="584"/>
    </row>
    <row r="241" spans="1:11" x14ac:dyDescent="0.2">
      <c r="A241" s="269"/>
      <c r="B241" s="269"/>
      <c r="C241" s="269"/>
      <c r="D241" s="269"/>
      <c r="E241" s="301"/>
      <c r="F241" s="301"/>
      <c r="G241" s="301"/>
      <c r="H241" s="301"/>
      <c r="I241" s="308"/>
      <c r="J241" s="296" t="s">
        <v>219</v>
      </c>
    </row>
    <row r="242" spans="1:11" x14ac:dyDescent="0.2">
      <c r="A242" s="269"/>
      <c r="B242" s="269"/>
      <c r="C242" s="269"/>
      <c r="D242" s="269"/>
      <c r="E242" s="301"/>
      <c r="F242" s="308"/>
      <c r="G242" s="284" t="str">
        <f>IF(COUNT(G234,G236)=2,IF(G234&lt;G236,E234,E236),"")</f>
        <v>Klavdia Piik</v>
      </c>
      <c r="H242" s="269"/>
      <c r="I242" s="308">
        <v>13</v>
      </c>
      <c r="J242" s="287"/>
    </row>
    <row r="243" spans="1:11" ht="13.5" thickBot="1" x14ac:dyDescent="0.25">
      <c r="A243" s="269"/>
      <c r="B243" s="269"/>
      <c r="C243" s="269"/>
      <c r="D243" s="269"/>
      <c r="E243" s="301"/>
      <c r="F243" s="308"/>
      <c r="G243" s="455"/>
      <c r="H243" s="336"/>
      <c r="I243" s="585"/>
      <c r="J243" s="284" t="str">
        <f>IF(COUNT(I242,I244)=2,IF(I242&gt;I244,G242,G244),"")</f>
        <v>Klavdia Piik</v>
      </c>
    </row>
    <row r="244" spans="1:11" x14ac:dyDescent="0.2">
      <c r="A244" s="269"/>
      <c r="B244" s="269"/>
      <c r="C244" s="269"/>
      <c r="D244" s="269"/>
      <c r="E244" s="301"/>
      <c r="F244" s="308"/>
      <c r="G244" s="456" t="str">
        <f>IF(COUNT(G238,G240)=2,IF(G238&lt;G240,E238,E240),"")</f>
        <v>Tõnis Anton</v>
      </c>
      <c r="H244" s="451"/>
      <c r="I244" s="304">
        <v>0</v>
      </c>
      <c r="J244" s="290" t="s">
        <v>220</v>
      </c>
      <c r="K244" s="333"/>
    </row>
    <row r="245" spans="1:11" x14ac:dyDescent="0.2">
      <c r="A245" s="269"/>
      <c r="B245" s="269"/>
      <c r="C245" s="269"/>
      <c r="D245" s="269"/>
      <c r="E245" s="269"/>
      <c r="F245" s="287"/>
      <c r="G245" s="269"/>
      <c r="H245" s="269"/>
      <c r="I245" s="269"/>
      <c r="J245" s="287"/>
      <c r="K245" s="334"/>
    </row>
    <row r="246" spans="1:11" ht="13.5" thickBot="1" x14ac:dyDescent="0.25">
      <c r="A246" s="269"/>
      <c r="B246" s="269"/>
      <c r="C246" s="269"/>
      <c r="D246" s="269"/>
      <c r="E246" s="269"/>
      <c r="F246" s="269"/>
      <c r="G246" s="287"/>
      <c r="H246" s="287"/>
      <c r="I246" s="269"/>
      <c r="J246" s="586" t="str">
        <f>IF(COUNT(I242,I244)=2,IF(I242&lt;I244,G242,G244),"")</f>
        <v>Tõnis Anton</v>
      </c>
      <c r="K246" s="584"/>
    </row>
    <row r="247" spans="1:11" x14ac:dyDescent="0.2">
      <c r="A247" s="269"/>
      <c r="B247" s="269"/>
      <c r="C247" s="269"/>
      <c r="D247" s="269"/>
      <c r="E247" s="269"/>
      <c r="F247" s="269"/>
      <c r="G247" s="287"/>
      <c r="H247" s="287"/>
      <c r="I247" s="269"/>
      <c r="J247" s="296" t="s">
        <v>221</v>
      </c>
    </row>
    <row r="248" spans="1:11" hidden="1" x14ac:dyDescent="0.2"/>
    <row r="249" spans="1:11" x14ac:dyDescent="0.2">
      <c r="A249" s="331" t="s">
        <v>498</v>
      </c>
      <c r="B249" s="151"/>
      <c r="C249" s="151"/>
      <c r="D249" s="151"/>
      <c r="E249" s="151"/>
      <c r="F249" s="151"/>
      <c r="G249" s="151"/>
      <c r="H249" s="151"/>
      <c r="I249" s="151"/>
      <c r="J249" s="151"/>
    </row>
    <row r="250" spans="1:11" hidden="1" x14ac:dyDescent="0.2">
      <c r="A250" s="151"/>
      <c r="B250" s="151"/>
      <c r="C250" s="151"/>
      <c r="D250" s="151"/>
      <c r="E250" s="151"/>
      <c r="F250" s="151"/>
      <c r="G250" s="151"/>
      <c r="H250" s="151"/>
      <c r="I250" s="151"/>
      <c r="J250" s="151"/>
    </row>
    <row r="251" spans="1:11" x14ac:dyDescent="0.2">
      <c r="A251" s="151"/>
      <c r="B251" s="984"/>
      <c r="C251" s="456" t="str">
        <f>IF(COUNT(C196,C198)=2,IF(C196&lt;C198,B196,B198),"")</f>
        <v>-</v>
      </c>
      <c r="D251" s="151"/>
      <c r="E251" s="301">
        <f>IF(C251="-",0,IF(C253="-",13,""))</f>
        <v>0</v>
      </c>
      <c r="F251" s="269"/>
      <c r="G251" s="269"/>
      <c r="H251" s="269"/>
      <c r="I251" s="269"/>
      <c r="J251" s="269"/>
    </row>
    <row r="252" spans="1:11" x14ac:dyDescent="0.2">
      <c r="A252" s="151"/>
      <c r="B252" s="984"/>
      <c r="C252" s="449"/>
      <c r="D252" s="335"/>
      <c r="E252" s="303" t="str">
        <f>IF(COUNT(E251,E253)=2,IF(E251&gt;E253,C251,C253),"")</f>
        <v>Janek Tarto</v>
      </c>
      <c r="F252" s="269"/>
      <c r="G252" s="301" t="str">
        <f>IF(E252="-",0,IF(E256="-",13,""))</f>
        <v/>
      </c>
      <c r="H252" s="269"/>
      <c r="I252" s="269"/>
      <c r="J252" s="269"/>
    </row>
    <row r="253" spans="1:11" x14ac:dyDescent="0.2">
      <c r="A253" s="151"/>
      <c r="B253" s="980" t="s">
        <v>10</v>
      </c>
      <c r="C253" s="456" t="str">
        <f>IF(COUNT(C200,C202)=2,IF(C200&lt;C202,B200,B202),"")</f>
        <v>Janek Tarto</v>
      </c>
      <c r="D253" s="587"/>
      <c r="E253" s="304">
        <f>IF(C253="-",0,IF(C251="-",13,""))</f>
        <v>13</v>
      </c>
      <c r="F253" s="336"/>
      <c r="G253" s="269"/>
      <c r="H253" s="269"/>
      <c r="I253" s="269"/>
      <c r="J253" s="269"/>
    </row>
    <row r="254" spans="1:11" x14ac:dyDescent="0.2">
      <c r="A254" s="151"/>
      <c r="B254" s="984"/>
      <c r="C254" s="292"/>
      <c r="D254" s="151"/>
      <c r="E254" s="269"/>
      <c r="F254" s="305"/>
      <c r="G254" s="303" t="str">
        <f>IF(COUNT(G252,G256)=2,IF(G252&gt;G256,E252,E256),"")</f>
        <v/>
      </c>
      <c r="H254" s="269"/>
      <c r="I254" s="301">
        <v>0</v>
      </c>
      <c r="J254" s="269"/>
    </row>
    <row r="255" spans="1:11" x14ac:dyDescent="0.2">
      <c r="A255" s="151"/>
      <c r="B255" s="980" t="s">
        <v>11</v>
      </c>
      <c r="C255" s="456" t="str">
        <f>IF(COUNT(C204,C206)=2,IF(C204&lt;C206,B204,B206),"")</f>
        <v>Andrei Grintšak</v>
      </c>
      <c r="D255" s="151"/>
      <c r="E255" s="301">
        <f>IF(C255="-",0,IF(C257="-",13,""))</f>
        <v>13</v>
      </c>
      <c r="F255" s="305"/>
      <c r="G255" s="306"/>
      <c r="H255" s="336"/>
      <c r="I255" s="269"/>
      <c r="J255" s="269"/>
    </row>
    <row r="256" spans="1:11" x14ac:dyDescent="0.2">
      <c r="A256" s="151"/>
      <c r="B256" s="984"/>
      <c r="C256" s="449"/>
      <c r="D256" s="335"/>
      <c r="E256" s="303" t="str">
        <f>IF(COUNT(E255,E257)=2,IF(E255&gt;E257,C255,C257),"")</f>
        <v>Andrei Grintšak</v>
      </c>
      <c r="F256" s="451"/>
      <c r="G256" s="304" t="str">
        <f>IF(E256="-",0,IF(E252="-",13,""))</f>
        <v/>
      </c>
      <c r="H256" s="305"/>
      <c r="I256" s="269"/>
      <c r="J256" s="269"/>
    </row>
    <row r="257" spans="1:11" x14ac:dyDescent="0.2">
      <c r="A257" s="151"/>
      <c r="B257" s="984"/>
      <c r="C257" s="456" t="str">
        <f>IF(COUNT(C208,C210)=2,IF(C208&lt;C210,B208,B210),"")</f>
        <v>-</v>
      </c>
      <c r="D257" s="587"/>
      <c r="E257" s="304">
        <f>IF(C257="-",0,IF(C255="-",13,""))</f>
        <v>0</v>
      </c>
      <c r="F257" s="269"/>
      <c r="G257" s="287"/>
      <c r="H257" s="305"/>
      <c r="I257" s="269"/>
      <c r="J257" s="269"/>
    </row>
    <row r="258" spans="1:11" ht="13.5" thickBot="1" x14ac:dyDescent="0.25">
      <c r="A258" s="151"/>
      <c r="B258" s="984"/>
      <c r="C258" s="292"/>
      <c r="D258" s="151"/>
      <c r="E258" s="269"/>
      <c r="F258" s="269"/>
      <c r="G258" s="287"/>
      <c r="H258" s="305"/>
      <c r="I258" s="269"/>
      <c r="J258" s="284" t="str">
        <f>IF(COUNT(I254,I262)=2,IF(I254&gt;I262,G254,G262),"")</f>
        <v>Svetlana Veski</v>
      </c>
    </row>
    <row r="259" spans="1:11" x14ac:dyDescent="0.2">
      <c r="A259" s="151"/>
      <c r="B259" s="984"/>
      <c r="C259" s="456" t="str">
        <f>IF(COUNT(C212,C214)=2,IF(C212&lt;C214,B212,B214),"")</f>
        <v>-</v>
      </c>
      <c r="D259" s="151"/>
      <c r="E259" s="301">
        <f>IF(C259="-",0,IF(C261="-",13,""))</f>
        <v>0</v>
      </c>
      <c r="F259" s="269"/>
      <c r="G259" s="269"/>
      <c r="H259" s="305"/>
      <c r="I259" s="307"/>
      <c r="J259" s="290" t="s">
        <v>229</v>
      </c>
      <c r="K259" s="333"/>
    </row>
    <row r="260" spans="1:11" x14ac:dyDescent="0.2">
      <c r="A260" s="151"/>
      <c r="B260" s="984"/>
      <c r="C260" s="449"/>
      <c r="D260" s="335"/>
      <c r="E260" s="303" t="str">
        <f>IF(COUNT(E259,E261)=2,IF(E259&gt;E261,C259,C261),"")</f>
        <v>Svetlana Veski</v>
      </c>
      <c r="F260" s="269"/>
      <c r="G260" s="301">
        <v>13</v>
      </c>
      <c r="H260" s="305"/>
      <c r="I260" s="287"/>
      <c r="J260" s="287"/>
      <c r="K260" s="334"/>
    </row>
    <row r="261" spans="1:11" x14ac:dyDescent="0.2">
      <c r="A261" s="151"/>
      <c r="B261" s="980" t="s">
        <v>12</v>
      </c>
      <c r="C261" s="456" t="str">
        <f>IF(COUNT(C216,C218)=2,IF(C216&lt;C218,B216,B218),"")</f>
        <v>Svetlana Veski</v>
      </c>
      <c r="D261" s="587"/>
      <c r="E261" s="304">
        <f>IF(C261="-",0,IF(C259="-",13,""))</f>
        <v>13</v>
      </c>
      <c r="F261" s="336"/>
      <c r="G261" s="269"/>
      <c r="H261" s="305"/>
      <c r="I261" s="287"/>
      <c r="J261" s="287"/>
      <c r="K261" s="334"/>
    </row>
    <row r="262" spans="1:11" x14ac:dyDescent="0.2">
      <c r="A262" s="151"/>
      <c r="B262" s="984"/>
      <c r="C262" s="292"/>
      <c r="D262" s="151"/>
      <c r="E262" s="269"/>
      <c r="F262" s="305"/>
      <c r="G262" s="303" t="str">
        <f>IF(COUNT(G260,G264)=2,IF(G260&gt;G264,E260,E264),"")</f>
        <v>Svetlana Veski</v>
      </c>
      <c r="H262" s="451"/>
      <c r="I262" s="304">
        <v>13</v>
      </c>
      <c r="J262" s="287"/>
      <c r="K262" s="334"/>
    </row>
    <row r="263" spans="1:11" ht="13.5" thickBot="1" x14ac:dyDescent="0.25">
      <c r="A263" s="151"/>
      <c r="B263" s="980" t="s">
        <v>13</v>
      </c>
      <c r="C263" s="456" t="str">
        <f>IF(COUNT(C220,C222)=2,IF(C220&lt;C222,B220,B222),"")</f>
        <v>Sirje Maala</v>
      </c>
      <c r="D263" s="151"/>
      <c r="E263" s="301">
        <f>IF(C263="-",0,IF(C265="-",13,""))</f>
        <v>13</v>
      </c>
      <c r="F263" s="305"/>
      <c r="G263" s="306"/>
      <c r="H263" s="287"/>
      <c r="I263" s="287"/>
      <c r="J263" s="583" t="str">
        <f>IF(COUNT(I254,I262)=2,IF(I254&lt;I262,G254,G262),"")</f>
        <v/>
      </c>
      <c r="K263" s="584"/>
    </row>
    <row r="264" spans="1:11" x14ac:dyDescent="0.2">
      <c r="A264" s="151"/>
      <c r="B264" s="984"/>
      <c r="C264" s="449"/>
      <c r="D264" s="335"/>
      <c r="E264" s="303" t="str">
        <f>IF(COUNT(E263,E265)=2,IF(E263&gt;E265,C263,C265),"")</f>
        <v>Sirje Maala</v>
      </c>
      <c r="F264" s="451"/>
      <c r="G264" s="304">
        <v>6</v>
      </c>
      <c r="H264" s="269"/>
      <c r="I264" s="287"/>
      <c r="J264" s="296" t="s">
        <v>230</v>
      </c>
    </row>
    <row r="265" spans="1:11" x14ac:dyDescent="0.2">
      <c r="A265" s="151"/>
      <c r="B265" s="984"/>
      <c r="C265" s="456" t="str">
        <f>IF(COUNT(C224,C226)=2,IF(C224&lt;C226,B224,B226),"")</f>
        <v>-</v>
      </c>
      <c r="D265" s="587"/>
      <c r="E265" s="304">
        <f>IF(C265="-",0,IF(C263="-",13,""))</f>
        <v>0</v>
      </c>
      <c r="F265" s="269"/>
      <c r="G265" s="287"/>
      <c r="H265" s="287"/>
      <c r="I265" s="287"/>
      <c r="J265" s="269"/>
    </row>
    <row r="266" spans="1:11" x14ac:dyDescent="0.2">
      <c r="A266" s="151"/>
      <c r="B266" s="151"/>
      <c r="C266" s="151"/>
      <c r="D266" s="151"/>
      <c r="E266" s="269"/>
      <c r="F266" s="269"/>
      <c r="G266" s="284" t="str">
        <f>IF(COUNT(G252,G256)=2,IF(G252&lt;G256,E252,E256),"")</f>
        <v/>
      </c>
      <c r="H266" s="269"/>
      <c r="I266" s="301" t="str">
        <f>IF(G266="-",0,IF(G268="-",13,""))</f>
        <v/>
      </c>
      <c r="J266" s="269"/>
    </row>
    <row r="267" spans="1:11" ht="13.5" thickBot="1" x14ac:dyDescent="0.25">
      <c r="A267" s="151"/>
      <c r="B267" s="151"/>
      <c r="C267" s="151"/>
      <c r="D267" s="151"/>
      <c r="E267" s="269"/>
      <c r="F267" s="269"/>
      <c r="G267" s="455"/>
      <c r="H267" s="336"/>
      <c r="I267" s="338" t="str">
        <f>IF(COUNT(I266,I268)=2,IF(I266&gt;I268,G266,G268),"")</f>
        <v/>
      </c>
      <c r="J267" s="284" t="str">
        <f>IF(COUNT(I266,I268)=2,IF(I266&gt;I268,G266,G268),"")</f>
        <v/>
      </c>
    </row>
    <row r="268" spans="1:11" x14ac:dyDescent="0.2">
      <c r="A268" s="151"/>
      <c r="B268" s="151"/>
      <c r="C268" s="151"/>
      <c r="D268" s="151"/>
      <c r="E268" s="269"/>
      <c r="F268" s="269"/>
      <c r="G268" s="456" t="str">
        <f>IF(COUNT(G260,G264)=2,IF(G260&lt;G264,E260,E264),"")</f>
        <v>Sirje Maala</v>
      </c>
      <c r="H268" s="451"/>
      <c r="I268" s="991" t="str">
        <f>IF(G268="-",0,IF(G266="-",13,""))</f>
        <v/>
      </c>
      <c r="J268" s="290" t="s">
        <v>231</v>
      </c>
      <c r="K268" s="333"/>
    </row>
    <row r="269" spans="1:11" x14ac:dyDescent="0.2">
      <c r="A269" s="151"/>
      <c r="B269" s="151"/>
      <c r="C269" s="151"/>
      <c r="D269" s="269"/>
      <c r="E269" s="269"/>
      <c r="F269" s="269"/>
      <c r="G269" s="269"/>
      <c r="H269" s="269"/>
      <c r="I269" s="269"/>
      <c r="J269" s="287"/>
      <c r="K269" s="334"/>
    </row>
    <row r="270" spans="1:11" ht="13.5" thickBot="1" x14ac:dyDescent="0.25">
      <c r="A270" s="151"/>
      <c r="B270" s="151"/>
      <c r="C270" s="151"/>
      <c r="D270" s="269"/>
      <c r="E270" s="269"/>
      <c r="F270" s="269"/>
      <c r="G270" s="287"/>
      <c r="H270" s="287"/>
      <c r="I270" s="269"/>
      <c r="J270" s="583" t="str">
        <f>IF(COUNT(I266,I268)=2,IF(I266&lt;I268,G266,G268),"")</f>
        <v/>
      </c>
      <c r="K270" s="584"/>
    </row>
    <row r="271" spans="1:11" x14ac:dyDescent="0.2">
      <c r="J271" s="290" t="s">
        <v>232</v>
      </c>
    </row>
    <row r="272" spans="1:11"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2" hidden="1" x14ac:dyDescent="0.2"/>
    <row r="290" spans="1:2" hidden="1" x14ac:dyDescent="0.2"/>
    <row r="291" spans="1:2" hidden="1" x14ac:dyDescent="0.2"/>
    <row r="292" spans="1:2" hidden="1" x14ac:dyDescent="0.2"/>
    <row r="293" spans="1:2" hidden="1" x14ac:dyDescent="0.2"/>
    <row r="294" spans="1:2" hidden="1" x14ac:dyDescent="0.2"/>
    <row r="295" spans="1:2" hidden="1" x14ac:dyDescent="0.2"/>
    <row r="296" spans="1:2" hidden="1" x14ac:dyDescent="0.2"/>
    <row r="297" spans="1:2" hidden="1" x14ac:dyDescent="0.2"/>
    <row r="298" spans="1:2" hidden="1" x14ac:dyDescent="0.2"/>
    <row r="300" spans="1:2" x14ac:dyDescent="0.2">
      <c r="A300" s="530">
        <v>1</v>
      </c>
      <c r="B300" s="529" t="str">
        <f t="shared" ref="B300:B313" si="7">IFERROR(INDEX(J$100:J$300,MATCH(A300&amp;". koht",J$101:J$301,0)),"")</f>
        <v>Jaan Sepp</v>
      </c>
    </row>
    <row r="301" spans="1:2" x14ac:dyDescent="0.2">
      <c r="A301" s="530">
        <v>2</v>
      </c>
      <c r="B301" s="529" t="str">
        <f t="shared" si="7"/>
        <v>Viktor Švarõgin</v>
      </c>
    </row>
    <row r="302" spans="1:2" x14ac:dyDescent="0.2">
      <c r="A302" s="530">
        <v>3</v>
      </c>
      <c r="B302" s="529" t="str">
        <f t="shared" si="7"/>
        <v>Kaspar Mänd</v>
      </c>
    </row>
    <row r="303" spans="1:2" x14ac:dyDescent="0.2">
      <c r="A303" s="530">
        <v>4</v>
      </c>
      <c r="B303" s="529" t="str">
        <f t="shared" si="7"/>
        <v>Aarne Välja</v>
      </c>
    </row>
    <row r="304" spans="1:2" x14ac:dyDescent="0.2">
      <c r="A304" s="530">
        <v>5</v>
      </c>
      <c r="B304" s="529" t="str">
        <f t="shared" si="7"/>
        <v>Oskar Sepp</v>
      </c>
    </row>
    <row r="305" spans="1:2" x14ac:dyDescent="0.2">
      <c r="A305" s="530">
        <v>6</v>
      </c>
      <c r="B305" s="529" t="str">
        <f t="shared" si="7"/>
        <v>Kenneth Muusikus</v>
      </c>
    </row>
    <row r="306" spans="1:2" x14ac:dyDescent="0.2">
      <c r="A306" s="530">
        <v>7</v>
      </c>
      <c r="B306" s="529" t="str">
        <f t="shared" si="7"/>
        <v>Illar Tõnurist</v>
      </c>
    </row>
    <row r="307" spans="1:2" x14ac:dyDescent="0.2">
      <c r="A307" s="530">
        <v>8</v>
      </c>
      <c r="B307" s="529" t="str">
        <f t="shared" si="7"/>
        <v>Karla Purgats</v>
      </c>
    </row>
    <row r="308" spans="1:2" x14ac:dyDescent="0.2">
      <c r="A308" s="530">
        <v>9</v>
      </c>
      <c r="B308" s="529" t="str">
        <f t="shared" si="7"/>
        <v>Ljudmila Varendi</v>
      </c>
    </row>
    <row r="309" spans="1:2" x14ac:dyDescent="0.2">
      <c r="A309" s="530">
        <v>10</v>
      </c>
      <c r="B309" s="529" t="str">
        <f t="shared" si="7"/>
        <v>Tarmo Bombe</v>
      </c>
    </row>
    <row r="310" spans="1:2" x14ac:dyDescent="0.2">
      <c r="A310" s="530">
        <v>11</v>
      </c>
      <c r="B310" s="529" t="str">
        <f t="shared" si="7"/>
        <v>Tõnu Piik</v>
      </c>
    </row>
    <row r="311" spans="1:2" x14ac:dyDescent="0.2">
      <c r="A311" s="530">
        <v>12</v>
      </c>
      <c r="B311" s="529" t="str">
        <f t="shared" si="7"/>
        <v>Tarmo Bombe</v>
      </c>
    </row>
    <row r="312" spans="1:2" x14ac:dyDescent="0.2">
      <c r="A312" s="530">
        <v>13</v>
      </c>
      <c r="B312" s="529" t="str">
        <f t="shared" si="7"/>
        <v>Ülo Piik</v>
      </c>
    </row>
    <row r="313" spans="1:2" x14ac:dyDescent="0.2">
      <c r="A313" s="530">
        <v>14</v>
      </c>
      <c r="B313" s="529" t="str">
        <f t="shared" si="7"/>
        <v>Enn Tokman</v>
      </c>
    </row>
    <row r="314" spans="1:2" x14ac:dyDescent="0.2">
      <c r="A314" s="530">
        <v>15</v>
      </c>
      <c r="B314" s="529" t="str">
        <f t="shared" ref="B314:B323" si="8">IFERROR(INDEX(J$100:J$300,MATCH(A314&amp;". koht",J$101:J$301,0)),"")</f>
        <v>Vello Vasser</v>
      </c>
    </row>
    <row r="315" spans="1:2" x14ac:dyDescent="0.2">
      <c r="A315" s="530">
        <v>16</v>
      </c>
      <c r="B315" s="529" t="str">
        <f t="shared" si="8"/>
        <v>Marta Bernat</v>
      </c>
    </row>
    <row r="316" spans="1:2" x14ac:dyDescent="0.2">
      <c r="A316" s="530">
        <v>17</v>
      </c>
      <c r="B316" s="529" t="str">
        <f t="shared" si="8"/>
        <v>Liidia Põllu</v>
      </c>
    </row>
    <row r="317" spans="1:2" x14ac:dyDescent="0.2">
      <c r="A317" s="530">
        <v>18</v>
      </c>
      <c r="B317" s="529" t="str">
        <f t="shared" si="8"/>
        <v>Aleksandr Tipakov</v>
      </c>
    </row>
    <row r="318" spans="1:2" x14ac:dyDescent="0.2">
      <c r="A318" s="530">
        <v>19</v>
      </c>
      <c r="B318" s="529" t="str">
        <f t="shared" si="8"/>
        <v>Klavdia Piik</v>
      </c>
    </row>
    <row r="319" spans="1:2" x14ac:dyDescent="0.2">
      <c r="A319" s="530">
        <v>20</v>
      </c>
      <c r="B319" s="529" t="str">
        <f t="shared" si="8"/>
        <v>Tõnis Anton</v>
      </c>
    </row>
    <row r="320" spans="1:2" x14ac:dyDescent="0.2">
      <c r="A320" s="530">
        <v>21</v>
      </c>
      <c r="B320" s="529" t="str">
        <f t="shared" si="8"/>
        <v>Svetlana Veski</v>
      </c>
    </row>
    <row r="321" spans="1:2" x14ac:dyDescent="0.2">
      <c r="A321" s="530">
        <v>22</v>
      </c>
      <c r="B321" s="529" t="str">
        <f t="shared" si="8"/>
        <v/>
      </c>
    </row>
    <row r="322" spans="1:2" x14ac:dyDescent="0.2">
      <c r="A322" s="530">
        <v>23</v>
      </c>
      <c r="B322" s="529" t="str">
        <f t="shared" si="8"/>
        <v/>
      </c>
    </row>
    <row r="323" spans="1:2" x14ac:dyDescent="0.2">
      <c r="A323" s="530">
        <v>24</v>
      </c>
      <c r="B323" s="529" t="str">
        <f t="shared" si="8"/>
        <v/>
      </c>
    </row>
  </sheetData>
  <conditionalFormatting sqref="D7 C8">
    <cfRule type="aboveAverage" dxfId="2358" priority="614"/>
  </conditionalFormatting>
  <conditionalFormatting sqref="E7 C9">
    <cfRule type="aboveAverage" dxfId="2357" priority="613"/>
  </conditionalFormatting>
  <conditionalFormatting sqref="F7 C10">
    <cfRule type="aboveAverage" dxfId="2356" priority="612"/>
  </conditionalFormatting>
  <conditionalFormatting sqref="E8 D9">
    <cfRule type="aboveAverage" dxfId="2355" priority="611"/>
  </conditionalFormatting>
  <conditionalFormatting sqref="G7 C11">
    <cfRule type="aboveAverage" dxfId="2354" priority="610"/>
  </conditionalFormatting>
  <conditionalFormatting sqref="F8 D10">
    <cfRule type="aboveAverage" dxfId="2353" priority="609"/>
  </conditionalFormatting>
  <conditionalFormatting sqref="G8 D11">
    <cfRule type="aboveAverage" dxfId="2352" priority="608"/>
  </conditionalFormatting>
  <conditionalFormatting sqref="F9 E10">
    <cfRule type="aboveAverage" dxfId="2351" priority="607"/>
  </conditionalFormatting>
  <conditionalFormatting sqref="G9 E11">
    <cfRule type="aboveAverage" dxfId="2350" priority="606"/>
  </conditionalFormatting>
  <conditionalFormatting sqref="F11 G10">
    <cfRule type="aboveAverage" dxfId="2349" priority="605"/>
  </conditionalFormatting>
  <conditionalFormatting sqref="D14 C15">
    <cfRule type="aboveAverage" dxfId="2348" priority="604"/>
  </conditionalFormatting>
  <conditionalFormatting sqref="E14 C16">
    <cfRule type="aboveAverage" dxfId="2347" priority="603"/>
  </conditionalFormatting>
  <conditionalFormatting sqref="F14 C17">
    <cfRule type="aboveAverage" dxfId="2346" priority="602"/>
  </conditionalFormatting>
  <conditionalFormatting sqref="E15 D16">
    <cfRule type="aboveAverage" dxfId="2345" priority="601"/>
  </conditionalFormatting>
  <conditionalFormatting sqref="G14 C18">
    <cfRule type="aboveAverage" dxfId="2344" priority="600"/>
  </conditionalFormatting>
  <conditionalFormatting sqref="F15 D17">
    <cfRule type="aboveAverage" dxfId="2343" priority="599"/>
  </conditionalFormatting>
  <conditionalFormatting sqref="G15 D18">
    <cfRule type="aboveAverage" dxfId="2342" priority="598"/>
  </conditionalFormatting>
  <conditionalFormatting sqref="F16 E17">
    <cfRule type="aboveAverage" dxfId="2341" priority="597"/>
  </conditionalFormatting>
  <conditionalFormatting sqref="G16 E18">
    <cfRule type="aboveAverage" dxfId="2340" priority="596"/>
  </conditionalFormatting>
  <conditionalFormatting sqref="F18 G17">
    <cfRule type="aboveAverage" dxfId="2339" priority="595"/>
  </conditionalFormatting>
  <conditionalFormatting sqref="D21 C22">
    <cfRule type="aboveAverage" dxfId="2338" priority="594"/>
  </conditionalFormatting>
  <conditionalFormatting sqref="E21 C23">
    <cfRule type="aboveAverage" dxfId="2337" priority="593"/>
  </conditionalFormatting>
  <conditionalFormatting sqref="F21 C24">
    <cfRule type="aboveAverage" dxfId="2336" priority="592"/>
  </conditionalFormatting>
  <conditionalFormatting sqref="E22 D23">
    <cfRule type="aboveAverage" dxfId="2335" priority="591"/>
  </conditionalFormatting>
  <conditionalFormatting sqref="G21 C25">
    <cfRule type="aboveAverage" dxfId="2334" priority="590"/>
  </conditionalFormatting>
  <conditionalFormatting sqref="F22 D24">
    <cfRule type="aboveAverage" dxfId="2333" priority="589"/>
  </conditionalFormatting>
  <conditionalFormatting sqref="G22 D25">
    <cfRule type="aboveAverage" dxfId="2332" priority="588"/>
  </conditionalFormatting>
  <conditionalFormatting sqref="F23 E24">
    <cfRule type="aboveAverage" dxfId="2331" priority="587"/>
  </conditionalFormatting>
  <conditionalFormatting sqref="G23 E25">
    <cfRule type="aboveAverage" dxfId="2330" priority="586"/>
  </conditionalFormatting>
  <conditionalFormatting sqref="F25 G24">
    <cfRule type="aboveAverage" dxfId="2329" priority="585"/>
  </conditionalFormatting>
  <conditionalFormatting sqref="D28 C29">
    <cfRule type="aboveAverage" dxfId="2328" priority="584"/>
  </conditionalFormatting>
  <conditionalFormatting sqref="E28 C30">
    <cfRule type="aboveAverage" dxfId="2327" priority="583"/>
  </conditionalFormatting>
  <conditionalFormatting sqref="F28 C31">
    <cfRule type="aboveAverage" dxfId="2326" priority="582"/>
  </conditionalFormatting>
  <conditionalFormatting sqref="E29 D30">
    <cfRule type="aboveAverage" dxfId="2325" priority="581"/>
  </conditionalFormatting>
  <conditionalFormatting sqref="G28 C32">
    <cfRule type="aboveAverage" dxfId="2324" priority="580"/>
  </conditionalFormatting>
  <conditionalFormatting sqref="F29 D31">
    <cfRule type="aboveAverage" dxfId="2323" priority="579"/>
  </conditionalFormatting>
  <conditionalFormatting sqref="G29 D32">
    <cfRule type="aboveAverage" dxfId="2322" priority="578"/>
  </conditionalFormatting>
  <conditionalFormatting sqref="F30 E31">
    <cfRule type="aboveAverage" dxfId="2321" priority="577"/>
  </conditionalFormatting>
  <conditionalFormatting sqref="G30 E32">
    <cfRule type="aboveAverage" dxfId="2320" priority="576"/>
  </conditionalFormatting>
  <conditionalFormatting sqref="F32 G31">
    <cfRule type="aboveAverage" dxfId="2319" priority="575"/>
  </conditionalFormatting>
  <conditionalFormatting sqref="D35 C36">
    <cfRule type="aboveAverage" dxfId="2318" priority="574"/>
  </conditionalFormatting>
  <conditionalFormatting sqref="E35 C37">
    <cfRule type="aboveAverage" dxfId="2317" priority="573"/>
  </conditionalFormatting>
  <conditionalFormatting sqref="F35 C38">
    <cfRule type="aboveAverage" dxfId="2316" priority="572"/>
  </conditionalFormatting>
  <conditionalFormatting sqref="E36 D37">
    <cfRule type="aboveAverage" dxfId="2315" priority="571"/>
  </conditionalFormatting>
  <conditionalFormatting sqref="G35 C39">
    <cfRule type="aboveAverage" dxfId="2314" priority="570"/>
  </conditionalFormatting>
  <conditionalFormatting sqref="F36 D38">
    <cfRule type="aboveAverage" dxfId="2313" priority="569"/>
  </conditionalFormatting>
  <conditionalFormatting sqref="G36 D39">
    <cfRule type="aboveAverage" dxfId="2312" priority="568"/>
  </conditionalFormatting>
  <conditionalFormatting sqref="F37 E38">
    <cfRule type="aboveAverage" dxfId="2311" priority="567"/>
  </conditionalFormatting>
  <conditionalFormatting sqref="G37 E39">
    <cfRule type="aboveAverage" dxfId="2310" priority="566"/>
  </conditionalFormatting>
  <conditionalFormatting sqref="F39 G38">
    <cfRule type="aboveAverage" dxfId="2309" priority="565"/>
  </conditionalFormatting>
  <conditionalFormatting sqref="D42 C43">
    <cfRule type="aboveAverage" dxfId="2308" priority="564"/>
  </conditionalFormatting>
  <conditionalFormatting sqref="E42 C44">
    <cfRule type="aboveAverage" dxfId="2307" priority="563"/>
  </conditionalFormatting>
  <conditionalFormatting sqref="F42 C45">
    <cfRule type="aboveAverage" dxfId="2306" priority="562"/>
  </conditionalFormatting>
  <conditionalFormatting sqref="E43 D44">
    <cfRule type="aboveAverage" dxfId="2305" priority="561"/>
  </conditionalFormatting>
  <conditionalFormatting sqref="G42 C46">
    <cfRule type="aboveAverage" dxfId="2304" priority="560"/>
  </conditionalFormatting>
  <conditionalFormatting sqref="F43 D45">
    <cfRule type="aboveAverage" dxfId="2303" priority="559"/>
  </conditionalFormatting>
  <conditionalFormatting sqref="G43 D46">
    <cfRule type="aboveAverage" dxfId="2302" priority="558"/>
  </conditionalFormatting>
  <conditionalFormatting sqref="F44 E45">
    <cfRule type="aboveAverage" dxfId="2301" priority="557"/>
  </conditionalFormatting>
  <conditionalFormatting sqref="G44 E46">
    <cfRule type="aboveAverage" dxfId="2300" priority="556"/>
  </conditionalFormatting>
  <conditionalFormatting sqref="F46 G45">
    <cfRule type="aboveAverage" dxfId="2299" priority="555"/>
  </conditionalFormatting>
  <conditionalFormatting sqref="H14:H18">
    <cfRule type="expression" dxfId="2298" priority="501">
      <formula>AND(Q14=4,IF(COUNTIF(Q$14:Q$18,"=4")&gt;=2,TRUE))</formula>
    </cfRule>
    <cfRule type="expression" dxfId="2297" priority="615">
      <formula>AND(Q14=3,IF(COUNTIF(Q$14:Q$18,"=3")&gt;=2,TRUE))</formula>
    </cfRule>
    <cfRule type="expression" dxfId="2296" priority="616">
      <formula>AND(Q14=2,IF(COUNTIF(Q$14:Q$18,"=2")&gt;=2,TRUE))</formula>
    </cfRule>
    <cfRule type="expression" dxfId="2295" priority="617">
      <formula>AND(Q14=1,IF(COUNTIF(Q$14:Q$18,"=1")&gt;=2,TRUE))</formula>
    </cfRule>
  </conditionalFormatting>
  <conditionalFormatting sqref="B7:B47">
    <cfRule type="duplicateValues" dxfId="2294" priority="554"/>
  </conditionalFormatting>
  <conditionalFormatting sqref="L7:L11">
    <cfRule type="expression" dxfId="2293" priority="537">
      <formula>K7=0</formula>
    </cfRule>
    <cfRule type="expression" dxfId="2292" priority="546">
      <formula>IF(COUNTIF(J$7:J$11,"=2")=2,TRUE)</formula>
    </cfRule>
    <cfRule type="expression" dxfId="2291" priority="547">
      <formula>IF(COUNTIF(J$7:J$11,"=1")=2,TRUE)</formula>
    </cfRule>
    <cfRule type="expression" dxfId="2290" priority="548">
      <formula>AND(IF(COUNTIF(Q$7:Q$11,"=1")=2,TRUE),IF(COUNTIF(Q$7:Q$11,"=2")=2,TRUE))</formula>
    </cfRule>
    <cfRule type="expression" dxfId="2289" priority="549">
      <formula>AND(Q7=4,IF(COUNTIF(Q$7:Q$11,"=4")=1,TRUE))</formula>
    </cfRule>
    <cfRule type="expression" dxfId="2288" priority="550">
      <formula>AND(Q7=3,IF(COUNTIF(Q$7:Q$11,"=3")=1,TRUE))</formula>
    </cfRule>
    <cfRule type="expression" dxfId="2287" priority="551">
      <formula>AND(Q7=2,IF(COUNTIF(Q$7:Q$11,"=2")=1,TRUE))</formula>
    </cfRule>
    <cfRule type="expression" dxfId="2286" priority="552">
      <formula>AND(Q7=1,IF(COUNTIF(Q$7:Q$11,"=1")=1,TRUE))</formula>
    </cfRule>
    <cfRule type="expression" dxfId="2285" priority="553">
      <formula>OR(Q7=0,Q7=5)</formula>
    </cfRule>
  </conditionalFormatting>
  <conditionalFormatting sqref="O7:O11">
    <cfRule type="expression" dxfId="2284" priority="545">
      <formula>OR(AND(J7=1,K7=1,L7=0,M7=1),AND(J7=2,K7=2,L7=0,M7=2))</formula>
    </cfRule>
  </conditionalFormatting>
  <conditionalFormatting sqref="M7:M11">
    <cfRule type="expression" dxfId="2283" priority="538">
      <formula>AND(L7&gt;0,IF(COUNTIF(L$7:L$11,L7)&gt;1,TRUE,FALSE))</formula>
    </cfRule>
    <cfRule type="expression" dxfId="2282" priority="539">
      <formula>AND(IF(COUNTIF(R$7:R$11,"=1")=2,TRUE),IF(COUNTIF(R$7:R$11,"=2")=2,TRUE))</formula>
    </cfRule>
    <cfRule type="expression" dxfId="2281" priority="540">
      <formula>AND(R7=4,IF(COUNTIF(R$7:R$11,"=4")=1,TRUE))</formula>
    </cfRule>
    <cfRule type="expression" dxfId="2280" priority="541">
      <formula>AND(R7=3,IF(COUNTIF(R$7:R$11,"=3")=1,TRUE))</formula>
    </cfRule>
    <cfRule type="expression" dxfId="2279" priority="542">
      <formula>AND(R7=2,IF(COUNTIF(R$7:R$11,"=2")=1,TRUE))</formula>
    </cfRule>
    <cfRule type="expression" dxfId="2278" priority="543">
      <formula>AND(R7=1,IF(COUNTIF(R$7:R$11,"=1")=1,TRUE))</formula>
    </cfRule>
    <cfRule type="expression" dxfId="2277" priority="544">
      <formula>OR(R7=0,R7=5)</formula>
    </cfRule>
  </conditionalFormatting>
  <conditionalFormatting sqref="J7:J11">
    <cfRule type="expression" dxfId="2276" priority="533">
      <formula>AND(Q7=4,IF(COUNTIF(Q$7:Q$11,"=4")&gt;=2,TRUE))</formula>
    </cfRule>
    <cfRule type="expression" dxfId="2275" priority="534">
      <formula>AND(Q7=3,IF(COUNTIF(Q$7:Q$11,"=3")&gt;=2,TRUE))</formula>
    </cfRule>
    <cfRule type="expression" dxfId="2274" priority="535">
      <formula>AND(Q7=2,IF(COUNTIF(Q$7:Q$11,"=2")&gt;=2,TRUE))</formula>
    </cfRule>
    <cfRule type="expression" dxfId="2273" priority="536">
      <formula>AND(Q7=1,IF(COUNTIF(Q$7:Q$11,"=1")&gt;=2,TRUE))</formula>
    </cfRule>
  </conditionalFormatting>
  <conditionalFormatting sqref="H7:H11">
    <cfRule type="expression" dxfId="2272" priority="502">
      <formula>AND(Q7=4,IF(COUNTIF(Q$7:Q$11,"=4")&gt;=2,TRUE))</formula>
    </cfRule>
    <cfRule type="expression" dxfId="2271" priority="618">
      <formula>AND(Q7=3,IF(COUNTIF(Q$7:Q$11,"=3")&gt;=2,TRUE))</formula>
    </cfRule>
    <cfRule type="expression" dxfId="2270" priority="619">
      <formula>AND(Q7=2,IF(COUNTIF(Q$7:Q$11,"=2")&gt;=2,TRUE))</formula>
    </cfRule>
    <cfRule type="expression" dxfId="2269" priority="620">
      <formula>AND(Q7=1,IF(COUNTIF(Q$7:Q$11,"=1")&gt;=2,TRUE))</formula>
    </cfRule>
  </conditionalFormatting>
  <conditionalFormatting sqref="K7:K11">
    <cfRule type="expression" dxfId="2268" priority="621">
      <formula>AND(J7&gt;0,IF(COUNTIF(J$7:J$11,"=1")=2,TRUE),IF(COUNTIF(J$7:J$11,"=2")=2,TRUE))</formula>
    </cfRule>
    <cfRule type="expression" dxfId="2267" priority="622">
      <formula>IF(COUNTIF(L$7:L$11,"=2")=2,TRUE)</formula>
    </cfRule>
    <cfRule type="expression" dxfId="2266" priority="623">
      <formula>IF(COUNTIF(L$7:L$11,"=1")=2,TRUE)</formula>
    </cfRule>
    <cfRule type="expression" dxfId="2265" priority="624">
      <formula>AND(IF(COUNTIF(R$7:R$11,"=1")=2,TRUE),IF(COUNTIF(S$7:S$11,"=2")=2,TRUE))</formula>
    </cfRule>
    <cfRule type="expression" dxfId="2264" priority="625">
      <formula>AND(R7=4,IF(COUNTIF(R$7:R$11,"=4")=1,TRUE))</formula>
    </cfRule>
    <cfRule type="expression" dxfId="2263" priority="626">
      <formula>AND(R7=3,IF(COUNTIF(R$7:R$11,"=3")=1,TRUE))</formula>
    </cfRule>
    <cfRule type="expression" dxfId="2262" priority="627">
      <formula>AND(R7=2,IF(COUNTIF(R$7:R$11,"=2")=1,TRUE))</formula>
    </cfRule>
    <cfRule type="expression" dxfId="2261" priority="628">
      <formula>AND(R7=1,IF(COUNTIF(R$7:R$11,"=1")=1,TRUE))</formula>
    </cfRule>
    <cfRule type="expression" dxfId="2260" priority="629">
      <formula>OR(R7=0,R7=5)</formula>
    </cfRule>
  </conditionalFormatting>
  <conditionalFormatting sqref="L14:L18">
    <cfRule type="expression" dxfId="2259" priority="507">
      <formula>K14=0</formula>
    </cfRule>
    <cfRule type="expression" dxfId="2258" priority="516">
      <formula>IF(COUNTIF(J$14:J$18,"=2")=2,TRUE)</formula>
    </cfRule>
    <cfRule type="expression" dxfId="2257" priority="517">
      <formula>IF(COUNTIF(J$14:J$18,"=1")=2,TRUE)</formula>
    </cfRule>
    <cfRule type="expression" dxfId="2256" priority="518">
      <formula>AND(IF(COUNTIF(Q$14:Q$18,"=1")=2,TRUE),IF(COUNTIF(Q$14:Q$18,"=2")=2,TRUE))</formula>
    </cfRule>
    <cfRule type="expression" dxfId="2255" priority="519">
      <formula>AND(Q14=4,IF(COUNTIF(Q$14:Q$18,"=4")=1,TRUE))</formula>
    </cfRule>
    <cfRule type="expression" dxfId="2254" priority="520">
      <formula>AND(Q14=3,IF(COUNTIF(Q$14:Q$18,"=3")=1,TRUE))</formula>
    </cfRule>
    <cfRule type="expression" dxfId="2253" priority="521">
      <formula>AND(Q14=2,IF(COUNTIF(Q$14:Q$18,"=2")=1,TRUE))</formula>
    </cfRule>
    <cfRule type="expression" dxfId="2252" priority="522">
      <formula>AND(Q14=1,IF(COUNTIF(Q$14:Q$18,"=1")=1,TRUE))</formula>
    </cfRule>
    <cfRule type="expression" dxfId="2251" priority="523">
      <formula>OR(Q14=0,Q14=5)</formula>
    </cfRule>
  </conditionalFormatting>
  <conditionalFormatting sqref="O14:O18">
    <cfRule type="expression" dxfId="2250" priority="515">
      <formula>OR(AND(J14=1,K14=1,L14=0,M14=1),AND(J14=2,K14=2,L14=0,M14=2))</formula>
    </cfRule>
  </conditionalFormatting>
  <conditionalFormatting sqref="M14:M18">
    <cfRule type="expression" dxfId="2249" priority="508">
      <formula>AND(L14&gt;0,IF(COUNTIF(L$14:L$18,L14)&gt;1,TRUE,FALSE))</formula>
    </cfRule>
    <cfRule type="expression" dxfId="2248" priority="509">
      <formula>AND(IF(COUNTIF(R$14:R$18,"=1")=2,TRUE),IF(COUNTIF(R$14:R$18,"=2")=2,TRUE))</formula>
    </cfRule>
    <cfRule type="expression" dxfId="2247" priority="510">
      <formula>AND(R14=4,IF(COUNTIF(R$14:R$18,"=4")=1,TRUE))</formula>
    </cfRule>
    <cfRule type="expression" dxfId="2246" priority="511">
      <formula>AND(R14=3,IF(COUNTIF(R$14:R$18,"=3")=1,TRUE))</formula>
    </cfRule>
    <cfRule type="expression" dxfId="2245" priority="512">
      <formula>AND(R14=2,IF(COUNTIF(R$14:R$18,"=2")=1,TRUE))</formula>
    </cfRule>
    <cfRule type="expression" dxfId="2244" priority="513">
      <formula>AND(R14=1,IF(COUNTIF(R$14:R$18,"=1")=1,TRUE))</formula>
    </cfRule>
    <cfRule type="expression" dxfId="2243" priority="514">
      <formula>OR(R14=0,R14=5)</formula>
    </cfRule>
  </conditionalFormatting>
  <conditionalFormatting sqref="J14:J18">
    <cfRule type="expression" dxfId="2242" priority="503">
      <formula>AND(Q14=4,IF(COUNTIF(Q$14:Q$18,"=4")&gt;=2,TRUE))</formula>
    </cfRule>
    <cfRule type="expression" dxfId="2241" priority="504">
      <formula>AND(Q14=3,IF(COUNTIF(Q$14:Q$18,"=3")&gt;=2,TRUE))</formula>
    </cfRule>
    <cfRule type="expression" dxfId="2240" priority="505">
      <formula>AND(Q14=2,IF(COUNTIF(Q$14:Q$18,"=2")&gt;=2,TRUE))</formula>
    </cfRule>
    <cfRule type="expression" dxfId="2239" priority="506">
      <formula>AND(Q14=1,IF(COUNTIF(Q$14:Q$18,"=1")&gt;=2,TRUE))</formula>
    </cfRule>
  </conditionalFormatting>
  <conditionalFormatting sqref="K14:K18">
    <cfRule type="expression" dxfId="2238" priority="524">
      <formula>AND(J14&gt;0,IF(COUNTIF(J$14:J$18,"=1")=2,TRUE),IF(COUNTIF(J$14:J$18,"=2")=2,TRUE))</formula>
    </cfRule>
    <cfRule type="expression" dxfId="2237" priority="525">
      <formula>IF(COUNTIF(L$14:L$18,"=2")=2,TRUE)</formula>
    </cfRule>
    <cfRule type="expression" dxfId="2236" priority="526">
      <formula>IF(COUNTIF(L$14:L$18,"=1")=2,TRUE)</formula>
    </cfRule>
    <cfRule type="expression" dxfId="2235" priority="527">
      <formula>AND(IF(COUNTIF(R$14:R$18,"=1")=2,TRUE),IF(COUNTIF(S$14:S$18,"=2")=2,TRUE))</formula>
    </cfRule>
    <cfRule type="expression" dxfId="2234" priority="528">
      <formula>AND(R14=4,IF(COUNTIF(R$14:R$18,"=4")=1,TRUE))</formula>
    </cfRule>
    <cfRule type="expression" dxfId="2233" priority="529">
      <formula>AND(R14=3,IF(COUNTIF(R$14:R$18,"=3")=1,TRUE))</formula>
    </cfRule>
    <cfRule type="expression" dxfId="2232" priority="530">
      <formula>AND(R14=2,IF(COUNTIF(R$14:R$18,"=2")=1,TRUE))</formula>
    </cfRule>
    <cfRule type="expression" dxfId="2231" priority="531">
      <formula>AND(R14=1,IF(COUNTIF(R$14:R$18,"=1")=1,TRUE))</formula>
    </cfRule>
    <cfRule type="expression" dxfId="2230" priority="532">
      <formula>OR(R14=0,R14=5)</formula>
    </cfRule>
  </conditionalFormatting>
  <conditionalFormatting sqref="L21:L25">
    <cfRule type="expression" dxfId="2229" priority="475">
      <formula>K21=0</formula>
    </cfRule>
    <cfRule type="expression" dxfId="2228" priority="484">
      <formula>IF(COUNTIF(J$21:J$25,"=2")=2,TRUE)</formula>
    </cfRule>
    <cfRule type="expression" dxfId="2227" priority="485">
      <formula>IF(COUNTIF(J$21:J$25,"=1")=2,TRUE)</formula>
    </cfRule>
    <cfRule type="expression" dxfId="2226" priority="486">
      <formula>AND(IF(COUNTIF(Q$21:Q$25,"=1")=2,TRUE),IF(COUNTIF(Q$21:Q$25,"=2")=2,TRUE))</formula>
    </cfRule>
    <cfRule type="expression" dxfId="2225" priority="487">
      <formula>AND(Q21=4,IF(COUNTIF(Q$21:Q$25,"=4")=1,TRUE))</formula>
    </cfRule>
    <cfRule type="expression" dxfId="2224" priority="488">
      <formula>AND(Q21=3,IF(COUNTIF(Q$21:Q$25,"=3")=1,TRUE))</formula>
    </cfRule>
    <cfRule type="expression" dxfId="2223" priority="489">
      <formula>AND(Q21=2,IF(COUNTIF(Q$21:Q$25,"=2")=1,TRUE))</formula>
    </cfRule>
    <cfRule type="expression" dxfId="2222" priority="490">
      <formula>AND(Q21=1,IF(COUNTIF(Q$21:Q$25,"=1")=1,TRUE))</formula>
    </cfRule>
    <cfRule type="expression" dxfId="2221" priority="491">
      <formula>OR(Q21=0,Q21=5)</formula>
    </cfRule>
  </conditionalFormatting>
  <conditionalFormatting sqref="O21:O25">
    <cfRule type="expression" dxfId="2220" priority="483">
      <formula>OR(AND(J21=1,K21=1,L21=0,M21=1),AND(J21=2,K21=2,L21=0,M21=2))</formula>
    </cfRule>
  </conditionalFormatting>
  <conditionalFormatting sqref="M21:M25">
    <cfRule type="expression" dxfId="2219" priority="476">
      <formula>AND(L21&gt;0,IF(COUNTIF(L$21:L$25,L21)&gt;1,TRUE,FALSE))</formula>
    </cfRule>
    <cfRule type="expression" dxfId="2218" priority="477">
      <formula>AND(IF(COUNTIF(R$21:R$25,"=1")=2,TRUE),IF(COUNTIF(R$21:R$25,"=2")=2,TRUE))</formula>
    </cfRule>
    <cfRule type="expression" dxfId="2217" priority="478">
      <formula>AND(R21=4,IF(COUNTIF(R$21:R$25,"=4")=1,TRUE))</formula>
    </cfRule>
    <cfRule type="expression" dxfId="2216" priority="479">
      <formula>AND(R21=3,IF(COUNTIF(R$21:R$25,"=3")=1,TRUE))</formula>
    </cfRule>
    <cfRule type="expression" dxfId="2215" priority="480">
      <formula>AND(R21=2,IF(COUNTIF(R$21:R$25,"=2")=1,TRUE))</formula>
    </cfRule>
    <cfRule type="expression" dxfId="2214" priority="481">
      <formula>AND(R21=1,IF(COUNTIF(R$21:R$25,"=1")=1,TRUE))</formula>
    </cfRule>
    <cfRule type="expression" dxfId="2213" priority="482">
      <formula>OR(R21=0,R21=5)</formula>
    </cfRule>
  </conditionalFormatting>
  <conditionalFormatting sqref="J21:J25">
    <cfRule type="expression" dxfId="2212" priority="471">
      <formula>AND(Q21=4,IF(COUNTIF(Q$21:Q$25,"=4")&gt;=2,TRUE))</formula>
    </cfRule>
    <cfRule type="expression" dxfId="2211" priority="472">
      <formula>AND(Q21=3,IF(COUNTIF(Q$21:Q$25,"=3")&gt;=2,TRUE))</formula>
    </cfRule>
    <cfRule type="expression" dxfId="2210" priority="473">
      <formula>AND(Q21=2,IF(COUNTIF(Q$21:Q$25,"=2")&gt;=2,TRUE))</formula>
    </cfRule>
    <cfRule type="expression" dxfId="2209" priority="474">
      <formula>AND(Q21=1,IF(COUNTIF(Q$21:Q$25,"=1")&gt;=2,TRUE))</formula>
    </cfRule>
  </conditionalFormatting>
  <conditionalFormatting sqref="K21:K25">
    <cfRule type="expression" dxfId="2208" priority="492">
      <formula>AND(J21&gt;0,IF(COUNTIF(J$21:J$25,"=1")=2,TRUE),IF(COUNTIF(J$21:J$25,"=2")=2,TRUE))</formula>
    </cfRule>
    <cfRule type="expression" dxfId="2207" priority="493">
      <formula>IF(COUNTIF(L$21:L$25,"=2")=2,TRUE)</formula>
    </cfRule>
    <cfRule type="expression" dxfId="2206" priority="494">
      <formula>IF(COUNTIF(L$21:L$25,"=1")=2,TRUE)</formula>
    </cfRule>
    <cfRule type="expression" dxfId="2205" priority="495">
      <formula>AND(IF(COUNTIF(R$21:R$25,"=1")=2,TRUE),IF(COUNTIF(S$21:S$25,"=2")=2,TRUE))</formula>
    </cfRule>
    <cfRule type="expression" dxfId="2204" priority="496">
      <formula>AND(R21=4,IF(COUNTIF(R$21:R$25,"=4")=1,TRUE))</formula>
    </cfRule>
    <cfRule type="expression" dxfId="2203" priority="497">
      <formula>AND(R21=3,IF(COUNTIF(R$21:R$25,"=3")=1,TRUE))</formula>
    </cfRule>
    <cfRule type="expression" dxfId="2202" priority="498">
      <formula>AND(R21=2,IF(COUNTIF(R$21:R$25,"=2")=1,TRUE))</formula>
    </cfRule>
    <cfRule type="expression" dxfId="2201" priority="499">
      <formula>AND(R21=1,IF(COUNTIF(R$21:R$25,"=1")=1,TRUE))</formula>
    </cfRule>
    <cfRule type="expression" dxfId="2200" priority="500">
      <formula>OR(R21=0,R21=5)</formula>
    </cfRule>
  </conditionalFormatting>
  <conditionalFormatting sqref="H21:H25">
    <cfRule type="expression" dxfId="2199" priority="467">
      <formula>AND(Q21=4,IF(COUNTIF(Q$21:Q$25,"=4")&gt;=2,TRUE))</formula>
    </cfRule>
    <cfRule type="expression" dxfId="2198" priority="468">
      <formula>AND(Q21=3,IF(COUNTIF(Q$21:Q$25,"=3")&gt;=2,TRUE))</formula>
    </cfRule>
    <cfRule type="expression" dxfId="2197" priority="469">
      <formula>AND(Q21=2,IF(COUNTIF(Q$21:Q$25,"=2")&gt;=2,TRUE))</formula>
    </cfRule>
    <cfRule type="expression" dxfId="2196" priority="470">
      <formula>AND(Q21=1,IF(COUNTIF(Q$21:Q$25,"=1")&gt;=2,TRUE))</formula>
    </cfRule>
  </conditionalFormatting>
  <conditionalFormatting sqref="L28:L32">
    <cfRule type="expression" dxfId="2195" priority="441">
      <formula>K28=0</formula>
    </cfRule>
    <cfRule type="expression" dxfId="2194" priority="450">
      <formula>IF(COUNTIF(J$28:J$32,"=2")=2,TRUE)</formula>
    </cfRule>
    <cfRule type="expression" dxfId="2193" priority="451">
      <formula>IF(COUNTIF(J$28:J$32,"=1")=2,TRUE)</formula>
    </cfRule>
    <cfRule type="expression" dxfId="2192" priority="452">
      <formula>AND(IF(COUNTIF(Q$28:Q$32,"=1")=2,TRUE),IF(COUNTIF(Q$28:Q$32,"=2")=2,TRUE))</formula>
    </cfRule>
    <cfRule type="expression" dxfId="2191" priority="453">
      <formula>AND(Q28=4,IF(COUNTIF(Q$28:Q$32,"=4")=1,TRUE))</formula>
    </cfRule>
    <cfRule type="expression" dxfId="2190" priority="454">
      <formula>AND(Q28=3,IF(COUNTIF(Q$28:Q$32,"=3")=1,TRUE))</formula>
    </cfRule>
    <cfRule type="expression" dxfId="2189" priority="455">
      <formula>AND(Q28=2,IF(COUNTIF(Q$28:Q$32,"=2")=1,TRUE))</formula>
    </cfRule>
    <cfRule type="expression" dxfId="2188" priority="456">
      <formula>AND(Q28=1,IF(COUNTIF(Q$28:Q$32,"=1")=1,TRUE))</formula>
    </cfRule>
    <cfRule type="expression" dxfId="2187" priority="457">
      <formula>OR(Q28=0,Q28=5)</formula>
    </cfRule>
  </conditionalFormatting>
  <conditionalFormatting sqref="O28:O32">
    <cfRule type="expression" dxfId="2186" priority="449">
      <formula>OR(AND(J28=1,K28=1,L28=0,M28=1),AND(J28=2,K28=2,L28=0,M28=2))</formula>
    </cfRule>
  </conditionalFormatting>
  <conditionalFormatting sqref="M28:M32">
    <cfRule type="expression" dxfId="2185" priority="442">
      <formula>AND(L28&gt;0,IF(COUNTIF(L$28:L$32,L28)&gt;1,TRUE,FALSE))</formula>
    </cfRule>
    <cfRule type="expression" dxfId="2184" priority="443">
      <formula>AND(IF(COUNTIF(R$28:R$32,"=1")=2,TRUE),IF(COUNTIF(R$28:R$32,"=2")=2,TRUE))</formula>
    </cfRule>
    <cfRule type="expression" dxfId="2183" priority="444">
      <formula>AND(R28=4,IF(COUNTIF(R$28:R$32,"=4")=1,TRUE))</formula>
    </cfRule>
    <cfRule type="expression" dxfId="2182" priority="445">
      <formula>AND(R28=3,IF(COUNTIF(R$28:R$32,"=3")=1,TRUE))</formula>
    </cfRule>
    <cfRule type="expression" dxfId="2181" priority="446">
      <formula>AND(R28=2,IF(COUNTIF(R$28:R$32,"=2")=1,TRUE))</formula>
    </cfRule>
    <cfRule type="expression" dxfId="2180" priority="447">
      <formula>AND(R28=1,IF(COUNTIF(R$28:R$32,"=1")=1,TRUE))</formula>
    </cfRule>
    <cfRule type="expression" dxfId="2179" priority="448">
      <formula>OR(R28=0,R28=5)</formula>
    </cfRule>
  </conditionalFormatting>
  <conditionalFormatting sqref="J28:J32">
    <cfRule type="expression" dxfId="2178" priority="437">
      <formula>AND(Q28=4,IF(COUNTIF(Q$28:Q$32,"=4")&gt;=2,TRUE))</formula>
    </cfRule>
    <cfRule type="expression" dxfId="2177" priority="438">
      <formula>AND(Q28=3,IF(COUNTIF(Q$28:Q$32,"=3")&gt;=2,TRUE))</formula>
    </cfRule>
    <cfRule type="expression" dxfId="2176" priority="439">
      <formula>AND(Q28=2,IF(COUNTIF(Q$28:Q$32,"=2")&gt;=2,TRUE))</formula>
    </cfRule>
    <cfRule type="expression" dxfId="2175" priority="440">
      <formula>AND(Q28=1,IF(COUNTIF(Q$28:Q$32,"=1")&gt;=2,TRUE))</formula>
    </cfRule>
  </conditionalFormatting>
  <conditionalFormatting sqref="K28:K32">
    <cfRule type="expression" dxfId="2174" priority="458">
      <formula>AND(J28&gt;0,IF(COUNTIF(J$28:J$32,"=1")=2,TRUE),IF(COUNTIF(J$28:J$32,"=2")=2,TRUE))</formula>
    </cfRule>
    <cfRule type="expression" dxfId="2173" priority="459">
      <formula>IF(COUNTIF(L$28:L$32,"=2")=2,TRUE)</formula>
    </cfRule>
    <cfRule type="expression" dxfId="2172" priority="460">
      <formula>IF(COUNTIF(L$28:L$32,"=1")=2,TRUE)</formula>
    </cfRule>
    <cfRule type="expression" dxfId="2171" priority="461">
      <formula>AND(IF(COUNTIF(R$28:R$32,"=1")=2,TRUE),IF(COUNTIF(S$28:S$32,"=2")=2,TRUE))</formula>
    </cfRule>
    <cfRule type="expression" dxfId="2170" priority="462">
      <formula>AND(R28=4,IF(COUNTIF(R$28:R$32,"=4")=1,TRUE))</formula>
    </cfRule>
    <cfRule type="expression" dxfId="2169" priority="463">
      <formula>AND(R28=3,IF(COUNTIF(R$28:R$32,"=3")=1,TRUE))</formula>
    </cfRule>
    <cfRule type="expression" dxfId="2168" priority="464">
      <formula>AND(R28=2,IF(COUNTIF(R$28:R$32,"=2")=1,TRUE))</formula>
    </cfRule>
    <cfRule type="expression" dxfId="2167" priority="465">
      <formula>AND(R28=1,IF(COUNTIF(R$28:R$32,"=1")=1,TRUE))</formula>
    </cfRule>
    <cfRule type="expression" dxfId="2166" priority="466">
      <formula>OR(R28=0,R28=5)</formula>
    </cfRule>
  </conditionalFormatting>
  <conditionalFormatting sqref="H28:H32">
    <cfRule type="expression" dxfId="2165" priority="433">
      <formula>AND(Q28=4,IF(COUNTIF(Q$28:Q$32,"=4")&gt;=2,TRUE))</formula>
    </cfRule>
    <cfRule type="expression" dxfId="2164" priority="434">
      <formula>AND(Q28=3,IF(COUNTIF(Q$28:Q$32,"=3")&gt;=2,TRUE))</formula>
    </cfRule>
    <cfRule type="expression" dxfId="2163" priority="435">
      <formula>AND(Q28=2,IF(COUNTIF(Q$28:Q$32,"=2")&gt;=2,TRUE))</formula>
    </cfRule>
    <cfRule type="expression" dxfId="2162" priority="436">
      <formula>AND(Q28=1,IF(COUNTIF(Q$28:Q$32,"=1")&gt;=2,TRUE))</formula>
    </cfRule>
  </conditionalFormatting>
  <conditionalFormatting sqref="L35:L39">
    <cfRule type="expression" dxfId="2161" priority="407">
      <formula>K35=0</formula>
    </cfRule>
    <cfRule type="expression" dxfId="2160" priority="416">
      <formula>IF(COUNTIF(J$35:J$39,"=2")=2,TRUE)</formula>
    </cfRule>
    <cfRule type="expression" dxfId="2159" priority="417">
      <formula>IF(COUNTIF(J$35:J$39,"=1")=2,TRUE)</formula>
    </cfRule>
    <cfRule type="expression" dxfId="2158" priority="418">
      <formula>AND(IF(COUNTIF(Q$35:Q$39,"=1")=2,TRUE),IF(COUNTIF(Q$35:Q$39,"=2")=2,TRUE))</formula>
    </cfRule>
    <cfRule type="expression" dxfId="2157" priority="419">
      <formula>AND(Q35=4,IF(COUNTIF(Q$35:Q$39,"=4")=1,TRUE))</formula>
    </cfRule>
    <cfRule type="expression" dxfId="2156" priority="420">
      <formula>AND(Q35=3,IF(COUNTIF(Q$35:Q$39,"=3")=1,TRUE))</formula>
    </cfRule>
    <cfRule type="expression" dxfId="2155" priority="421">
      <formula>AND(Q35=2,IF(COUNTIF(Q$35:Q$39,"=2")=1,TRUE))</formula>
    </cfRule>
    <cfRule type="expression" dxfId="2154" priority="422">
      <formula>AND(Q35=1,IF(COUNTIF(Q$35:Q$39,"=1")=1,TRUE))</formula>
    </cfRule>
    <cfRule type="expression" dxfId="2153" priority="423">
      <formula>OR(Q35=0,Q35=5)</formula>
    </cfRule>
  </conditionalFormatting>
  <conditionalFormatting sqref="O35:O39">
    <cfRule type="expression" dxfId="2152" priority="415">
      <formula>OR(AND(J35=1,K35=1,L35=0,M35=1),AND(J35=2,K35=2,L35=0,M35=2))</formula>
    </cfRule>
  </conditionalFormatting>
  <conditionalFormatting sqref="M35:M39">
    <cfRule type="expression" dxfId="2151" priority="408">
      <formula>AND(L35&gt;0,IF(COUNTIF(L$35:L$39,L35)&gt;1,TRUE,FALSE))</formula>
    </cfRule>
    <cfRule type="expression" dxfId="2150" priority="409">
      <formula>AND(IF(COUNTIF(R$35:R$39,"=1")=2,TRUE),IF(COUNTIF(R$35:R$39,"=2")=2,TRUE))</formula>
    </cfRule>
    <cfRule type="expression" dxfId="2149" priority="410">
      <formula>AND(R35=4,IF(COUNTIF(R$35:R$39,"=4")=1,TRUE))</formula>
    </cfRule>
    <cfRule type="expression" dxfId="2148" priority="411">
      <formula>AND(R35=3,IF(COUNTIF(R$35:R$39,"=3")=1,TRUE))</formula>
    </cfRule>
    <cfRule type="expression" dxfId="2147" priority="412">
      <formula>AND(R35=2,IF(COUNTIF(R$35:R$39,"=2")=1,TRUE))</formula>
    </cfRule>
    <cfRule type="expression" dxfId="2146" priority="413">
      <formula>AND(R35=1,IF(COUNTIF(R$35:R$39,"=1")=1,TRUE))</formula>
    </cfRule>
    <cfRule type="expression" dxfId="2145" priority="414">
      <formula>OR(R35=0,R35=5)</formula>
    </cfRule>
  </conditionalFormatting>
  <conditionalFormatting sqref="J35:J39">
    <cfRule type="expression" dxfId="2144" priority="403">
      <formula>AND(Q35=4,IF(COUNTIF(Q$35:Q$39,"=4")&gt;=2,TRUE))</formula>
    </cfRule>
    <cfRule type="expression" dxfId="2143" priority="404">
      <formula>AND(Q35=3,IF(COUNTIF(Q$35:Q$39,"=3")&gt;=2,TRUE))</formula>
    </cfRule>
    <cfRule type="expression" dxfId="2142" priority="405">
      <formula>AND(Q35=2,IF(COUNTIF(Q$35:Q$39,"=2")&gt;=2,TRUE))</formula>
    </cfRule>
    <cfRule type="expression" dxfId="2141" priority="406">
      <formula>AND(Q35=1,IF(COUNTIF(Q$35:Q$39,"=1")&gt;=2,TRUE))</formula>
    </cfRule>
  </conditionalFormatting>
  <conditionalFormatting sqref="K35:K39">
    <cfRule type="expression" dxfId="2140" priority="424">
      <formula>AND(J35&gt;0,IF(COUNTIF(J$35:J$39,"=1")=2,TRUE),IF(COUNTIF(J$35:J$39,"=2")=2,TRUE))</formula>
    </cfRule>
    <cfRule type="expression" dxfId="2139" priority="425">
      <formula>IF(COUNTIF(L$35:L$39,"=2")=2,TRUE)</formula>
    </cfRule>
    <cfRule type="expression" dxfId="2138" priority="426">
      <formula>IF(COUNTIF(L$35:L$39,"=1")=2,TRUE)</formula>
    </cfRule>
    <cfRule type="expression" dxfId="2137" priority="427">
      <formula>AND(IF(COUNTIF(R$35:R$39,"=1")=2,TRUE),IF(COUNTIF(S$35:S$39,"=2")=2,TRUE))</formula>
    </cfRule>
    <cfRule type="expression" dxfId="2136" priority="428">
      <formula>AND(R35=4,IF(COUNTIF(R$35:R$39,"=4")=1,TRUE))</formula>
    </cfRule>
    <cfRule type="expression" dxfId="2135" priority="429">
      <formula>AND(R35=3,IF(COUNTIF(R$35:R$39,"=3")=1,TRUE))</formula>
    </cfRule>
    <cfRule type="expression" dxfId="2134" priority="430">
      <formula>AND(R35=2,IF(COUNTIF(R$35:R$39,"=2")=1,TRUE))</formula>
    </cfRule>
    <cfRule type="expression" dxfId="2133" priority="431">
      <formula>AND(R35=1,IF(COUNTIF(R$35:R$39,"=1")=1,TRUE))</formula>
    </cfRule>
    <cfRule type="expression" dxfId="2132" priority="432">
      <formula>OR(R35=0,R35=5)</formula>
    </cfRule>
  </conditionalFormatting>
  <conditionalFormatting sqref="H35:H39">
    <cfRule type="expression" dxfId="2131" priority="399">
      <formula>AND(Q35=4,IF(COUNTIF(Q$35:Q$39,"=4")&gt;=2,TRUE))</formula>
    </cfRule>
    <cfRule type="expression" dxfId="2130" priority="400">
      <formula>AND(Q35=3,IF(COUNTIF(Q$35:Q$39,"=3")&gt;=2,TRUE))</formula>
    </cfRule>
    <cfRule type="expression" dxfId="2129" priority="401">
      <formula>AND(Q35=2,IF(COUNTIF(Q$35:Q$39,"=2")&gt;=2,TRUE))</formula>
    </cfRule>
    <cfRule type="expression" dxfId="2128" priority="402">
      <formula>AND(Q35=1,IF(COUNTIF(Q$35:Q$39,"=1")&gt;=2,TRUE))</formula>
    </cfRule>
  </conditionalFormatting>
  <conditionalFormatting sqref="L42:L46">
    <cfRule type="expression" dxfId="2127" priority="373">
      <formula>K42=0</formula>
    </cfRule>
    <cfRule type="expression" dxfId="2126" priority="382">
      <formula>IF(COUNTIF(J$42:J$46,"=2")=2,TRUE)</formula>
    </cfRule>
    <cfRule type="expression" dxfId="2125" priority="383">
      <formula>IF(COUNTIF(J$42:J$46,"=1")=2,TRUE)</formula>
    </cfRule>
    <cfRule type="expression" dxfId="2124" priority="384">
      <formula>AND(IF(COUNTIF(Q$42:Q$46,"=1")=2,TRUE),IF(COUNTIF(Q$42:Q$46,"=2")=2,TRUE))</formula>
    </cfRule>
    <cfRule type="expression" dxfId="2123" priority="385">
      <formula>AND(Q42=4,IF(COUNTIF(Q$42:Q$46,"=4")=1,TRUE))</formula>
    </cfRule>
    <cfRule type="expression" dxfId="2122" priority="386">
      <formula>AND(Q42=3,IF(COUNTIF(Q$42:Q$46,"=3")=1,TRUE))</formula>
    </cfRule>
    <cfRule type="expression" dxfId="2121" priority="387">
      <formula>AND(Q42=2,IF(COUNTIF(Q$42:Q$46,"=2")=1,TRUE))</formula>
    </cfRule>
    <cfRule type="expression" dxfId="2120" priority="388">
      <formula>AND(Q42=1,IF(COUNTIF(Q$42:Q$46,"=1")=1,TRUE))</formula>
    </cfRule>
    <cfRule type="expression" dxfId="2119" priority="389">
      <formula>OR(Q42=0,Q42=5)</formula>
    </cfRule>
  </conditionalFormatting>
  <conditionalFormatting sqref="O42:O46">
    <cfRule type="expression" dxfId="2118" priority="381">
      <formula>OR(AND(J42=1,K42=1,L42=0,M42=1),AND(J42=2,K42=2,L42=0,M42=2))</formula>
    </cfRule>
  </conditionalFormatting>
  <conditionalFormatting sqref="M42:M46">
    <cfRule type="expression" dxfId="2117" priority="374">
      <formula>AND(L42&gt;0,IF(COUNTIF(L$42:L$46,L42)&gt;1,TRUE,FALSE))</formula>
    </cfRule>
    <cfRule type="expression" dxfId="2116" priority="375">
      <formula>AND(IF(COUNTIF(R$42:R$46,"=1")=2,TRUE),IF(COUNTIF(R$42:R$46,"=2")=2,TRUE))</formula>
    </cfRule>
    <cfRule type="expression" dxfId="2115" priority="376">
      <formula>AND(R42=4,IF(COUNTIF(R$42:R$46,"=4")=1,TRUE))</formula>
    </cfRule>
    <cfRule type="expression" dxfId="2114" priority="377">
      <formula>AND(R42=3,IF(COUNTIF(R$42:R$46,"=3")=1,TRUE))</formula>
    </cfRule>
    <cfRule type="expression" dxfId="2113" priority="378">
      <formula>AND(R42=2,IF(COUNTIF(R$42:R$46,"=2")=1,TRUE))</formula>
    </cfRule>
    <cfRule type="expression" dxfId="2112" priority="379">
      <formula>AND(R42=1,IF(COUNTIF(R$42:R$46,"=1")=1,TRUE))</formula>
    </cfRule>
    <cfRule type="expression" dxfId="2111" priority="380">
      <formula>OR(R42=0,R42=5)</formula>
    </cfRule>
  </conditionalFormatting>
  <conditionalFormatting sqref="J42:J46">
    <cfRule type="expression" dxfId="2110" priority="369">
      <formula>AND(Q42=4,IF(COUNTIF(Q$42:Q$46,"=4")&gt;=2,TRUE))</formula>
    </cfRule>
    <cfRule type="expression" dxfId="2109" priority="370">
      <formula>AND(Q42=3,IF(COUNTIF(Q$42:Q$46,"=3")&gt;=2,TRUE))</formula>
    </cfRule>
    <cfRule type="expression" dxfId="2108" priority="371">
      <formula>AND(Q42=2,IF(COUNTIF(Q$42:Q$46,"=2")&gt;=2,TRUE))</formula>
    </cfRule>
    <cfRule type="expression" dxfId="2107" priority="372">
      <formula>AND(Q42=1,IF(COUNTIF(Q$42:Q$46,"=1")&gt;=2,TRUE))</formula>
    </cfRule>
  </conditionalFormatting>
  <conditionalFormatting sqref="K42:K46">
    <cfRule type="expression" dxfId="2106" priority="390">
      <formula>AND(J42&gt;0,IF(COUNTIF(J$42:J$46,"=1")=2,TRUE),IF(COUNTIF(J$42:J$46,"=2")=2,TRUE))</formula>
    </cfRule>
    <cfRule type="expression" dxfId="2105" priority="391">
      <formula>IF(COUNTIF(L$42:L$46,"=2")=2,TRUE)</formula>
    </cfRule>
    <cfRule type="expression" dxfId="2104" priority="392">
      <formula>IF(COUNTIF(L$42:L$46,"=1")=2,TRUE)</formula>
    </cfRule>
    <cfRule type="expression" dxfId="2103" priority="393">
      <formula>AND(IF(COUNTIF(R$42:R$46,"=1")=2,TRUE),IF(COUNTIF(S$42:S$46,"=2")=2,TRUE))</formula>
    </cfRule>
    <cfRule type="expression" dxfId="2102" priority="394">
      <formula>AND(R42=4,IF(COUNTIF(R$42:R$46,"=4")=1,TRUE))</formula>
    </cfRule>
    <cfRule type="expression" dxfId="2101" priority="395">
      <formula>AND(R42=3,IF(COUNTIF(R$42:R$46,"=3")=1,TRUE))</formula>
    </cfRule>
    <cfRule type="expression" dxfId="2100" priority="396">
      <formula>AND(R42=2,IF(COUNTIF(R$42:R$46,"=2")=1,TRUE))</formula>
    </cfRule>
    <cfRule type="expression" dxfId="2099" priority="397">
      <formula>AND(R42=1,IF(COUNTIF(R$42:R$46,"=1")=1,TRUE))</formula>
    </cfRule>
    <cfRule type="expression" dxfId="2098" priority="398">
      <formula>OR(R42=0,R42=5)</formula>
    </cfRule>
  </conditionalFormatting>
  <conditionalFormatting sqref="H42:H46">
    <cfRule type="expression" dxfId="2097" priority="365">
      <formula>AND(Q42=4,IF(COUNTIF(Q$42:Q$46,"=4")&gt;=2,TRUE))</formula>
    </cfRule>
    <cfRule type="expression" dxfId="2096" priority="366">
      <formula>AND(Q42=3,IF(COUNTIF(Q$42:Q$46,"=3")&gt;=2,TRUE))</formula>
    </cfRule>
    <cfRule type="expression" dxfId="2095" priority="367">
      <formula>AND(Q42=2,IF(COUNTIF(Q$42:Q$46,"=2")&gt;=2,TRUE))</formula>
    </cfRule>
    <cfRule type="expression" dxfId="2094" priority="368">
      <formula>AND(Q42=1,IF(COUNTIF(Q$42:Q$46,"=1")&gt;=2,TRUE))</formula>
    </cfRule>
  </conditionalFormatting>
  <conditionalFormatting sqref="G179 G181">
    <cfRule type="containsBlanks" dxfId="2093" priority="350">
      <formula>LEN(TRIM(G179))=0</formula>
    </cfRule>
  </conditionalFormatting>
  <conditionalFormatting sqref="A102:A132">
    <cfRule type="cellIs" priority="343" stopIfTrue="1" operator="equal">
      <formula>"-"</formula>
    </cfRule>
    <cfRule type="duplicateValues" dxfId="2092" priority="364"/>
  </conditionalFormatting>
  <conditionalFormatting sqref="C102 C104">
    <cfRule type="aboveAverage" dxfId="2091" priority="363"/>
  </conditionalFormatting>
  <conditionalFormatting sqref="C102 C104">
    <cfRule type="containsBlanks" dxfId="2090" priority="362">
      <formula>LEN(TRIM(C102))=0</formula>
    </cfRule>
  </conditionalFormatting>
  <conditionalFormatting sqref="E157 E159">
    <cfRule type="aboveAverage" dxfId="2089" priority="361"/>
  </conditionalFormatting>
  <conditionalFormatting sqref="E157 E159">
    <cfRule type="containsBlanks" dxfId="2088" priority="360">
      <formula>LEN(TRIM(E157))=0</formula>
    </cfRule>
  </conditionalFormatting>
  <conditionalFormatting sqref="G183 G185">
    <cfRule type="containsBlanks" dxfId="2087" priority="348">
      <formula>LEN(TRIM(G183))=0</formula>
    </cfRule>
  </conditionalFormatting>
  <conditionalFormatting sqref="I187 I189">
    <cfRule type="containsBlanks" dxfId="2086" priority="346">
      <formula>LEN(TRIM(I187))=0</formula>
    </cfRule>
  </conditionalFormatting>
  <conditionalFormatting sqref="E161 E163">
    <cfRule type="aboveAverage" dxfId="2085" priority="359"/>
  </conditionalFormatting>
  <conditionalFormatting sqref="E161 E163">
    <cfRule type="containsBlanks" dxfId="2084" priority="358">
      <formula>LEN(TRIM(E161))=0</formula>
    </cfRule>
  </conditionalFormatting>
  <conditionalFormatting sqref="E165 E167">
    <cfRule type="aboveAverage" dxfId="2083" priority="357"/>
  </conditionalFormatting>
  <conditionalFormatting sqref="E165 E167">
    <cfRule type="containsBlanks" dxfId="2082" priority="356">
      <formula>LEN(TRIM(E165))=0</formula>
    </cfRule>
  </conditionalFormatting>
  <conditionalFormatting sqref="E169 E171">
    <cfRule type="aboveAverage" dxfId="2081" priority="355"/>
  </conditionalFormatting>
  <conditionalFormatting sqref="E169 E171">
    <cfRule type="containsBlanks" dxfId="2080" priority="354">
      <formula>LEN(TRIM(E169))=0</formula>
    </cfRule>
  </conditionalFormatting>
  <conditionalFormatting sqref="I180 I184">
    <cfRule type="containsBlanks" dxfId="2079" priority="352">
      <formula>LEN(TRIM(I180))=0</formula>
    </cfRule>
    <cfRule type="aboveAverage" dxfId="2078" priority="353"/>
  </conditionalFormatting>
  <conditionalFormatting sqref="G179 G181">
    <cfRule type="aboveAverage" dxfId="2077" priority="351"/>
  </conditionalFormatting>
  <conditionalFormatting sqref="G183 G185">
    <cfRule type="aboveAverage" dxfId="2076" priority="349"/>
  </conditionalFormatting>
  <conditionalFormatting sqref="I187 I189">
    <cfRule type="aboveAverage" dxfId="2075" priority="347"/>
  </conditionalFormatting>
  <conditionalFormatting sqref="C130 C132">
    <cfRule type="containsBlanks" dxfId="2074" priority="306">
      <formula>LEN(TRIM(C130))=0</formula>
    </cfRule>
  </conditionalFormatting>
  <conditionalFormatting sqref="I28:I32">
    <cfRule type="expression" dxfId="2073" priority="326">
      <formula>FIND(2,I28,1)</formula>
    </cfRule>
    <cfRule type="expression" dxfId="2072" priority="327">
      <formula>FIND(1,I28,1)</formula>
    </cfRule>
  </conditionalFormatting>
  <conditionalFormatting sqref="I21:I25">
    <cfRule type="expression" dxfId="2071" priority="328">
      <formula>FIND(2,I21,1)</formula>
    </cfRule>
    <cfRule type="expression" dxfId="2070" priority="329">
      <formula>FIND(1,I21,1)</formula>
    </cfRule>
  </conditionalFormatting>
  <conditionalFormatting sqref="I7:I11">
    <cfRule type="expression" dxfId="2069" priority="330">
      <formula>FIND(2,I7,1)</formula>
    </cfRule>
    <cfRule type="expression" dxfId="2068" priority="331">
      <formula>FIND(1,I7,1)</formula>
    </cfRule>
  </conditionalFormatting>
  <conditionalFormatting sqref="I35:I39">
    <cfRule type="expression" dxfId="2067" priority="324">
      <formula>FIND(2,I35,1)</formula>
    </cfRule>
    <cfRule type="expression" dxfId="2066" priority="325">
      <formula>FIND(1,I35,1)</formula>
    </cfRule>
  </conditionalFormatting>
  <conditionalFormatting sqref="I42:I46">
    <cfRule type="expression" dxfId="2065" priority="322">
      <formula>FIND(2,I42,1)</formula>
    </cfRule>
    <cfRule type="expression" dxfId="2064" priority="323">
      <formula>FIND(1,I42,1)</formula>
    </cfRule>
  </conditionalFormatting>
  <conditionalFormatting sqref="I14:I18">
    <cfRule type="expression" dxfId="2063" priority="320">
      <formula>FIND(2,I14,1)</formula>
    </cfRule>
    <cfRule type="expression" dxfId="2062" priority="321">
      <formula>FIND(1,I14,1)</formula>
    </cfRule>
  </conditionalFormatting>
  <conditionalFormatting sqref="C106 C108">
    <cfRule type="aboveAverage" dxfId="2061" priority="319"/>
  </conditionalFormatting>
  <conditionalFormatting sqref="C106 C108">
    <cfRule type="containsBlanks" dxfId="2060" priority="318">
      <formula>LEN(TRIM(C106))=0</formula>
    </cfRule>
  </conditionalFormatting>
  <conditionalFormatting sqref="C110 C112">
    <cfRule type="aboveAverage" dxfId="2059" priority="317"/>
  </conditionalFormatting>
  <conditionalFormatting sqref="C110 C112">
    <cfRule type="containsBlanks" dxfId="2058" priority="316">
      <formula>LEN(TRIM(C110))=0</formula>
    </cfRule>
  </conditionalFormatting>
  <conditionalFormatting sqref="C114 C116">
    <cfRule type="aboveAverage" dxfId="2057" priority="315"/>
  </conditionalFormatting>
  <conditionalFormatting sqref="C114 C116">
    <cfRule type="containsBlanks" dxfId="2056" priority="314">
      <formula>LEN(TRIM(C114))=0</formula>
    </cfRule>
  </conditionalFormatting>
  <conditionalFormatting sqref="C118 C120">
    <cfRule type="aboveAverage" dxfId="2055" priority="313"/>
  </conditionalFormatting>
  <conditionalFormatting sqref="C118 C120">
    <cfRule type="containsBlanks" dxfId="2054" priority="312">
      <formula>LEN(TRIM(C118))=0</formula>
    </cfRule>
  </conditionalFormatting>
  <conditionalFormatting sqref="C122 C124">
    <cfRule type="aboveAverage" dxfId="2053" priority="311"/>
  </conditionalFormatting>
  <conditionalFormatting sqref="C122 C124">
    <cfRule type="containsBlanks" dxfId="2052" priority="310">
      <formula>LEN(TRIM(C122))=0</formula>
    </cfRule>
  </conditionalFormatting>
  <conditionalFormatting sqref="C126 C128">
    <cfRule type="aboveAverage" dxfId="2051" priority="309"/>
  </conditionalFormatting>
  <conditionalFormatting sqref="C126 C128">
    <cfRule type="containsBlanks" dxfId="2050" priority="308">
      <formula>LEN(TRIM(C126))=0</formula>
    </cfRule>
  </conditionalFormatting>
  <conditionalFormatting sqref="C130 C132">
    <cfRule type="aboveAverage" dxfId="2049" priority="307"/>
  </conditionalFormatting>
  <conditionalFormatting sqref="I131 I133">
    <cfRule type="aboveAverage" dxfId="2048" priority="297"/>
  </conditionalFormatting>
  <conditionalFormatting sqref="I131 I133">
    <cfRule type="containsBlanks" dxfId="2047" priority="296">
      <formula>LEN(TRIM(I131))=0</formula>
    </cfRule>
  </conditionalFormatting>
  <conditionalFormatting sqref="I148 I150">
    <cfRule type="aboveAverage" dxfId="2046" priority="295"/>
  </conditionalFormatting>
  <conditionalFormatting sqref="I148 I150">
    <cfRule type="containsBlanks" dxfId="2045" priority="294">
      <formula>LEN(TRIM(I148))=0</formula>
    </cfRule>
  </conditionalFormatting>
  <conditionalFormatting sqref="I172 I174">
    <cfRule type="aboveAverage" dxfId="2044" priority="293"/>
  </conditionalFormatting>
  <conditionalFormatting sqref="I172 I174">
    <cfRule type="containsBlanks" dxfId="2043" priority="292">
      <formula>LEN(TRIM(I172))=0</formula>
    </cfRule>
  </conditionalFormatting>
  <conditionalFormatting sqref="C212 C214">
    <cfRule type="containsBlanks" dxfId="2042" priority="46">
      <formula>LEN(TRIM(C212))=0</formula>
    </cfRule>
  </conditionalFormatting>
  <conditionalFormatting sqref="E103 E107">
    <cfRule type="containsBlanks" dxfId="2041" priority="288">
      <formula>LEN(TRIM(E103))=0</formula>
    </cfRule>
    <cfRule type="aboveAverage" dxfId="2040" priority="289"/>
  </conditionalFormatting>
  <conditionalFormatting sqref="E111 E115">
    <cfRule type="containsBlanks" dxfId="2039" priority="286">
      <formula>LEN(TRIM(E111))=0</formula>
    </cfRule>
    <cfRule type="aboveAverage" dxfId="2038" priority="287"/>
  </conditionalFormatting>
  <conditionalFormatting sqref="E119 E123">
    <cfRule type="containsBlanks" dxfId="2037" priority="284">
      <formula>LEN(TRIM(E119))=0</formula>
    </cfRule>
    <cfRule type="aboveAverage" dxfId="2036" priority="285"/>
  </conditionalFormatting>
  <conditionalFormatting sqref="E127 E131">
    <cfRule type="containsBlanks" dxfId="2035" priority="282">
      <formula>LEN(TRIM(E127))=0</formula>
    </cfRule>
    <cfRule type="aboveAverage" dxfId="2034" priority="283"/>
  </conditionalFormatting>
  <conditionalFormatting sqref="I141 I145">
    <cfRule type="containsBlanks" dxfId="2033" priority="280">
      <formula>LEN(TRIM(I141))=0</formula>
    </cfRule>
    <cfRule type="aboveAverage" dxfId="2032" priority="281"/>
  </conditionalFormatting>
  <conditionalFormatting sqref="G158 G162">
    <cfRule type="containsBlanks" dxfId="2031" priority="278">
      <formula>LEN(TRIM(G158))=0</formula>
    </cfRule>
    <cfRule type="aboveAverage" dxfId="2030" priority="279"/>
  </conditionalFormatting>
  <conditionalFormatting sqref="G166 G170">
    <cfRule type="containsBlanks" dxfId="2029" priority="276">
      <formula>LEN(TRIM(G166))=0</formula>
    </cfRule>
    <cfRule type="aboveAverage" dxfId="2028" priority="277"/>
  </conditionalFormatting>
  <conditionalFormatting sqref="G105 G113">
    <cfRule type="containsBlanks" dxfId="2027" priority="268">
      <formula>LEN(TRIM(G105))=0</formula>
    </cfRule>
    <cfRule type="aboveAverage" dxfId="2026" priority="269"/>
  </conditionalFormatting>
  <conditionalFormatting sqref="G121 G129">
    <cfRule type="containsBlanks" dxfId="2025" priority="266">
      <formula>LEN(TRIM(G121))=0</formula>
    </cfRule>
    <cfRule type="aboveAverage" dxfId="2024" priority="267"/>
  </conditionalFormatting>
  <conditionalFormatting sqref="I160 I168">
    <cfRule type="containsBlanks" dxfId="2023" priority="264">
      <formula>LEN(TRIM(I160))=0</formula>
    </cfRule>
    <cfRule type="aboveAverage" dxfId="2022" priority="265"/>
  </conditionalFormatting>
  <conditionalFormatting sqref="I109">
    <cfRule type="containsBlanks" dxfId="2021" priority="260">
      <formula>LEN(TRIM(I109))=0</formula>
    </cfRule>
    <cfRule type="aboveAverage" dxfId="2020" priority="261"/>
  </conditionalFormatting>
  <conditionalFormatting sqref="I125">
    <cfRule type="containsBlanks" dxfId="2019" priority="258">
      <formula>LEN(TRIM(I125))=0</formula>
    </cfRule>
    <cfRule type="aboveAverage" dxfId="2018" priority="259"/>
  </conditionalFormatting>
  <conditionalFormatting sqref="G140 G142">
    <cfRule type="aboveAverage" dxfId="2017" priority="253"/>
  </conditionalFormatting>
  <conditionalFormatting sqref="G140 G142">
    <cfRule type="containsBlanks" dxfId="2016" priority="252">
      <formula>LEN(TRIM(G140))=0</formula>
    </cfRule>
  </conditionalFormatting>
  <conditionalFormatting sqref="G144 G146">
    <cfRule type="aboveAverage" dxfId="2015" priority="251"/>
  </conditionalFormatting>
  <conditionalFormatting sqref="G144 G146">
    <cfRule type="containsBlanks" dxfId="2014" priority="250">
      <formula>LEN(TRIM(G144))=0</formula>
    </cfRule>
  </conditionalFormatting>
  <conditionalFormatting sqref="E251 E253">
    <cfRule type="aboveAverage" dxfId="2013" priority="62"/>
  </conditionalFormatting>
  <conditionalFormatting sqref="E251 E253">
    <cfRule type="containsBlanks" dxfId="2012" priority="61">
      <formula>LEN(TRIM(E251))=0</formula>
    </cfRule>
  </conditionalFormatting>
  <conditionalFormatting sqref="E255 E257">
    <cfRule type="aboveAverage" dxfId="2011" priority="60"/>
  </conditionalFormatting>
  <conditionalFormatting sqref="E255 E257">
    <cfRule type="containsBlanks" dxfId="2010" priority="59">
      <formula>LEN(TRIM(E255))=0</formula>
    </cfRule>
  </conditionalFormatting>
  <conditionalFormatting sqref="E259 E261">
    <cfRule type="aboveAverage" dxfId="2009" priority="58"/>
  </conditionalFormatting>
  <conditionalFormatting sqref="E259 E261">
    <cfRule type="containsBlanks" dxfId="2008" priority="57">
      <formula>LEN(TRIM(E259))=0</formula>
    </cfRule>
  </conditionalFormatting>
  <conditionalFormatting sqref="E263 E265">
    <cfRule type="aboveAverage" dxfId="2007" priority="56"/>
  </conditionalFormatting>
  <conditionalFormatting sqref="E263 E265">
    <cfRule type="containsBlanks" dxfId="2006" priority="55">
      <formula>LEN(TRIM(E263))=0</formula>
    </cfRule>
  </conditionalFormatting>
  <conditionalFormatting sqref="I266 I268">
    <cfRule type="aboveAverage" dxfId="2005" priority="35"/>
  </conditionalFormatting>
  <conditionalFormatting sqref="I266 I268">
    <cfRule type="containsBlanks" dxfId="2004" priority="34">
      <formula>LEN(TRIM(I266))=0</formula>
    </cfRule>
  </conditionalFormatting>
  <conditionalFormatting sqref="G252 G256">
    <cfRule type="containsBlanks" dxfId="2003" priority="22">
      <formula>LEN(TRIM(G252))=0</formula>
    </cfRule>
    <cfRule type="aboveAverage" dxfId="2002" priority="23"/>
  </conditionalFormatting>
  <conditionalFormatting sqref="G260 G264">
    <cfRule type="containsBlanks" dxfId="2001" priority="20">
      <formula>LEN(TRIM(G260))=0</formula>
    </cfRule>
    <cfRule type="aboveAverage" dxfId="2000" priority="21"/>
  </conditionalFormatting>
  <conditionalFormatting sqref="I254 I262">
    <cfRule type="containsBlanks" dxfId="1999" priority="14">
      <formula>LEN(TRIM(I254))=0</formula>
    </cfRule>
    <cfRule type="aboveAverage" dxfId="1998" priority="15"/>
  </conditionalFormatting>
  <conditionalFormatting sqref="C208 C210">
    <cfRule type="containsBlanks" dxfId="1997" priority="48">
      <formula>LEN(TRIM(C208))=0</formula>
    </cfRule>
  </conditionalFormatting>
  <conditionalFormatting sqref="C216 C218">
    <cfRule type="containsBlanks" dxfId="1996" priority="44">
      <formula>LEN(TRIM(C216))=0</formula>
    </cfRule>
  </conditionalFormatting>
  <conditionalFormatting sqref="C220 C222">
    <cfRule type="containsBlanks" dxfId="1995" priority="42">
      <formula>LEN(TRIM(C220))=0</formula>
    </cfRule>
  </conditionalFormatting>
  <conditionalFormatting sqref="C224 C226">
    <cfRule type="containsBlanks" dxfId="1994" priority="40">
      <formula>LEN(TRIM(C224))=0</formula>
    </cfRule>
  </conditionalFormatting>
  <conditionalFormatting sqref="C200 C202">
    <cfRule type="aboveAverage" dxfId="1993" priority="53"/>
  </conditionalFormatting>
  <conditionalFormatting sqref="C200 C202">
    <cfRule type="containsBlanks" dxfId="1992" priority="52">
      <formula>LEN(TRIM(C200))=0</formula>
    </cfRule>
  </conditionalFormatting>
  <conditionalFormatting sqref="C204 C206">
    <cfRule type="aboveAverage" dxfId="1991" priority="51"/>
  </conditionalFormatting>
  <conditionalFormatting sqref="C204 C206">
    <cfRule type="containsBlanks" dxfId="1990" priority="50">
      <formula>LEN(TRIM(C204))=0</formula>
    </cfRule>
  </conditionalFormatting>
  <conditionalFormatting sqref="C208 C210">
    <cfRule type="aboveAverage" dxfId="1989" priority="49"/>
  </conditionalFormatting>
  <conditionalFormatting sqref="C212 C214">
    <cfRule type="aboveAverage" dxfId="1988" priority="47"/>
  </conditionalFormatting>
  <conditionalFormatting sqref="C216 C218">
    <cfRule type="aboveAverage" dxfId="1987" priority="45"/>
  </conditionalFormatting>
  <conditionalFormatting sqref="C220 C222">
    <cfRule type="aboveAverage" dxfId="1986" priority="43"/>
  </conditionalFormatting>
  <conditionalFormatting sqref="C224 C226">
    <cfRule type="aboveAverage" dxfId="1985" priority="41"/>
  </conditionalFormatting>
  <conditionalFormatting sqref="I225 I227">
    <cfRule type="aboveAverage" dxfId="1984" priority="39"/>
  </conditionalFormatting>
  <conditionalFormatting sqref="I225 I227">
    <cfRule type="containsBlanks" dxfId="1983" priority="38">
      <formula>LEN(TRIM(I225))=0</formula>
    </cfRule>
  </conditionalFormatting>
  <conditionalFormatting sqref="I242 I244">
    <cfRule type="aboveAverage" dxfId="1982" priority="37"/>
  </conditionalFormatting>
  <conditionalFormatting sqref="I242 I244">
    <cfRule type="containsBlanks" dxfId="1981" priority="36">
      <formula>LEN(TRIM(I242))=0</formula>
    </cfRule>
  </conditionalFormatting>
  <conditionalFormatting sqref="E197 E201">
    <cfRule type="containsBlanks" dxfId="1980" priority="32">
      <formula>LEN(TRIM(E197))=0</formula>
    </cfRule>
    <cfRule type="aboveAverage" dxfId="1979" priority="33"/>
  </conditionalFormatting>
  <conditionalFormatting sqref="E205 E209">
    <cfRule type="containsBlanks" dxfId="1978" priority="30">
      <formula>LEN(TRIM(E205))=0</formula>
    </cfRule>
    <cfRule type="aboveAverage" dxfId="1977" priority="31"/>
  </conditionalFormatting>
  <conditionalFormatting sqref="E213 E217">
    <cfRule type="containsBlanks" dxfId="1976" priority="28">
      <formula>LEN(TRIM(E213))=0</formula>
    </cfRule>
    <cfRule type="aboveAverage" dxfId="1975" priority="29"/>
  </conditionalFormatting>
  <conditionalFormatting sqref="E221 E225">
    <cfRule type="containsBlanks" dxfId="1974" priority="26">
      <formula>LEN(TRIM(E221))=0</formula>
    </cfRule>
    <cfRule type="aboveAverage" dxfId="1973" priority="27"/>
  </conditionalFormatting>
  <conditionalFormatting sqref="I235 I239">
    <cfRule type="containsBlanks" dxfId="1972" priority="24">
      <formula>LEN(TRIM(I235))=0</formula>
    </cfRule>
    <cfRule type="aboveAverage" dxfId="1971" priority="25"/>
  </conditionalFormatting>
  <conditionalFormatting sqref="G199 G207">
    <cfRule type="containsBlanks" dxfId="1970" priority="18">
      <formula>LEN(TRIM(G199))=0</formula>
    </cfRule>
    <cfRule type="aboveAverage" dxfId="1969" priority="19"/>
  </conditionalFormatting>
  <conditionalFormatting sqref="G215 G223">
    <cfRule type="containsBlanks" dxfId="1968" priority="16">
      <formula>LEN(TRIM(G215))=0</formula>
    </cfRule>
    <cfRule type="aboveAverage" dxfId="1967" priority="17"/>
  </conditionalFormatting>
  <conditionalFormatting sqref="I203">
    <cfRule type="containsBlanks" dxfId="1966" priority="12">
      <formula>LEN(TRIM(I203))=0</formula>
    </cfRule>
    <cfRule type="aboveAverage" dxfId="1965" priority="13"/>
  </conditionalFormatting>
  <conditionalFormatting sqref="I219">
    <cfRule type="containsBlanks" dxfId="1964" priority="10">
      <formula>LEN(TRIM(I219))=0</formula>
    </cfRule>
    <cfRule type="aboveAverage" dxfId="1963" priority="11"/>
  </conditionalFormatting>
  <conditionalFormatting sqref="G238 G240">
    <cfRule type="containsBlanks" dxfId="1962" priority="8">
      <formula>LEN(TRIM(G238))=0</formula>
    </cfRule>
  </conditionalFormatting>
  <conditionalFormatting sqref="A196:A226">
    <cfRule type="cellIs" priority="54" stopIfTrue="1" operator="equal">
      <formula>"-"</formula>
    </cfRule>
    <cfRule type="duplicateValues" dxfId="1961" priority="69"/>
  </conditionalFormatting>
  <conditionalFormatting sqref="C196 C198">
    <cfRule type="aboveAverage" dxfId="1960" priority="68"/>
  </conditionalFormatting>
  <conditionalFormatting sqref="C196 C198">
    <cfRule type="containsBlanks" dxfId="1959" priority="67">
      <formula>LEN(TRIM(C196))=0</formula>
    </cfRule>
  </conditionalFormatting>
  <conditionalFormatting sqref="G234 G236">
    <cfRule type="aboveAverage" dxfId="1958" priority="66"/>
  </conditionalFormatting>
  <conditionalFormatting sqref="G234 G236">
    <cfRule type="containsBlanks" dxfId="1957" priority="65">
      <formula>LEN(TRIM(G234))=0</formula>
    </cfRule>
  </conditionalFormatting>
  <conditionalFormatting sqref="G238 G240">
    <cfRule type="aboveAverage" dxfId="1956" priority="9"/>
  </conditionalFormatting>
  <conditionalFormatting sqref="AF7:AF31">
    <cfRule type="expression" dxfId="1955" priority="7">
      <formula>AND(AE7="",COUNTIF(AF7,"*,*")=0)</formula>
    </cfRule>
  </conditionalFormatting>
  <conditionalFormatting sqref="AD32:AF60">
    <cfRule type="expression" dxfId="1954" priority="6">
      <formula>AND(AC32="",COUNTIF(AD32,"*,*")=0)</formula>
    </cfRule>
  </conditionalFormatting>
  <conditionalFormatting sqref="B300:B323">
    <cfRule type="expression" dxfId="1953" priority="1">
      <formula>A300=3</formula>
    </cfRule>
    <cfRule type="expression" dxfId="1952" priority="2">
      <formula>A300=2</formula>
    </cfRule>
    <cfRule type="expression" dxfId="1951" priority="3">
      <formula>A300=1</formula>
    </cfRule>
    <cfRule type="containsBlanks" dxfId="1950" priority="4">
      <formula>LEN(TRIM(B300))=0</formula>
    </cfRule>
    <cfRule type="duplicateValues" dxfId="1949" priority="5"/>
  </conditionalFormatting>
  <pageMargins left="0.78740157480314965" right="0.39370078740157483" top="0.78740157480314965" bottom="0.39370078740157483" header="0.78740157480314965" footer="0"/>
  <pageSetup paperSize="9" fitToHeight="0" orientation="landscape" verticalDpi="1200" r:id="rId1"/>
  <headerFooter>
    <oddHeader>&amp;R&amp;P. leht &amp;N&amp; -st</oddHeader>
  </headerFooter>
  <rowBreaks count="5" manualBreakCount="5">
    <brk id="98" max="16383" man="1"/>
    <brk id="136" max="16383" man="1"/>
    <brk id="192" max="16383" man="1"/>
    <brk id="230" max="16383" man="1"/>
    <brk id="298"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AP312"/>
  <sheetViews>
    <sheetView showGridLines="0" showRowColHeaders="0" workbookViewId="0">
      <pane ySplit="1" topLeftCell="A2" activePane="bottomLeft" state="frozen"/>
      <selection pane="bottomLeft" activeCell="A5" sqref="A5"/>
    </sheetView>
  </sheetViews>
  <sheetFormatPr defaultRowHeight="12.75" x14ac:dyDescent="0.2"/>
  <cols>
    <col min="1" max="1" width="3.28515625" style="1" customWidth="1"/>
    <col min="2" max="2" width="33.28515625" style="1" bestFit="1" customWidth="1"/>
    <col min="3" max="3" width="4.7109375" style="1" customWidth="1"/>
    <col min="4" max="4" width="1.140625" style="1" customWidth="1"/>
    <col min="5" max="5" width="2.7109375" style="1" customWidth="1"/>
    <col min="6" max="6" width="9.140625" style="1"/>
    <col min="7" max="7" width="2.7109375" style="1" customWidth="1"/>
    <col min="8" max="8" width="1.140625" style="1" customWidth="1"/>
    <col min="9" max="9" width="2.7109375" style="1" customWidth="1"/>
    <col min="10" max="10" width="9.140625" style="1"/>
    <col min="11" max="11" width="2.7109375" style="1" customWidth="1"/>
    <col min="12" max="12" width="1.140625" style="1" customWidth="1"/>
    <col min="13" max="13" width="2.7109375" style="1" customWidth="1"/>
    <col min="14" max="14" width="9.140625" style="1"/>
    <col min="15" max="15" width="2.7109375" style="1" customWidth="1"/>
    <col min="16" max="16" width="1.140625" style="1" customWidth="1"/>
    <col min="17" max="17" width="2.7109375" style="1" customWidth="1"/>
    <col min="18" max="18" width="9.140625" style="1"/>
    <col min="19" max="19" width="2.7109375" style="1" customWidth="1"/>
    <col min="20" max="20" width="1.140625" style="1" customWidth="1"/>
    <col min="21" max="21" width="2.7109375" style="1" customWidth="1"/>
    <col min="22" max="22" width="9.140625" style="1"/>
    <col min="23" max="23" width="5.7109375" style="1" bestFit="1" customWidth="1"/>
    <col min="24" max="24" width="5.5703125" style="1" hidden="1" customWidth="1"/>
    <col min="25" max="25" width="2.7109375" style="1" customWidth="1"/>
    <col min="26" max="26" width="1.140625" style="1" customWidth="1"/>
    <col min="27" max="27" width="2.7109375" style="1" customWidth="1"/>
    <col min="28" max="28" width="4.7109375" style="1" customWidth="1"/>
    <col min="29" max="29" width="9.140625" style="1"/>
    <col min="30" max="31" width="9.140625" style="1" hidden="1" customWidth="1"/>
    <col min="32" max="32" width="16.5703125" style="1" hidden="1" customWidth="1"/>
    <col min="33" max="33" width="9.140625" style="1" hidden="1" customWidth="1"/>
    <col min="34" max="34" width="21" style="1" hidden="1" customWidth="1"/>
    <col min="35" max="35" width="9.140625" style="1" hidden="1" customWidth="1"/>
    <col min="36" max="36" width="17.28515625" style="1" hidden="1" customWidth="1"/>
    <col min="37" max="37" width="9.140625" style="1" hidden="1" customWidth="1"/>
    <col min="38" max="38" width="13.85546875" style="1" hidden="1" customWidth="1"/>
    <col min="39" max="39" width="9.140625" style="1" hidden="1" customWidth="1"/>
    <col min="40" max="40" width="17.28515625" style="1" hidden="1" customWidth="1"/>
    <col min="41" max="41" width="9.140625" style="1" hidden="1" customWidth="1"/>
    <col min="42" max="42" width="13.85546875" style="1" hidden="1" customWidth="1"/>
    <col min="43" max="16384" width="9.140625" style="1"/>
  </cols>
  <sheetData>
    <row r="1" spans="1:42" x14ac:dyDescent="0.2">
      <c r="A1" s="400" t="str">
        <f>UPPER((Kalend!E25)&amp;" - "&amp;(Kalend!C25))&amp;" - "&amp;LOWER(Kalend!D25)&amp;" - "&amp;(Kalend!A25)&amp;" kell "&amp;(Kalend!B25)&amp;" - "&amp;(Kalend!F25)</f>
        <v>T-D - TOILA VALLA LAHTINE SISE-MV - duo - P, 02.02.2020 kell 11:00 - Voka petangihall</v>
      </c>
      <c r="O1" s="271"/>
      <c r="P1" s="271"/>
      <c r="Q1" s="312"/>
      <c r="R1" s="312"/>
      <c r="S1" s="312"/>
      <c r="T1" s="70"/>
      <c r="U1" s="70"/>
      <c r="V1" s="70"/>
      <c r="W1" s="271"/>
      <c r="X1" s="402"/>
      <c r="Y1" s="271"/>
      <c r="Z1" s="271"/>
      <c r="AD1" s="152" t="s">
        <v>94</v>
      </c>
      <c r="AE1" s="402"/>
      <c r="AF1" s="402"/>
      <c r="AG1" s="402"/>
      <c r="AH1" s="402"/>
      <c r="AI1" s="402"/>
      <c r="AJ1" s="402"/>
      <c r="AK1" s="402"/>
      <c r="AL1" s="402"/>
      <c r="AM1" s="402"/>
      <c r="AN1" s="402"/>
      <c r="AO1" s="532"/>
      <c r="AP1" s="532"/>
    </row>
    <row r="2" spans="1:42" hidden="1" x14ac:dyDescent="0.2">
      <c r="A2" s="151"/>
      <c r="B2" s="151"/>
      <c r="C2" s="151"/>
      <c r="D2" s="151"/>
      <c r="E2" s="151"/>
      <c r="F2" s="271"/>
      <c r="G2" s="151"/>
      <c r="H2" s="151"/>
      <c r="I2" s="151"/>
      <c r="J2" s="151"/>
      <c r="K2" s="151"/>
      <c r="L2" s="409"/>
      <c r="M2" s="409"/>
      <c r="N2" s="409"/>
      <c r="O2" s="271"/>
      <c r="P2" s="271"/>
      <c r="Q2" s="271"/>
      <c r="R2" s="271"/>
      <c r="S2" s="151"/>
      <c r="T2" s="151"/>
      <c r="U2" s="151"/>
      <c r="V2" s="410" t="s">
        <v>253</v>
      </c>
      <c r="W2" s="411">
        <v>1</v>
      </c>
      <c r="X2" s="151"/>
      <c r="Y2" s="271" t="s">
        <v>254</v>
      </c>
      <c r="Z2" s="151"/>
      <c r="AA2" s="151"/>
      <c r="AB2" s="151"/>
      <c r="AD2" s="271"/>
      <c r="AE2" s="271"/>
      <c r="AF2" s="271"/>
      <c r="AG2" s="271"/>
      <c r="AH2" s="271"/>
      <c r="AI2" s="271"/>
      <c r="AJ2" s="412"/>
      <c r="AK2" s="271"/>
      <c r="AL2" s="271"/>
      <c r="AM2" s="271"/>
      <c r="AN2" s="271"/>
    </row>
    <row r="3" spans="1:42" hidden="1" x14ac:dyDescent="0.2">
      <c r="A3" s="151"/>
      <c r="B3" s="151"/>
      <c r="C3" s="151"/>
      <c r="D3" s="151"/>
      <c r="E3" s="151"/>
      <c r="F3" s="271"/>
      <c r="G3" s="151"/>
      <c r="H3" s="151"/>
      <c r="I3" s="151"/>
      <c r="J3" s="151"/>
      <c r="K3" s="151"/>
      <c r="L3" s="409"/>
      <c r="M3" s="409"/>
      <c r="N3" s="409"/>
      <c r="O3" s="271"/>
      <c r="P3" s="271"/>
      <c r="Q3" s="271"/>
      <c r="R3" s="271"/>
      <c r="S3" s="151"/>
      <c r="T3" s="151"/>
      <c r="U3" s="151"/>
      <c r="V3" s="413" t="s">
        <v>255</v>
      </c>
      <c r="W3" s="411">
        <v>0.5</v>
      </c>
      <c r="X3" s="151"/>
      <c r="Y3" s="271" t="s">
        <v>254</v>
      </c>
      <c r="Z3" s="151"/>
      <c r="AA3" s="151"/>
      <c r="AB3" s="151"/>
      <c r="AE3" s="271"/>
      <c r="AG3" s="271"/>
      <c r="AH3" s="271"/>
      <c r="AI3" s="271"/>
      <c r="AJ3" s="271"/>
      <c r="AK3" s="271"/>
      <c r="AL3" s="271"/>
      <c r="AM3" s="271"/>
      <c r="AN3" s="271"/>
    </row>
    <row r="4" spans="1:42" hidden="1" x14ac:dyDescent="0.2">
      <c r="A4" s="151"/>
      <c r="B4" s="151"/>
      <c r="C4" s="151"/>
      <c r="D4" s="151"/>
      <c r="E4" s="151"/>
      <c r="F4" s="271"/>
      <c r="G4" s="151"/>
      <c r="H4" s="151"/>
      <c r="I4" s="151"/>
      <c r="J4" s="151"/>
      <c r="K4" s="151"/>
      <c r="L4" s="271"/>
      <c r="M4" s="271"/>
      <c r="N4" s="271"/>
      <c r="O4" s="271"/>
      <c r="P4" s="271"/>
      <c r="Q4" s="271"/>
      <c r="R4" s="271"/>
      <c r="S4" s="151"/>
      <c r="T4" s="151"/>
      <c r="U4" s="151"/>
      <c r="V4" s="414" t="s">
        <v>256</v>
      </c>
      <c r="W4" s="411">
        <v>0</v>
      </c>
      <c r="X4" s="151"/>
      <c r="Y4" s="271" t="s">
        <v>254</v>
      </c>
      <c r="Z4" s="151"/>
      <c r="AA4" s="271"/>
      <c r="AB4" s="151"/>
      <c r="AE4" s="409"/>
      <c r="AF4" s="409"/>
      <c r="AG4" s="409"/>
      <c r="AH4" s="376"/>
      <c r="AI4" s="409"/>
      <c r="AJ4" s="409"/>
      <c r="AK4" s="409"/>
      <c r="AL4" s="409"/>
      <c r="AM4" s="409"/>
      <c r="AN4" s="409"/>
      <c r="AO4" s="409"/>
      <c r="AP4" s="409"/>
    </row>
    <row r="5" spans="1:42" x14ac:dyDescent="0.2">
      <c r="A5" s="151"/>
      <c r="B5" s="151"/>
      <c r="C5" s="151"/>
      <c r="D5" s="151"/>
      <c r="E5" s="151"/>
      <c r="F5" s="271"/>
      <c r="G5" s="151"/>
      <c r="H5" s="151"/>
      <c r="I5" s="151"/>
      <c r="J5" s="151"/>
      <c r="K5" s="151"/>
      <c r="L5" s="271"/>
      <c r="M5" s="271"/>
      <c r="N5" s="271"/>
      <c r="O5" s="271"/>
      <c r="P5" s="271"/>
      <c r="Q5" s="271"/>
      <c r="R5" s="271"/>
      <c r="S5" s="271"/>
      <c r="T5" s="271"/>
      <c r="U5" s="271"/>
      <c r="V5" s="271"/>
      <c r="W5" s="271"/>
      <c r="X5" s="271"/>
      <c r="Y5" s="271"/>
      <c r="Z5" s="271"/>
      <c r="AA5" s="967" t="s">
        <v>476</v>
      </c>
      <c r="AB5" s="151"/>
      <c r="AC5" s="271"/>
      <c r="AD5" s="964" t="s">
        <v>214</v>
      </c>
    </row>
    <row r="6" spans="1:42" x14ac:dyDescent="0.2">
      <c r="A6" s="607" t="s">
        <v>10</v>
      </c>
      <c r="B6" s="607" t="s">
        <v>79</v>
      </c>
      <c r="C6" s="608" t="s">
        <v>171</v>
      </c>
      <c r="D6" s="609"/>
      <c r="E6" s="609"/>
      <c r="F6" s="610"/>
      <c r="G6" s="608" t="s">
        <v>174</v>
      </c>
      <c r="H6" s="609"/>
      <c r="I6" s="609"/>
      <c r="J6" s="610"/>
      <c r="K6" s="608" t="s">
        <v>177</v>
      </c>
      <c r="L6" s="609"/>
      <c r="M6" s="609"/>
      <c r="N6" s="610"/>
      <c r="O6" s="608" t="s">
        <v>180</v>
      </c>
      <c r="P6" s="609"/>
      <c r="Q6" s="609"/>
      <c r="R6" s="610"/>
      <c r="S6" s="608" t="s">
        <v>182</v>
      </c>
      <c r="T6" s="609"/>
      <c r="U6" s="609"/>
      <c r="V6" s="610"/>
      <c r="W6" s="607" t="s">
        <v>102</v>
      </c>
      <c r="X6" s="611" t="s">
        <v>361</v>
      </c>
      <c r="Y6" s="611"/>
      <c r="Z6" s="612" t="s">
        <v>362</v>
      </c>
      <c r="AA6" s="613"/>
      <c r="AB6" s="271"/>
      <c r="AC6" s="271"/>
      <c r="AD6" s="272" t="s">
        <v>370</v>
      </c>
      <c r="AE6" s="273"/>
      <c r="AF6" s="273" t="s">
        <v>249</v>
      </c>
      <c r="AG6" s="273"/>
      <c r="AH6" s="403" t="s">
        <v>250</v>
      </c>
      <c r="AI6" s="273"/>
      <c r="AJ6" s="273" t="s">
        <v>251</v>
      </c>
      <c r="AK6" s="274"/>
      <c r="AL6" s="273" t="s">
        <v>252</v>
      </c>
      <c r="AM6" s="274"/>
      <c r="AN6" s="274" t="s">
        <v>472</v>
      </c>
      <c r="AO6" s="945"/>
      <c r="AP6" s="274" t="s">
        <v>473</v>
      </c>
    </row>
    <row r="7" spans="1:42" x14ac:dyDescent="0.2">
      <c r="A7" s="614">
        <v>1</v>
      </c>
      <c r="B7" s="459" t="s">
        <v>282</v>
      </c>
      <c r="C7" s="615">
        <v>13</v>
      </c>
      <c r="D7" s="616" t="s">
        <v>363</v>
      </c>
      <c r="E7" s="617">
        <v>7</v>
      </c>
      <c r="F7" s="618" t="str">
        <f>B19</f>
        <v>Enn Tokman, Tarmo Bombe</v>
      </c>
      <c r="G7" s="615">
        <v>13</v>
      </c>
      <c r="H7" s="616" t="s">
        <v>363</v>
      </c>
      <c r="I7" s="617">
        <v>9</v>
      </c>
      <c r="J7" s="618" t="str">
        <f>B16</f>
        <v>Oksana Rõndenkova, Oleg Rõndenkov</v>
      </c>
      <c r="K7" s="615">
        <v>13</v>
      </c>
      <c r="L7" s="616" t="s">
        <v>363</v>
      </c>
      <c r="M7" s="617">
        <v>10</v>
      </c>
      <c r="N7" s="618" t="str">
        <f>B9</f>
        <v>Kenneth Muusikus, Peep Peenema</v>
      </c>
      <c r="O7" s="615">
        <v>13</v>
      </c>
      <c r="P7" s="616" t="s">
        <v>363</v>
      </c>
      <c r="Q7" s="617">
        <v>3</v>
      </c>
      <c r="R7" s="618" t="str">
        <f>B8</f>
        <v>Aarne Välja, Janek Tarto</v>
      </c>
      <c r="S7" s="615">
        <v>13</v>
      </c>
      <c r="T7" s="616" t="s">
        <v>363</v>
      </c>
      <c r="U7" s="617">
        <v>5</v>
      </c>
      <c r="V7" s="618" t="str">
        <f>B10</f>
        <v>Jaan Sepp, Oskar Sepp</v>
      </c>
      <c r="W7" s="619">
        <f t="shared" ref="W7:W19" si="0">IF(C7&gt;E7,W$2,IF(C7&lt;E7,W$4,IF(ISNUMBER(C7),W$3,0)))+IF(G7&gt;I7,W$2,IF(G7&lt;I7,W$4,IF(ISNUMBER(G7),W$3,0)))+IF(K7&gt;M7,W$2,IF(K7&lt;M7,W$4,IF(ISNUMBER(K7),W$3,0)))+IF(O7&gt;Q7,W$2,IF(O7&lt;Q7,W$4,IF(ISNUMBER(O7),W$3,0)))+IF(S7&gt;U7,W$2,IF(S7&lt;U7,W$4,IF(ISNUMBER(S7),W$3,0)))</f>
        <v>5</v>
      </c>
      <c r="X7" s="620"/>
      <c r="Y7" s="615">
        <f>C7+G7+K7+O7+S7</f>
        <v>65</v>
      </c>
      <c r="Z7" s="616" t="s">
        <v>363</v>
      </c>
      <c r="AA7" s="621">
        <f>E7+I7+M7+Q7+U7</f>
        <v>34</v>
      </c>
      <c r="AB7" s="622">
        <f>Y7-AA7</f>
        <v>31</v>
      </c>
      <c r="AD7" s="405">
        <f>SUM(AE7:AP7)</f>
        <v>320</v>
      </c>
      <c r="AE7" s="406">
        <f>IFERROR(INDEX(V!$R:$R,MATCH(AF7,V!$L:$L,0)),"")</f>
        <v>168</v>
      </c>
      <c r="AF7" s="407" t="str">
        <f>IFERROR(LEFT($B7,(FIND(",",$B7,1)-1)),"")</f>
        <v>Matti Vinni</v>
      </c>
      <c r="AG7" s="406">
        <f>IFERROR(INDEX(V!$R:$R,MATCH(AH7,V!$L:$L,0)),"")</f>
        <v>152</v>
      </c>
      <c r="AH7" s="407" t="str">
        <f>IFERROR(MID($B7,FIND(", ",$B7)+2,256),"")</f>
        <v>Vladimir Ogneštšikov</v>
      </c>
      <c r="AI7" s="406" t="str">
        <f>IFERROR(INDEX(V!$R:$R,MATCH(AJ7,V!$L:$L,0)),"")</f>
        <v/>
      </c>
      <c r="AJ7" s="407" t="str">
        <f>IFERROR(MID($B7,FIND("^",SUBSTITUTE($B7,", ","^",1))+2,FIND("^",SUBSTITUTE($B7,", ","^",2))-FIND("^",SUBSTITUTE($B7,", ","^",1))-2),"")</f>
        <v/>
      </c>
      <c r="AK7" s="406" t="str">
        <f>IFERROR(INDEX(V!$R:$R,MATCH(AL7,V!$L:$L,0)),"")</f>
        <v/>
      </c>
      <c r="AL7" s="407" t="str">
        <f>IFERROR(MID($B7,FIND(", ",$B7,FIND(", ",$B7,FIND(", ",$B7))+1)+2,30000),"")</f>
        <v/>
      </c>
      <c r="AM7" s="406" t="str">
        <f>IFERROR(INDEX(V!$R:$R,MATCH(AN7,V!$L:$L,0)),"")</f>
        <v/>
      </c>
      <c r="AN7" s="407" t="str">
        <f>IFERROR(MID($B7,FIND(", ",$B7,FIND(", ",$B7)+1)+2,FIND(", ",$B7,FIND(", ",$B7,FIND(", ",$B7)+1)+1)-FIND(", ",$B7,FIND(", ",$B7)+1)-2),"")</f>
        <v/>
      </c>
      <c r="AO7" s="406" t="str">
        <f>IFERROR(INDEX(V!$R:$R,MATCH(AP7,V!$L:$L,0)),"")</f>
        <v/>
      </c>
      <c r="AP7" s="407" t="str">
        <f>IFERROR(MID($B7,FIND(", ",$B7,FIND(", ",$B7,FIND(", ",$B7)+1)+1)+2,30000),"")</f>
        <v/>
      </c>
    </row>
    <row r="8" spans="1:42" x14ac:dyDescent="0.2">
      <c r="A8" s="614">
        <v>2</v>
      </c>
      <c r="B8" s="459" t="s">
        <v>275</v>
      </c>
      <c r="C8" s="615">
        <v>13</v>
      </c>
      <c r="D8" s="616" t="s">
        <v>363</v>
      </c>
      <c r="E8" s="617">
        <v>6</v>
      </c>
      <c r="F8" s="618" t="str">
        <f>B15</f>
        <v>Margus Vasser, Vello Vasser</v>
      </c>
      <c r="G8" s="615">
        <v>13</v>
      </c>
      <c r="H8" s="616" t="s">
        <v>363</v>
      </c>
      <c r="I8" s="617">
        <v>7</v>
      </c>
      <c r="J8" s="618" t="str">
        <f>B12</f>
        <v>Olav Türk, Urmas Jõeäär</v>
      </c>
      <c r="K8" s="615">
        <v>13</v>
      </c>
      <c r="L8" s="616" t="s">
        <v>363</v>
      </c>
      <c r="M8" s="617">
        <v>4</v>
      </c>
      <c r="N8" s="618" t="str">
        <f>B14</f>
        <v>Daniil Alekankin, Tõnis Anton</v>
      </c>
      <c r="O8" s="615">
        <v>3</v>
      </c>
      <c r="P8" s="616" t="s">
        <v>363</v>
      </c>
      <c r="Q8" s="617">
        <v>13</v>
      </c>
      <c r="R8" s="618" t="str">
        <f>B7</f>
        <v>Matti Vinni, Vladimir Ogneštšikov</v>
      </c>
      <c r="S8" s="615">
        <v>13</v>
      </c>
      <c r="T8" s="616" t="s">
        <v>363</v>
      </c>
      <c r="U8" s="617">
        <v>7</v>
      </c>
      <c r="V8" s="618" t="str">
        <f>B17</f>
        <v>Henri Mitt, Urmas Randlaine</v>
      </c>
      <c r="W8" s="619">
        <f t="shared" si="0"/>
        <v>4</v>
      </c>
      <c r="X8" s="620"/>
      <c r="Y8" s="615">
        <f t="shared" ref="Y8:Y19" si="1">C8+G8+K8+O8+S8</f>
        <v>55</v>
      </c>
      <c r="Z8" s="616" t="s">
        <v>363</v>
      </c>
      <c r="AA8" s="621">
        <f t="shared" ref="AA8:AA19" si="2">E8+I8+M8+Q8+U8</f>
        <v>37</v>
      </c>
      <c r="AB8" s="622">
        <f t="shared" ref="AB8:AB19" si="3">Y8-AA8</f>
        <v>18</v>
      </c>
      <c r="AD8" s="405">
        <f t="shared" ref="AD8:AD19" si="4">SUM(AE8:AP8)</f>
        <v>174</v>
      </c>
      <c r="AE8" s="406">
        <f>IFERROR(INDEX(V!$R:$R,MATCH(AF8,V!$L:$L,0)),"")</f>
        <v>84</v>
      </c>
      <c r="AF8" s="407" t="str">
        <f t="shared" ref="AF8:AF19" si="5">IFERROR(LEFT($B8,(FIND(",",$B8,1)-1)),"")</f>
        <v>Aarne Välja</v>
      </c>
      <c r="AG8" s="406">
        <f>IFERROR(INDEX(V!$R:$R,MATCH(AH8,V!$L:$L,0)),"")</f>
        <v>90</v>
      </c>
      <c r="AH8" s="407" t="str">
        <f t="shared" ref="AH8:AH19" si="6">IFERROR(MID($B8,FIND(", ",$B8)+2,256),"")</f>
        <v>Janek Tarto</v>
      </c>
      <c r="AI8" s="406" t="str">
        <f>IFERROR(INDEX(V!$R:$R,MATCH(AJ8,V!$L:$L,0)),"")</f>
        <v/>
      </c>
      <c r="AJ8" s="407" t="str">
        <f t="shared" ref="AJ8:AJ19" si="7">IFERROR(MID($B8,FIND("^",SUBSTITUTE($B8,", ","^",1))+2,FIND("^",SUBSTITUTE($B8,", ","^",2))-FIND("^",SUBSTITUTE($B8,", ","^",1))-2),"")</f>
        <v/>
      </c>
      <c r="AK8" s="406" t="str">
        <f>IFERROR(INDEX(V!$R:$R,MATCH(AL8,V!$L:$L,0)),"")</f>
        <v/>
      </c>
      <c r="AL8" s="407" t="str">
        <f t="shared" ref="AL8:AL19" si="8">IFERROR(MID($B8,FIND(", ",$B8,FIND(", ",$B8,FIND(", ",$B8))+1)+2,30000),"")</f>
        <v/>
      </c>
      <c r="AM8" s="406" t="str">
        <f>IFERROR(INDEX(V!$R:$R,MATCH(AN8,V!$L:$L,0)),"")</f>
        <v/>
      </c>
      <c r="AN8" s="407" t="str">
        <f t="shared" ref="AN8:AN19" si="9">IFERROR(MID($B8,FIND(", ",$B8,FIND(", ",$B8)+1)+2,FIND(", ",$B8,FIND(", ",$B8,FIND(", ",$B8)+1)+1)-FIND(", ",$B8,FIND(", ",$B8)+1)-2),"")</f>
        <v/>
      </c>
      <c r="AO8" s="406" t="str">
        <f>IFERROR(INDEX(V!$R:$R,MATCH(AP8,V!$L:$L,0)),"")</f>
        <v/>
      </c>
      <c r="AP8" s="407" t="str">
        <f t="shared" ref="AP8:AP19" si="10">IFERROR(MID($B8,FIND(", ",$B8,FIND(", ",$B8,FIND(", ",$B8)+1)+1)+2,30000),"")</f>
        <v/>
      </c>
    </row>
    <row r="9" spans="1:42" x14ac:dyDescent="0.2">
      <c r="A9" s="614">
        <v>3</v>
      </c>
      <c r="B9" s="479" t="s">
        <v>510</v>
      </c>
      <c r="C9" s="615">
        <v>13</v>
      </c>
      <c r="D9" s="616" t="s">
        <v>363</v>
      </c>
      <c r="E9" s="617">
        <v>12</v>
      </c>
      <c r="F9" s="618" t="str">
        <f>B10</f>
        <v>Jaan Sepp, Oskar Sepp</v>
      </c>
      <c r="G9" s="615">
        <v>13</v>
      </c>
      <c r="H9" s="616" t="s">
        <v>363</v>
      </c>
      <c r="I9" s="617">
        <v>11</v>
      </c>
      <c r="J9" s="618" t="str">
        <f>B17</f>
        <v>Henri Mitt, Urmas Randlaine</v>
      </c>
      <c r="K9" s="615">
        <v>10</v>
      </c>
      <c r="L9" s="616" t="s">
        <v>363</v>
      </c>
      <c r="M9" s="617">
        <v>13</v>
      </c>
      <c r="N9" s="618" t="str">
        <f>B7</f>
        <v>Matti Vinni, Vladimir Ogneštšikov</v>
      </c>
      <c r="O9" s="615">
        <v>9</v>
      </c>
      <c r="P9" s="616" t="s">
        <v>363</v>
      </c>
      <c r="Q9" s="617">
        <v>13</v>
      </c>
      <c r="R9" s="618" t="str">
        <f>B12</f>
        <v>Olav Türk, Urmas Jõeäär</v>
      </c>
      <c r="S9" s="615">
        <v>13</v>
      </c>
      <c r="T9" s="616" t="s">
        <v>363</v>
      </c>
      <c r="U9" s="617">
        <v>9</v>
      </c>
      <c r="V9" s="618" t="str">
        <f>B15</f>
        <v>Margus Vasser, Vello Vasser</v>
      </c>
      <c r="W9" s="1116">
        <f t="shared" si="0"/>
        <v>3</v>
      </c>
      <c r="X9" s="620"/>
      <c r="Y9" s="615">
        <f t="shared" si="1"/>
        <v>58</v>
      </c>
      <c r="Z9" s="616" t="s">
        <v>363</v>
      </c>
      <c r="AA9" s="621">
        <f t="shared" si="2"/>
        <v>58</v>
      </c>
      <c r="AB9" s="622">
        <f t="shared" si="3"/>
        <v>0</v>
      </c>
      <c r="AD9" s="405">
        <f t="shared" si="4"/>
        <v>255</v>
      </c>
      <c r="AE9" s="406">
        <f>IFERROR(INDEX(V!$R:$R,MATCH(AF9,V!$L:$L,0)),"")</f>
        <v>187</v>
      </c>
      <c r="AF9" s="407" t="str">
        <f t="shared" si="5"/>
        <v>Kenneth Muusikus</v>
      </c>
      <c r="AG9" s="406">
        <f>IFERROR(INDEX(V!$R:$R,MATCH(AH9,V!$L:$L,0)),"")</f>
        <v>68</v>
      </c>
      <c r="AH9" s="407" t="str">
        <f t="shared" si="6"/>
        <v>Peep Peenema</v>
      </c>
      <c r="AI9" s="406" t="str">
        <f>IFERROR(INDEX(V!$R:$R,MATCH(AJ9,V!$L:$L,0)),"")</f>
        <v/>
      </c>
      <c r="AJ9" s="407" t="str">
        <f t="shared" si="7"/>
        <v/>
      </c>
      <c r="AK9" s="406" t="str">
        <f>IFERROR(INDEX(V!$R:$R,MATCH(AL9,V!$L:$L,0)),"")</f>
        <v/>
      </c>
      <c r="AL9" s="407" t="str">
        <f t="shared" si="8"/>
        <v/>
      </c>
      <c r="AM9" s="406" t="str">
        <f>IFERROR(INDEX(V!$R:$R,MATCH(AN9,V!$L:$L,0)),"")</f>
        <v/>
      </c>
      <c r="AN9" s="407" t="str">
        <f t="shared" si="9"/>
        <v/>
      </c>
      <c r="AO9" s="406" t="str">
        <f>IFERROR(INDEX(V!$R:$R,MATCH(AP9,V!$L:$L,0)),"")</f>
        <v/>
      </c>
      <c r="AP9" s="407" t="str">
        <f t="shared" si="10"/>
        <v/>
      </c>
    </row>
    <row r="10" spans="1:42" x14ac:dyDescent="0.2">
      <c r="A10" s="614">
        <v>4</v>
      </c>
      <c r="B10" s="479" t="s">
        <v>276</v>
      </c>
      <c r="C10" s="615">
        <v>12</v>
      </c>
      <c r="D10" s="616" t="s">
        <v>363</v>
      </c>
      <c r="E10" s="617">
        <v>13</v>
      </c>
      <c r="F10" s="618" t="str">
        <f>B9</f>
        <v>Kenneth Muusikus, Peep Peenema</v>
      </c>
      <c r="G10" s="615">
        <v>13</v>
      </c>
      <c r="H10" s="616" t="s">
        <v>363</v>
      </c>
      <c r="I10" s="617">
        <v>1</v>
      </c>
      <c r="J10" s="618" t="str">
        <f>B11</f>
        <v>Andrei Grintšak, Boriss Klubov</v>
      </c>
      <c r="K10" s="615">
        <v>13</v>
      </c>
      <c r="L10" s="616" t="s">
        <v>363</v>
      </c>
      <c r="M10" s="617">
        <v>9</v>
      </c>
      <c r="N10" s="618" t="str">
        <f>B16</f>
        <v>Oksana Rõndenkova, Oleg Rõndenkov</v>
      </c>
      <c r="O10" s="615">
        <v>13</v>
      </c>
      <c r="P10" s="616" t="s">
        <v>363</v>
      </c>
      <c r="Q10" s="617">
        <v>3</v>
      </c>
      <c r="R10" s="618" t="str">
        <f>B14</f>
        <v>Daniil Alekankin, Tõnis Anton</v>
      </c>
      <c r="S10" s="615">
        <v>5</v>
      </c>
      <c r="T10" s="616" t="s">
        <v>363</v>
      </c>
      <c r="U10" s="617">
        <v>13</v>
      </c>
      <c r="V10" s="618" t="str">
        <f>B7</f>
        <v>Matti Vinni, Vladimir Ogneštšikov</v>
      </c>
      <c r="W10" s="1116">
        <f t="shared" si="0"/>
        <v>3</v>
      </c>
      <c r="X10" s="620"/>
      <c r="Y10" s="615">
        <f t="shared" si="1"/>
        <v>56</v>
      </c>
      <c r="Z10" s="616" t="s">
        <v>363</v>
      </c>
      <c r="AA10" s="621">
        <f t="shared" si="2"/>
        <v>39</v>
      </c>
      <c r="AB10" s="622">
        <f t="shared" si="3"/>
        <v>17</v>
      </c>
      <c r="AD10" s="405">
        <f t="shared" si="4"/>
        <v>356</v>
      </c>
      <c r="AE10" s="406">
        <f>IFERROR(INDEX(V!$R:$R,MATCH(AF10,V!$L:$L,0)),"")</f>
        <v>178</v>
      </c>
      <c r="AF10" s="407" t="str">
        <f t="shared" si="5"/>
        <v>Jaan Sepp</v>
      </c>
      <c r="AG10" s="406">
        <f>IFERROR(INDEX(V!$R:$R,MATCH(AH10,V!$L:$L,0)),"")</f>
        <v>178</v>
      </c>
      <c r="AH10" s="407" t="str">
        <f t="shared" si="6"/>
        <v>Oskar Sepp</v>
      </c>
      <c r="AI10" s="406" t="str">
        <f>IFERROR(INDEX(V!$R:$R,MATCH(AJ10,V!$L:$L,0)),"")</f>
        <v/>
      </c>
      <c r="AJ10" s="407" t="str">
        <f t="shared" si="7"/>
        <v/>
      </c>
      <c r="AK10" s="406" t="str">
        <f>IFERROR(INDEX(V!$R:$R,MATCH(AL10,V!$L:$L,0)),"")</f>
        <v/>
      </c>
      <c r="AL10" s="407" t="str">
        <f t="shared" si="8"/>
        <v/>
      </c>
      <c r="AM10" s="406" t="str">
        <f>IFERROR(INDEX(V!$R:$R,MATCH(AN10,V!$L:$L,0)),"")</f>
        <v/>
      </c>
      <c r="AN10" s="407" t="str">
        <f t="shared" si="9"/>
        <v/>
      </c>
      <c r="AO10" s="406" t="str">
        <f>IFERROR(INDEX(V!$R:$R,MATCH(AP10,V!$L:$L,0)),"")</f>
        <v/>
      </c>
      <c r="AP10" s="407" t="str">
        <f t="shared" si="10"/>
        <v/>
      </c>
    </row>
    <row r="11" spans="1:42" x14ac:dyDescent="0.2">
      <c r="A11" s="614">
        <v>5</v>
      </c>
      <c r="B11" s="459" t="s">
        <v>272</v>
      </c>
      <c r="C11" s="615">
        <v>10</v>
      </c>
      <c r="D11" s="616" t="s">
        <v>363</v>
      </c>
      <c r="E11" s="617">
        <v>13</v>
      </c>
      <c r="F11" s="618" t="str">
        <f>B18</f>
        <v>Karla Purgats, Tõnu Piik</v>
      </c>
      <c r="G11" s="615">
        <v>1</v>
      </c>
      <c r="H11" s="616" t="s">
        <v>363</v>
      </c>
      <c r="I11" s="617">
        <v>13</v>
      </c>
      <c r="J11" s="618" t="str">
        <f>B10</f>
        <v>Jaan Sepp, Oskar Sepp</v>
      </c>
      <c r="K11" s="615">
        <v>13</v>
      </c>
      <c r="L11" s="616" t="s">
        <v>363</v>
      </c>
      <c r="M11" s="617">
        <v>7</v>
      </c>
      <c r="N11" s="618" t="s">
        <v>372</v>
      </c>
      <c r="O11" s="615">
        <v>13</v>
      </c>
      <c r="P11" s="616" t="s">
        <v>363</v>
      </c>
      <c r="Q11" s="617">
        <v>6</v>
      </c>
      <c r="R11" s="618" t="str">
        <f>B16</f>
        <v>Oksana Rõndenkova, Oleg Rõndenkov</v>
      </c>
      <c r="S11" s="615">
        <v>13</v>
      </c>
      <c r="T11" s="616" t="s">
        <v>363</v>
      </c>
      <c r="U11" s="617">
        <v>4</v>
      </c>
      <c r="V11" s="618" t="str">
        <f>B12</f>
        <v>Olav Türk, Urmas Jõeäär</v>
      </c>
      <c r="W11" s="1116">
        <f t="shared" si="0"/>
        <v>3</v>
      </c>
      <c r="X11" s="620"/>
      <c r="Y11" s="615">
        <f t="shared" si="1"/>
        <v>50</v>
      </c>
      <c r="Z11" s="616" t="s">
        <v>363</v>
      </c>
      <c r="AA11" s="621">
        <f t="shared" si="2"/>
        <v>43</v>
      </c>
      <c r="AB11" s="622">
        <f t="shared" si="3"/>
        <v>7</v>
      </c>
      <c r="AD11" s="405">
        <f t="shared" si="4"/>
        <v>272</v>
      </c>
      <c r="AE11" s="406">
        <f>IFERROR(INDEX(V!$R:$R,MATCH(AF11,V!$L:$L,0)),"")</f>
        <v>148</v>
      </c>
      <c r="AF11" s="407" t="str">
        <f t="shared" si="5"/>
        <v>Andrei Grintšak</v>
      </c>
      <c r="AG11" s="406">
        <f>IFERROR(INDEX(V!$R:$R,MATCH(AH11,V!$L:$L,0)),"")</f>
        <v>124</v>
      </c>
      <c r="AH11" s="407" t="str">
        <f t="shared" si="6"/>
        <v>Boriss Klubov</v>
      </c>
      <c r="AI11" s="406" t="str">
        <f>IFERROR(INDEX(V!$R:$R,MATCH(AJ11,V!$L:$L,0)),"")</f>
        <v/>
      </c>
      <c r="AJ11" s="407" t="str">
        <f t="shared" si="7"/>
        <v/>
      </c>
      <c r="AK11" s="406" t="str">
        <f>IFERROR(INDEX(V!$R:$R,MATCH(AL11,V!$L:$L,0)),"")</f>
        <v/>
      </c>
      <c r="AL11" s="407" t="str">
        <f t="shared" si="8"/>
        <v/>
      </c>
      <c r="AM11" s="406" t="str">
        <f>IFERROR(INDEX(V!$R:$R,MATCH(AN11,V!$L:$L,0)),"")</f>
        <v/>
      </c>
      <c r="AN11" s="407" t="str">
        <f t="shared" si="9"/>
        <v/>
      </c>
      <c r="AO11" s="406" t="str">
        <f>IFERROR(INDEX(V!$R:$R,MATCH(AP11,V!$L:$L,0)),"")</f>
        <v/>
      </c>
      <c r="AP11" s="407" t="str">
        <f t="shared" si="10"/>
        <v/>
      </c>
    </row>
    <row r="12" spans="1:42" x14ac:dyDescent="0.2">
      <c r="A12" s="614">
        <v>6</v>
      </c>
      <c r="B12" s="479" t="s">
        <v>383</v>
      </c>
      <c r="C12" s="615">
        <v>13</v>
      </c>
      <c r="D12" s="616" t="s">
        <v>363</v>
      </c>
      <c r="E12" s="617">
        <v>7</v>
      </c>
      <c r="F12" s="618" t="s">
        <v>372</v>
      </c>
      <c r="G12" s="615">
        <v>7</v>
      </c>
      <c r="H12" s="616" t="s">
        <v>363</v>
      </c>
      <c r="I12" s="617">
        <v>13</v>
      </c>
      <c r="J12" s="618" t="str">
        <f>B8</f>
        <v>Aarne Välja, Janek Tarto</v>
      </c>
      <c r="K12" s="615">
        <v>13</v>
      </c>
      <c r="L12" s="616" t="s">
        <v>363</v>
      </c>
      <c r="M12" s="617">
        <v>11</v>
      </c>
      <c r="N12" s="618" t="str">
        <f>B15</f>
        <v>Margus Vasser, Vello Vasser</v>
      </c>
      <c r="O12" s="615">
        <v>13</v>
      </c>
      <c r="P12" s="616" t="s">
        <v>363</v>
      </c>
      <c r="Q12" s="617">
        <v>9</v>
      </c>
      <c r="R12" s="618" t="str">
        <f>B9</f>
        <v>Kenneth Muusikus, Peep Peenema</v>
      </c>
      <c r="S12" s="615">
        <v>4</v>
      </c>
      <c r="T12" s="616" t="s">
        <v>363</v>
      </c>
      <c r="U12" s="617">
        <v>13</v>
      </c>
      <c r="V12" s="618" t="str">
        <f>B11</f>
        <v>Andrei Grintšak, Boriss Klubov</v>
      </c>
      <c r="W12" s="1116">
        <f t="shared" si="0"/>
        <v>3</v>
      </c>
      <c r="X12" s="620"/>
      <c r="Y12" s="615">
        <f t="shared" si="1"/>
        <v>50</v>
      </c>
      <c r="Z12" s="616" t="s">
        <v>363</v>
      </c>
      <c r="AA12" s="621">
        <f t="shared" si="2"/>
        <v>53</v>
      </c>
      <c r="AB12" s="622">
        <f t="shared" si="3"/>
        <v>-3</v>
      </c>
      <c r="AD12" s="405">
        <f t="shared" si="4"/>
        <v>59</v>
      </c>
      <c r="AE12" s="406">
        <f>IFERROR(INDEX(V!$R:$R,MATCH(AF12,V!$L:$L,0)),"")</f>
        <v>29</v>
      </c>
      <c r="AF12" s="407" t="str">
        <f t="shared" si="5"/>
        <v>Olav Türk</v>
      </c>
      <c r="AG12" s="406">
        <f>IFERROR(INDEX(V!$R:$R,MATCH(AH12,V!$L:$L,0)),"")</f>
        <v>30</v>
      </c>
      <c r="AH12" s="407" t="str">
        <f t="shared" si="6"/>
        <v>Urmas Jõeäär</v>
      </c>
      <c r="AI12" s="406" t="str">
        <f>IFERROR(INDEX(V!$R:$R,MATCH(AJ12,V!$L:$L,0)),"")</f>
        <v/>
      </c>
      <c r="AJ12" s="407" t="str">
        <f t="shared" si="7"/>
        <v/>
      </c>
      <c r="AK12" s="406" t="str">
        <f>IFERROR(INDEX(V!$R:$R,MATCH(AL12,V!$L:$L,0)),"")</f>
        <v/>
      </c>
      <c r="AL12" s="407" t="str">
        <f t="shared" si="8"/>
        <v/>
      </c>
      <c r="AM12" s="406" t="str">
        <f>IFERROR(INDEX(V!$R:$R,MATCH(AN12,V!$L:$L,0)),"")</f>
        <v/>
      </c>
      <c r="AN12" s="407" t="str">
        <f t="shared" si="9"/>
        <v/>
      </c>
      <c r="AO12" s="406" t="str">
        <f>IFERROR(INDEX(V!$R:$R,MATCH(AP12,V!$L:$L,0)),"")</f>
        <v/>
      </c>
      <c r="AP12" s="407" t="str">
        <f t="shared" si="10"/>
        <v/>
      </c>
    </row>
    <row r="13" spans="1:42" x14ac:dyDescent="0.2">
      <c r="A13" s="614">
        <v>7</v>
      </c>
      <c r="B13" s="623" t="s">
        <v>511</v>
      </c>
      <c r="C13" s="615">
        <v>8</v>
      </c>
      <c r="D13" s="616" t="s">
        <v>363</v>
      </c>
      <c r="E13" s="617">
        <v>13</v>
      </c>
      <c r="F13" s="618" t="str">
        <f>B16</f>
        <v>Oksana Rõndenkova, Oleg Rõndenkov</v>
      </c>
      <c r="G13" s="615">
        <v>13</v>
      </c>
      <c r="H13" s="616" t="s">
        <v>363</v>
      </c>
      <c r="I13" s="617">
        <v>10</v>
      </c>
      <c r="J13" s="618" t="str">
        <f>B19</f>
        <v>Enn Tokman, Tarmo Bombe</v>
      </c>
      <c r="K13" s="615">
        <v>13</v>
      </c>
      <c r="L13" s="616" t="s">
        <v>363</v>
      </c>
      <c r="M13" s="617">
        <v>12</v>
      </c>
      <c r="N13" s="618" t="str">
        <f>B18</f>
        <v>Karla Purgats, Tõnu Piik</v>
      </c>
      <c r="O13" s="615">
        <v>3</v>
      </c>
      <c r="P13" s="616" t="s">
        <v>363</v>
      </c>
      <c r="Q13" s="617">
        <v>13</v>
      </c>
      <c r="R13" s="618" t="str">
        <f>B17</f>
        <v>Henri Mitt, Urmas Randlaine</v>
      </c>
      <c r="S13" s="615">
        <v>13</v>
      </c>
      <c r="T13" s="616" t="s">
        <v>363</v>
      </c>
      <c r="U13" s="617">
        <v>8</v>
      </c>
      <c r="V13" s="618" t="str">
        <f>B14</f>
        <v>Daniil Alekankin, Tõnis Anton</v>
      </c>
      <c r="W13" s="1116">
        <f t="shared" si="0"/>
        <v>3</v>
      </c>
      <c r="X13" s="620"/>
      <c r="Y13" s="615">
        <f t="shared" si="1"/>
        <v>50</v>
      </c>
      <c r="Z13" s="616" t="s">
        <v>363</v>
      </c>
      <c r="AA13" s="621">
        <f t="shared" si="2"/>
        <v>56</v>
      </c>
      <c r="AB13" s="622">
        <f t="shared" si="3"/>
        <v>-6</v>
      </c>
      <c r="AD13" s="405">
        <f t="shared" si="4"/>
        <v>145</v>
      </c>
      <c r="AE13" s="406">
        <f>IFERROR(INDEX(V!$R:$R,MATCH(AF13,V!$L:$L,0)),"")</f>
        <v>81</v>
      </c>
      <c r="AF13" s="407" t="str">
        <f t="shared" si="5"/>
        <v>Jaan Saar</v>
      </c>
      <c r="AG13" s="406">
        <f>IFERROR(INDEX(V!$R:$R,MATCH(AH13,V!$L:$L,0)),"")</f>
        <v>64</v>
      </c>
      <c r="AH13" s="407" t="str">
        <f t="shared" si="6"/>
        <v>Toomas Tedrekull</v>
      </c>
      <c r="AI13" s="406" t="str">
        <f>IFERROR(INDEX(V!$R:$R,MATCH(AJ13,V!$L:$L,0)),"")</f>
        <v/>
      </c>
      <c r="AJ13" s="407" t="str">
        <f t="shared" si="7"/>
        <v/>
      </c>
      <c r="AK13" s="406" t="str">
        <f>IFERROR(INDEX(V!$R:$R,MATCH(AL13,V!$L:$L,0)),"")</f>
        <v/>
      </c>
      <c r="AL13" s="407" t="str">
        <f t="shared" si="8"/>
        <v/>
      </c>
      <c r="AM13" s="406" t="str">
        <f>IFERROR(INDEX(V!$R:$R,MATCH(AN13,V!$L:$L,0)),"")</f>
        <v/>
      </c>
      <c r="AN13" s="407" t="str">
        <f t="shared" si="9"/>
        <v/>
      </c>
      <c r="AO13" s="406" t="str">
        <f>IFERROR(INDEX(V!$R:$R,MATCH(AP13,V!$L:$L,0)),"")</f>
        <v/>
      </c>
      <c r="AP13" s="407" t="str">
        <f t="shared" si="10"/>
        <v/>
      </c>
    </row>
    <row r="14" spans="1:42" x14ac:dyDescent="0.2">
      <c r="A14" s="614">
        <v>8</v>
      </c>
      <c r="B14" s="623" t="s">
        <v>512</v>
      </c>
      <c r="C14" s="615">
        <v>13</v>
      </c>
      <c r="D14" s="616" t="s">
        <v>363</v>
      </c>
      <c r="E14" s="617">
        <v>10</v>
      </c>
      <c r="F14" s="618" t="str">
        <f>B17</f>
        <v>Henri Mitt, Urmas Randlaine</v>
      </c>
      <c r="G14" s="615">
        <v>13</v>
      </c>
      <c r="H14" s="616" t="s">
        <v>363</v>
      </c>
      <c r="I14" s="617">
        <v>4</v>
      </c>
      <c r="J14" s="618" t="str">
        <f>B18</f>
        <v>Karla Purgats, Tõnu Piik</v>
      </c>
      <c r="K14" s="615">
        <v>4</v>
      </c>
      <c r="L14" s="616" t="s">
        <v>363</v>
      </c>
      <c r="M14" s="617">
        <v>13</v>
      </c>
      <c r="N14" s="618" t="str">
        <f>B8</f>
        <v>Aarne Välja, Janek Tarto</v>
      </c>
      <c r="O14" s="615">
        <v>3</v>
      </c>
      <c r="P14" s="616" t="s">
        <v>363</v>
      </c>
      <c r="Q14" s="617">
        <v>13</v>
      </c>
      <c r="R14" s="618" t="str">
        <f>B10</f>
        <v>Jaan Sepp, Oskar Sepp</v>
      </c>
      <c r="S14" s="615">
        <v>8</v>
      </c>
      <c r="T14" s="616" t="s">
        <v>363</v>
      </c>
      <c r="U14" s="617">
        <v>13</v>
      </c>
      <c r="V14" s="618" t="str">
        <f>B13</f>
        <v>Jaan Saar, Toomas Tedrekull</v>
      </c>
      <c r="W14" s="619">
        <f t="shared" si="0"/>
        <v>2</v>
      </c>
      <c r="X14" s="620"/>
      <c r="Y14" s="615">
        <f t="shared" si="1"/>
        <v>41</v>
      </c>
      <c r="Z14" s="616" t="s">
        <v>363</v>
      </c>
      <c r="AA14" s="621">
        <f t="shared" si="2"/>
        <v>53</v>
      </c>
      <c r="AB14" s="622">
        <f t="shared" si="3"/>
        <v>-12</v>
      </c>
      <c r="AD14" s="405">
        <f t="shared" si="4"/>
        <v>7</v>
      </c>
      <c r="AE14" s="406" t="str">
        <f>IFERROR(INDEX(V!$R:$R,MATCH(AF14,V!$L:$L,0)),"")</f>
        <v/>
      </c>
      <c r="AF14" s="407" t="str">
        <f t="shared" si="5"/>
        <v>Daniil Alekankin</v>
      </c>
      <c r="AG14" s="406">
        <f>IFERROR(INDEX(V!$R:$R,MATCH(AH14,V!$L:$L,0)),"")</f>
        <v>7</v>
      </c>
      <c r="AH14" s="407" t="str">
        <f t="shared" si="6"/>
        <v>Tõnis Anton</v>
      </c>
      <c r="AI14" s="406" t="str">
        <f>IFERROR(INDEX(V!$R:$R,MATCH(AJ14,V!$L:$L,0)),"")</f>
        <v/>
      </c>
      <c r="AJ14" s="407" t="str">
        <f t="shared" si="7"/>
        <v/>
      </c>
      <c r="AK14" s="406" t="str">
        <f>IFERROR(INDEX(V!$R:$R,MATCH(AL14,V!$L:$L,0)),"")</f>
        <v/>
      </c>
      <c r="AL14" s="407" t="str">
        <f t="shared" si="8"/>
        <v/>
      </c>
      <c r="AM14" s="406" t="str">
        <f>IFERROR(INDEX(V!$R:$R,MATCH(AN14,V!$L:$L,0)),"")</f>
        <v/>
      </c>
      <c r="AN14" s="407" t="str">
        <f t="shared" si="9"/>
        <v/>
      </c>
      <c r="AO14" s="406" t="str">
        <f>IFERROR(INDEX(V!$R:$R,MATCH(AP14,V!$L:$L,0)),"")</f>
        <v/>
      </c>
      <c r="AP14" s="407" t="str">
        <f t="shared" si="10"/>
        <v/>
      </c>
    </row>
    <row r="15" spans="1:42" x14ac:dyDescent="0.2">
      <c r="A15" s="614">
        <v>9</v>
      </c>
      <c r="B15" s="479" t="s">
        <v>385</v>
      </c>
      <c r="C15" s="615">
        <v>6</v>
      </c>
      <c r="D15" s="616" t="s">
        <v>363</v>
      </c>
      <c r="E15" s="617">
        <v>13</v>
      </c>
      <c r="F15" s="618" t="str">
        <f>B8</f>
        <v>Aarne Välja, Janek Tarto</v>
      </c>
      <c r="G15" s="615">
        <v>13</v>
      </c>
      <c r="H15" s="616" t="s">
        <v>363</v>
      </c>
      <c r="I15" s="617">
        <v>7</v>
      </c>
      <c r="J15" s="618" t="s">
        <v>372</v>
      </c>
      <c r="K15" s="615">
        <v>11</v>
      </c>
      <c r="L15" s="616" t="s">
        <v>363</v>
      </c>
      <c r="M15" s="617">
        <v>13</v>
      </c>
      <c r="N15" s="618" t="str">
        <f>B12</f>
        <v>Olav Türk, Urmas Jõeäär</v>
      </c>
      <c r="O15" s="615">
        <v>13</v>
      </c>
      <c r="P15" s="616" t="s">
        <v>363</v>
      </c>
      <c r="Q15" s="617">
        <v>9</v>
      </c>
      <c r="R15" s="618" t="str">
        <f>B18</f>
        <v>Karla Purgats, Tõnu Piik</v>
      </c>
      <c r="S15" s="615">
        <v>9</v>
      </c>
      <c r="T15" s="616" t="s">
        <v>363</v>
      </c>
      <c r="U15" s="617">
        <v>13</v>
      </c>
      <c r="V15" s="618" t="str">
        <f>B9</f>
        <v>Kenneth Muusikus, Peep Peenema</v>
      </c>
      <c r="W15" s="619">
        <f t="shared" si="0"/>
        <v>2</v>
      </c>
      <c r="X15" s="620"/>
      <c r="Y15" s="615">
        <f t="shared" si="1"/>
        <v>52</v>
      </c>
      <c r="Z15" s="616" t="s">
        <v>363</v>
      </c>
      <c r="AA15" s="621">
        <f t="shared" si="2"/>
        <v>55</v>
      </c>
      <c r="AB15" s="622">
        <f t="shared" si="3"/>
        <v>-3</v>
      </c>
      <c r="AD15" s="405">
        <f t="shared" si="4"/>
        <v>43</v>
      </c>
      <c r="AE15" s="406">
        <f>IFERROR(INDEX(V!$R:$R,MATCH(AF15,V!$L:$L,0)),"")</f>
        <v>18</v>
      </c>
      <c r="AF15" s="407" t="str">
        <f t="shared" si="5"/>
        <v>Margus Vasser</v>
      </c>
      <c r="AG15" s="406">
        <f>IFERROR(INDEX(V!$R:$R,MATCH(AH15,V!$L:$L,0)),"")</f>
        <v>25</v>
      </c>
      <c r="AH15" s="407" t="str">
        <f t="shared" si="6"/>
        <v>Vello Vasser</v>
      </c>
      <c r="AI15" s="406" t="str">
        <f>IFERROR(INDEX(V!$R:$R,MATCH(AJ15,V!$L:$L,0)),"")</f>
        <v/>
      </c>
      <c r="AJ15" s="407" t="str">
        <f t="shared" si="7"/>
        <v/>
      </c>
      <c r="AK15" s="406" t="str">
        <f>IFERROR(INDEX(V!$R:$R,MATCH(AL15,V!$L:$L,0)),"")</f>
        <v/>
      </c>
      <c r="AL15" s="407" t="str">
        <f t="shared" si="8"/>
        <v/>
      </c>
      <c r="AM15" s="406" t="str">
        <f>IFERROR(INDEX(V!$R:$R,MATCH(AN15,V!$L:$L,0)),"")</f>
        <v/>
      </c>
      <c r="AN15" s="407" t="str">
        <f t="shared" si="9"/>
        <v/>
      </c>
      <c r="AO15" s="406" t="str">
        <f>IFERROR(INDEX(V!$R:$R,MATCH(AP15,V!$L:$L,0)),"")</f>
        <v/>
      </c>
      <c r="AP15" s="407" t="str">
        <f t="shared" si="10"/>
        <v/>
      </c>
    </row>
    <row r="16" spans="1:42" x14ac:dyDescent="0.2">
      <c r="A16" s="614">
        <v>10</v>
      </c>
      <c r="B16" s="459" t="s">
        <v>430</v>
      </c>
      <c r="C16" s="615">
        <v>13</v>
      </c>
      <c r="D16" s="616" t="s">
        <v>363</v>
      </c>
      <c r="E16" s="617">
        <v>8</v>
      </c>
      <c r="F16" s="618" t="str">
        <f>B13</f>
        <v>Jaan Saar, Toomas Tedrekull</v>
      </c>
      <c r="G16" s="615">
        <v>9</v>
      </c>
      <c r="H16" s="616" t="s">
        <v>363</v>
      </c>
      <c r="I16" s="617">
        <v>13</v>
      </c>
      <c r="J16" s="618" t="str">
        <f>B7</f>
        <v>Matti Vinni, Vladimir Ogneštšikov</v>
      </c>
      <c r="K16" s="615">
        <v>9</v>
      </c>
      <c r="L16" s="616" t="s">
        <v>363</v>
      </c>
      <c r="M16" s="617">
        <v>13</v>
      </c>
      <c r="N16" s="618" t="str">
        <f>B10</f>
        <v>Jaan Sepp, Oskar Sepp</v>
      </c>
      <c r="O16" s="615">
        <v>6</v>
      </c>
      <c r="P16" s="616" t="s">
        <v>363</v>
      </c>
      <c r="Q16" s="617">
        <v>13</v>
      </c>
      <c r="R16" s="618" t="str">
        <f>B11</f>
        <v>Andrei Grintšak, Boriss Klubov</v>
      </c>
      <c r="S16" s="615">
        <v>13</v>
      </c>
      <c r="T16" s="616" t="s">
        <v>363</v>
      </c>
      <c r="U16" s="617">
        <v>1</v>
      </c>
      <c r="V16" s="618" t="str">
        <f>B19</f>
        <v>Enn Tokman, Tarmo Bombe</v>
      </c>
      <c r="W16" s="619">
        <f t="shared" si="0"/>
        <v>2</v>
      </c>
      <c r="X16" s="620"/>
      <c r="Y16" s="615">
        <f t="shared" si="1"/>
        <v>50</v>
      </c>
      <c r="Z16" s="616" t="s">
        <v>363</v>
      </c>
      <c r="AA16" s="621">
        <f t="shared" si="2"/>
        <v>48</v>
      </c>
      <c r="AB16" s="622">
        <f t="shared" si="3"/>
        <v>2</v>
      </c>
      <c r="AD16" s="405">
        <f t="shared" si="4"/>
        <v>126</v>
      </c>
      <c r="AE16" s="406" t="str">
        <f>IFERROR(INDEX(V!$R:$R,MATCH(AF16,V!$L:$L,0)),"")</f>
        <v/>
      </c>
      <c r="AF16" s="407" t="str">
        <f t="shared" si="5"/>
        <v>Oksana Rõndenkova</v>
      </c>
      <c r="AG16" s="406">
        <f>IFERROR(INDEX(V!$R:$R,MATCH(AH16,V!$L:$L,0)),"")</f>
        <v>126</v>
      </c>
      <c r="AH16" s="407" t="str">
        <f t="shared" si="6"/>
        <v>Oleg Rõndenkov</v>
      </c>
      <c r="AI16" s="406" t="str">
        <f>IFERROR(INDEX(V!$R:$R,MATCH(AJ16,V!$L:$L,0)),"")</f>
        <v/>
      </c>
      <c r="AJ16" s="407" t="str">
        <f t="shared" si="7"/>
        <v/>
      </c>
      <c r="AK16" s="406" t="str">
        <f>IFERROR(INDEX(V!$R:$R,MATCH(AL16,V!$L:$L,0)),"")</f>
        <v/>
      </c>
      <c r="AL16" s="407" t="str">
        <f t="shared" si="8"/>
        <v/>
      </c>
      <c r="AM16" s="406" t="str">
        <f>IFERROR(INDEX(V!$R:$R,MATCH(AN16,V!$L:$L,0)),"")</f>
        <v/>
      </c>
      <c r="AN16" s="407" t="str">
        <f t="shared" si="9"/>
        <v/>
      </c>
      <c r="AO16" s="406" t="str">
        <f>IFERROR(INDEX(V!$R:$R,MATCH(AP16,V!$L:$L,0)),"")</f>
        <v/>
      </c>
      <c r="AP16" s="407" t="str">
        <f t="shared" si="10"/>
        <v/>
      </c>
    </row>
    <row r="17" spans="1:42" x14ac:dyDescent="0.2">
      <c r="A17" s="614">
        <v>11</v>
      </c>
      <c r="B17" s="623" t="s">
        <v>487</v>
      </c>
      <c r="C17" s="615">
        <v>10</v>
      </c>
      <c r="D17" s="616" t="s">
        <v>363</v>
      </c>
      <c r="E17" s="617">
        <v>13</v>
      </c>
      <c r="F17" s="618" t="str">
        <f>B14</f>
        <v>Daniil Alekankin, Tõnis Anton</v>
      </c>
      <c r="G17" s="615">
        <v>11</v>
      </c>
      <c r="H17" s="616" t="s">
        <v>363</v>
      </c>
      <c r="I17" s="617">
        <v>13</v>
      </c>
      <c r="J17" s="618" t="str">
        <f>B9</f>
        <v>Kenneth Muusikus, Peep Peenema</v>
      </c>
      <c r="K17" s="615">
        <v>13</v>
      </c>
      <c r="L17" s="616" t="s">
        <v>363</v>
      </c>
      <c r="M17" s="617">
        <v>6</v>
      </c>
      <c r="N17" s="618" t="str">
        <f>B19</f>
        <v>Enn Tokman, Tarmo Bombe</v>
      </c>
      <c r="O17" s="615">
        <v>13</v>
      </c>
      <c r="P17" s="616" t="s">
        <v>363</v>
      </c>
      <c r="Q17" s="617">
        <v>5</v>
      </c>
      <c r="R17" s="618" t="str">
        <f>B13</f>
        <v>Jaan Saar, Toomas Tedrekull</v>
      </c>
      <c r="S17" s="615">
        <v>7</v>
      </c>
      <c r="T17" s="616" t="s">
        <v>363</v>
      </c>
      <c r="U17" s="617">
        <v>13</v>
      </c>
      <c r="V17" s="618" t="str">
        <f>B8</f>
        <v>Aarne Välja, Janek Tarto</v>
      </c>
      <c r="W17" s="619">
        <f t="shared" si="0"/>
        <v>2</v>
      </c>
      <c r="X17" s="620"/>
      <c r="Y17" s="615">
        <f t="shared" si="1"/>
        <v>54</v>
      </c>
      <c r="Z17" s="616" t="s">
        <v>363</v>
      </c>
      <c r="AA17" s="621">
        <f t="shared" si="2"/>
        <v>50</v>
      </c>
      <c r="AB17" s="622">
        <f t="shared" si="3"/>
        <v>4</v>
      </c>
      <c r="AD17" s="405">
        <f t="shared" si="4"/>
        <v>228</v>
      </c>
      <c r="AE17" s="406">
        <f>IFERROR(INDEX(V!$R:$R,MATCH(AF17,V!$L:$L,0)),"")</f>
        <v>90</v>
      </c>
      <c r="AF17" s="407" t="str">
        <f t="shared" si="5"/>
        <v>Henri Mitt</v>
      </c>
      <c r="AG17" s="406">
        <f>IFERROR(INDEX(V!$R:$R,MATCH(AH17,V!$L:$L,0)),"")</f>
        <v>138</v>
      </c>
      <c r="AH17" s="407" t="str">
        <f t="shared" si="6"/>
        <v>Urmas Randlaine</v>
      </c>
      <c r="AI17" s="406" t="str">
        <f>IFERROR(INDEX(V!$R:$R,MATCH(AJ17,V!$L:$L,0)),"")</f>
        <v/>
      </c>
      <c r="AJ17" s="407" t="str">
        <f t="shared" si="7"/>
        <v/>
      </c>
      <c r="AK17" s="406" t="str">
        <f>IFERROR(INDEX(V!$R:$R,MATCH(AL17,V!$L:$L,0)),"")</f>
        <v/>
      </c>
      <c r="AL17" s="407" t="str">
        <f t="shared" si="8"/>
        <v/>
      </c>
      <c r="AM17" s="406" t="str">
        <f>IFERROR(INDEX(V!$R:$R,MATCH(AN17,V!$L:$L,0)),"")</f>
        <v/>
      </c>
      <c r="AN17" s="407" t="str">
        <f t="shared" si="9"/>
        <v/>
      </c>
      <c r="AO17" s="406" t="str">
        <f>IFERROR(INDEX(V!$R:$R,MATCH(AP17,V!$L:$L,0)),"")</f>
        <v/>
      </c>
      <c r="AP17" s="407" t="str">
        <f t="shared" si="10"/>
        <v/>
      </c>
    </row>
    <row r="18" spans="1:42" x14ac:dyDescent="0.2">
      <c r="A18" s="614">
        <v>12</v>
      </c>
      <c r="B18" s="459" t="s">
        <v>513</v>
      </c>
      <c r="C18" s="615">
        <v>13</v>
      </c>
      <c r="D18" s="616" t="s">
        <v>363</v>
      </c>
      <c r="E18" s="617">
        <v>10</v>
      </c>
      <c r="F18" s="618" t="str">
        <f>B11</f>
        <v>Andrei Grintšak, Boriss Klubov</v>
      </c>
      <c r="G18" s="615">
        <v>4</v>
      </c>
      <c r="H18" s="616" t="s">
        <v>363</v>
      </c>
      <c r="I18" s="617">
        <v>13</v>
      </c>
      <c r="J18" s="618" t="str">
        <f>B14</f>
        <v>Daniil Alekankin, Tõnis Anton</v>
      </c>
      <c r="K18" s="615">
        <v>12</v>
      </c>
      <c r="L18" s="616" t="s">
        <v>363</v>
      </c>
      <c r="M18" s="617">
        <v>13</v>
      </c>
      <c r="N18" s="618" t="str">
        <f>B13</f>
        <v>Jaan Saar, Toomas Tedrekull</v>
      </c>
      <c r="O18" s="615">
        <v>9</v>
      </c>
      <c r="P18" s="616" t="s">
        <v>363</v>
      </c>
      <c r="Q18" s="617">
        <v>13</v>
      </c>
      <c r="R18" s="618" t="str">
        <f>B15</f>
        <v>Margus Vasser, Vello Vasser</v>
      </c>
      <c r="S18" s="615">
        <v>13</v>
      </c>
      <c r="T18" s="616" t="s">
        <v>363</v>
      </c>
      <c r="U18" s="617">
        <v>7</v>
      </c>
      <c r="V18" s="618" t="s">
        <v>372</v>
      </c>
      <c r="W18" s="619">
        <f t="shared" si="0"/>
        <v>2</v>
      </c>
      <c r="X18" s="620"/>
      <c r="Y18" s="615">
        <f t="shared" si="1"/>
        <v>51</v>
      </c>
      <c r="Z18" s="616" t="s">
        <v>363</v>
      </c>
      <c r="AA18" s="621">
        <f t="shared" si="2"/>
        <v>56</v>
      </c>
      <c r="AB18" s="622">
        <f t="shared" si="3"/>
        <v>-5</v>
      </c>
      <c r="AD18" s="405">
        <f t="shared" si="4"/>
        <v>284</v>
      </c>
      <c r="AE18" s="406">
        <f>IFERROR(INDEX(V!$R:$R,MATCH(AF18,V!$L:$L,0)),"")</f>
        <v>150.5</v>
      </c>
      <c r="AF18" s="407" t="str">
        <f t="shared" si="5"/>
        <v>Karla Purgats</v>
      </c>
      <c r="AG18" s="406">
        <f>IFERROR(INDEX(V!$R:$R,MATCH(AH18,V!$L:$L,0)),"")</f>
        <v>133.5</v>
      </c>
      <c r="AH18" s="407" t="str">
        <f t="shared" si="6"/>
        <v>Tõnu Piik</v>
      </c>
      <c r="AI18" s="406" t="str">
        <f>IFERROR(INDEX(V!$R:$R,MATCH(AJ18,V!$L:$L,0)),"")</f>
        <v/>
      </c>
      <c r="AJ18" s="407" t="str">
        <f t="shared" si="7"/>
        <v/>
      </c>
      <c r="AK18" s="406" t="str">
        <f>IFERROR(INDEX(V!$R:$R,MATCH(AL18,V!$L:$L,0)),"")</f>
        <v/>
      </c>
      <c r="AL18" s="407" t="str">
        <f t="shared" si="8"/>
        <v/>
      </c>
      <c r="AM18" s="406" t="str">
        <f>IFERROR(INDEX(V!$R:$R,MATCH(AN18,V!$L:$L,0)),"")</f>
        <v/>
      </c>
      <c r="AN18" s="407" t="str">
        <f t="shared" si="9"/>
        <v/>
      </c>
      <c r="AO18" s="406" t="str">
        <f>IFERROR(INDEX(V!$R:$R,MATCH(AP18,V!$L:$L,0)),"")</f>
        <v/>
      </c>
      <c r="AP18" s="407" t="str">
        <f t="shared" si="10"/>
        <v/>
      </c>
    </row>
    <row r="19" spans="1:42" x14ac:dyDescent="0.2">
      <c r="A19" s="614">
        <v>13</v>
      </c>
      <c r="B19" s="623" t="s">
        <v>280</v>
      </c>
      <c r="C19" s="615">
        <v>7</v>
      </c>
      <c r="D19" s="616" t="s">
        <v>363</v>
      </c>
      <c r="E19" s="617">
        <v>13</v>
      </c>
      <c r="F19" s="618" t="str">
        <f>B7</f>
        <v>Matti Vinni, Vladimir Ogneštšikov</v>
      </c>
      <c r="G19" s="615">
        <v>10</v>
      </c>
      <c r="H19" s="616" t="s">
        <v>363</v>
      </c>
      <c r="I19" s="617">
        <v>13</v>
      </c>
      <c r="J19" s="618" t="str">
        <f>B13</f>
        <v>Jaan Saar, Toomas Tedrekull</v>
      </c>
      <c r="K19" s="615">
        <v>6</v>
      </c>
      <c r="L19" s="616" t="s">
        <v>363</v>
      </c>
      <c r="M19" s="617">
        <v>13</v>
      </c>
      <c r="N19" s="618" t="str">
        <f>B17</f>
        <v>Henri Mitt, Urmas Randlaine</v>
      </c>
      <c r="O19" s="615">
        <v>13</v>
      </c>
      <c r="P19" s="616" t="s">
        <v>363</v>
      </c>
      <c r="Q19" s="617">
        <v>7</v>
      </c>
      <c r="R19" s="618" t="s">
        <v>372</v>
      </c>
      <c r="S19" s="615">
        <v>1</v>
      </c>
      <c r="T19" s="616" t="s">
        <v>363</v>
      </c>
      <c r="U19" s="617">
        <v>13</v>
      </c>
      <c r="V19" s="618" t="str">
        <f>B16</f>
        <v>Oksana Rõndenkova, Oleg Rõndenkov</v>
      </c>
      <c r="W19" s="1115">
        <f t="shared" si="0"/>
        <v>1</v>
      </c>
      <c r="X19" s="620"/>
      <c r="Y19" s="615">
        <f t="shared" si="1"/>
        <v>37</v>
      </c>
      <c r="Z19" s="616" t="s">
        <v>363</v>
      </c>
      <c r="AA19" s="683">
        <f t="shared" si="2"/>
        <v>59</v>
      </c>
      <c r="AB19" s="622">
        <f t="shared" si="3"/>
        <v>-22</v>
      </c>
      <c r="AD19" s="405">
        <f t="shared" si="4"/>
        <v>223</v>
      </c>
      <c r="AE19" s="406">
        <f>IFERROR(INDEX(V!$R:$R,MATCH(AF19,V!$L:$L,0)),"")</f>
        <v>118</v>
      </c>
      <c r="AF19" s="407" t="str">
        <f t="shared" si="5"/>
        <v>Enn Tokman</v>
      </c>
      <c r="AG19" s="406">
        <f>IFERROR(INDEX(V!$R:$R,MATCH(AH19,V!$L:$L,0)),"")</f>
        <v>105</v>
      </c>
      <c r="AH19" s="407" t="str">
        <f t="shared" si="6"/>
        <v>Tarmo Bombe</v>
      </c>
      <c r="AI19" s="406" t="str">
        <f>IFERROR(INDEX(V!$R:$R,MATCH(AJ19,V!$L:$L,0)),"")</f>
        <v/>
      </c>
      <c r="AJ19" s="407" t="str">
        <f t="shared" si="7"/>
        <v/>
      </c>
      <c r="AK19" s="406" t="str">
        <f>IFERROR(INDEX(V!$R:$R,MATCH(AL19,V!$L:$L,0)),"")</f>
        <v/>
      </c>
      <c r="AL19" s="407" t="str">
        <f t="shared" si="8"/>
        <v/>
      </c>
      <c r="AM19" s="406" t="str">
        <f>IFERROR(INDEX(V!$R:$R,MATCH(AN19,V!$L:$L,0)),"")</f>
        <v/>
      </c>
      <c r="AN19" s="407" t="str">
        <f t="shared" si="9"/>
        <v/>
      </c>
      <c r="AO19" s="406" t="str">
        <f>IFERROR(INDEX(V!$R:$R,MATCH(AP19,V!$L:$L,0)),"")</f>
        <v/>
      </c>
      <c r="AP19" s="407" t="str">
        <f t="shared" si="10"/>
        <v/>
      </c>
    </row>
    <row r="21" spans="1:42" x14ac:dyDescent="0.2">
      <c r="A21" s="703" t="s">
        <v>435</v>
      </c>
      <c r="B21" s="704"/>
      <c r="C21" s="704"/>
      <c r="D21" s="704"/>
      <c r="E21" s="704"/>
      <c r="F21" s="704"/>
      <c r="G21" s="704"/>
      <c r="H21" s="704"/>
      <c r="I21" s="704"/>
      <c r="J21" s="704"/>
      <c r="K21" s="704"/>
      <c r="L21" s="704"/>
      <c r="M21" s="704"/>
      <c r="N21" s="704"/>
      <c r="O21" s="704"/>
      <c r="P21" s="704"/>
      <c r="Q21" s="704"/>
      <c r="R21" s="704"/>
      <c r="S21" s="704"/>
      <c r="T21" s="704"/>
      <c r="U21" s="704"/>
      <c r="V21" s="704"/>
    </row>
    <row r="22" spans="1:42" x14ac:dyDescent="0.2">
      <c r="A22" s="704"/>
      <c r="B22" s="704"/>
      <c r="C22" s="704"/>
      <c r="D22" s="704"/>
      <c r="E22" s="704"/>
      <c r="F22" s="704"/>
      <c r="G22" s="704"/>
      <c r="H22" s="704"/>
      <c r="I22" s="704"/>
      <c r="J22" s="704"/>
      <c r="K22" s="704"/>
      <c r="L22" s="704"/>
      <c r="M22" s="704"/>
      <c r="N22" s="704"/>
      <c r="O22" s="704"/>
      <c r="P22" s="704"/>
      <c r="Q22" s="704"/>
      <c r="R22" s="704"/>
      <c r="S22" s="704"/>
      <c r="T22" s="704"/>
      <c r="U22" s="704"/>
      <c r="V22" s="704"/>
    </row>
    <row r="23" spans="1:42" x14ac:dyDescent="0.2">
      <c r="A23" s="676"/>
      <c r="B23" s="1027"/>
      <c r="C23" s="706">
        <v>2</v>
      </c>
      <c r="D23" s="706"/>
      <c r="E23" s="706"/>
      <c r="F23" s="707">
        <v>3</v>
      </c>
      <c r="G23" s="706">
        <v>4</v>
      </c>
      <c r="H23" s="706"/>
      <c r="I23" s="706"/>
      <c r="J23" s="707">
        <v>12</v>
      </c>
      <c r="K23" s="708">
        <v>13</v>
      </c>
      <c r="L23" s="706"/>
      <c r="M23" s="709"/>
      <c r="N23" s="667" t="s">
        <v>169</v>
      </c>
      <c r="O23" s="704"/>
      <c r="P23" s="704"/>
      <c r="Q23" s="710" t="s">
        <v>102</v>
      </c>
      <c r="R23" s="704"/>
      <c r="S23" s="704"/>
      <c r="T23" s="704"/>
      <c r="U23" s="711"/>
      <c r="V23" s="704"/>
    </row>
    <row r="24" spans="1:42" x14ac:dyDescent="0.2">
      <c r="A24" s="708">
        <v>2</v>
      </c>
      <c r="B24" s="328" t="s">
        <v>272</v>
      </c>
      <c r="C24" s="712"/>
      <c r="D24" s="712"/>
      <c r="E24" s="712"/>
      <c r="F24" s="713">
        <v>1</v>
      </c>
      <c r="G24" s="714"/>
      <c r="H24" s="714"/>
      <c r="I24" s="714"/>
      <c r="J24" s="715"/>
      <c r="K24" s="1029">
        <v>13</v>
      </c>
      <c r="L24" s="714"/>
      <c r="M24" s="717"/>
      <c r="N24" s="707">
        <v>3</v>
      </c>
      <c r="O24" s="704"/>
      <c r="P24" s="704"/>
      <c r="Q24" s="704" t="s">
        <v>436</v>
      </c>
      <c r="R24" s="1032" t="s">
        <v>519</v>
      </c>
      <c r="S24" s="1035" t="s">
        <v>523</v>
      </c>
      <c r="T24" s="704"/>
      <c r="U24" s="719"/>
      <c r="V24" s="701" t="s">
        <v>189</v>
      </c>
    </row>
    <row r="25" spans="1:42" x14ac:dyDescent="0.2">
      <c r="A25" s="708">
        <v>3</v>
      </c>
      <c r="B25" s="479" t="s">
        <v>276</v>
      </c>
      <c r="C25" s="706">
        <v>13</v>
      </c>
      <c r="D25" s="721"/>
      <c r="E25" s="721"/>
      <c r="F25" s="722"/>
      <c r="G25" s="714">
        <v>12</v>
      </c>
      <c r="H25" s="714"/>
      <c r="I25" s="714"/>
      <c r="J25" s="715"/>
      <c r="K25" s="716"/>
      <c r="L25" s="714"/>
      <c r="M25" s="717"/>
      <c r="N25" s="707">
        <v>2</v>
      </c>
      <c r="O25" s="704"/>
      <c r="P25" s="704"/>
      <c r="Q25" s="704" t="s">
        <v>436</v>
      </c>
      <c r="R25" s="1033">
        <v>11</v>
      </c>
      <c r="S25" s="1035" t="s">
        <v>524</v>
      </c>
      <c r="T25" s="704"/>
      <c r="U25" s="699"/>
      <c r="V25" s="701" t="s">
        <v>188</v>
      </c>
    </row>
    <row r="26" spans="1:42" x14ac:dyDescent="0.2">
      <c r="A26" s="708">
        <v>4</v>
      </c>
      <c r="B26" s="324" t="s">
        <v>510</v>
      </c>
      <c r="C26" s="721"/>
      <c r="D26" s="721"/>
      <c r="E26" s="714"/>
      <c r="F26" s="1030">
        <v>13</v>
      </c>
      <c r="G26" s="712"/>
      <c r="H26" s="712"/>
      <c r="I26" s="712"/>
      <c r="J26" s="715"/>
      <c r="K26" s="725">
        <v>9</v>
      </c>
      <c r="L26" s="721"/>
      <c r="M26" s="726"/>
      <c r="N26" s="707">
        <v>1</v>
      </c>
      <c r="O26" s="704"/>
      <c r="P26" s="704"/>
      <c r="Q26" s="704" t="s">
        <v>436</v>
      </c>
      <c r="R26" s="1032" t="s">
        <v>519</v>
      </c>
      <c r="S26" s="1036">
        <v>0</v>
      </c>
      <c r="T26" s="704"/>
      <c r="U26" s="699"/>
      <c r="V26" s="701" t="s">
        <v>187</v>
      </c>
    </row>
    <row r="27" spans="1:42" x14ac:dyDescent="0.2">
      <c r="A27" s="708">
        <v>12</v>
      </c>
      <c r="B27" s="1028" t="s">
        <v>511</v>
      </c>
      <c r="C27" s="721"/>
      <c r="D27" s="721"/>
      <c r="E27" s="714"/>
      <c r="F27" s="715"/>
      <c r="G27" s="714"/>
      <c r="H27" s="714"/>
      <c r="I27" s="714"/>
      <c r="J27" s="722"/>
      <c r="K27" s="725"/>
      <c r="L27" s="721"/>
      <c r="M27" s="726"/>
      <c r="N27" s="707">
        <v>5</v>
      </c>
      <c r="O27" s="704"/>
      <c r="P27" s="704"/>
      <c r="Q27" s="704"/>
      <c r="R27" s="1034"/>
      <c r="S27" s="1036"/>
      <c r="T27" s="704"/>
      <c r="U27" s="699"/>
      <c r="V27" s="701" t="s">
        <v>201</v>
      </c>
    </row>
    <row r="28" spans="1:42" x14ac:dyDescent="0.2">
      <c r="A28" s="708">
        <v>13</v>
      </c>
      <c r="B28" s="324" t="s">
        <v>383</v>
      </c>
      <c r="C28" s="714">
        <v>4</v>
      </c>
      <c r="D28" s="714"/>
      <c r="E28" s="714"/>
      <c r="F28" s="715"/>
      <c r="G28" s="706">
        <v>13</v>
      </c>
      <c r="H28" s="721"/>
      <c r="I28" s="721"/>
      <c r="J28" s="713"/>
      <c r="K28" s="728"/>
      <c r="L28" s="712"/>
      <c r="M28" s="729"/>
      <c r="N28" s="707">
        <v>4</v>
      </c>
      <c r="O28" s="704"/>
      <c r="P28" s="704"/>
      <c r="Q28" s="704" t="s">
        <v>436</v>
      </c>
      <c r="R28" s="1032" t="s">
        <v>520</v>
      </c>
      <c r="S28" s="1035" t="s">
        <v>519</v>
      </c>
      <c r="T28" s="704"/>
      <c r="U28" s="719"/>
      <c r="V28" s="701" t="s">
        <v>190</v>
      </c>
    </row>
    <row r="29" spans="1:42" x14ac:dyDescent="0.2">
      <c r="B29" s="62"/>
    </row>
    <row r="30" spans="1:42" x14ac:dyDescent="0.2">
      <c r="A30" s="703" t="s">
        <v>437</v>
      </c>
      <c r="B30" s="711"/>
      <c r="C30" s="704"/>
      <c r="D30" s="704"/>
      <c r="E30" s="704"/>
      <c r="F30" s="704"/>
      <c r="G30" s="704"/>
      <c r="H30" s="704"/>
      <c r="I30" s="704"/>
      <c r="J30" s="704"/>
      <c r="K30" s="704"/>
      <c r="L30" s="704"/>
      <c r="M30" s="704"/>
      <c r="N30" s="704"/>
      <c r="O30" s="704"/>
      <c r="P30" s="704"/>
      <c r="Q30" s="704"/>
      <c r="R30" s="704"/>
      <c r="S30" s="704"/>
      <c r="T30" s="704"/>
      <c r="U30" s="704"/>
      <c r="V30" s="704"/>
    </row>
    <row r="31" spans="1:42" x14ac:dyDescent="0.2">
      <c r="A31" s="704"/>
      <c r="B31" s="711"/>
      <c r="C31" s="704"/>
      <c r="D31" s="704"/>
      <c r="E31" s="704"/>
      <c r="F31" s="704"/>
      <c r="G31" s="704"/>
      <c r="H31" s="704"/>
      <c r="I31" s="704"/>
      <c r="J31" s="704"/>
      <c r="K31" s="704"/>
      <c r="L31" s="704"/>
      <c r="M31" s="704"/>
      <c r="N31" s="704"/>
      <c r="O31" s="704"/>
      <c r="P31" s="704"/>
      <c r="Q31" s="704"/>
      <c r="R31" s="704"/>
      <c r="S31" s="704"/>
      <c r="T31" s="704"/>
      <c r="U31" s="704"/>
      <c r="V31" s="704"/>
    </row>
    <row r="32" spans="1:42" x14ac:dyDescent="0.2">
      <c r="A32" s="676"/>
      <c r="B32" s="1027"/>
      <c r="C32" s="706">
        <v>1</v>
      </c>
      <c r="D32" s="706"/>
      <c r="E32" s="706"/>
      <c r="F32" s="707">
        <v>6</v>
      </c>
      <c r="G32" s="706">
        <v>9</v>
      </c>
      <c r="H32" s="706"/>
      <c r="I32" s="706"/>
      <c r="J32" s="707">
        <v>10</v>
      </c>
      <c r="K32" s="708">
        <v>11</v>
      </c>
      <c r="L32" s="706"/>
      <c r="M32" s="709"/>
      <c r="N32" s="667" t="s">
        <v>169</v>
      </c>
      <c r="O32" s="704"/>
      <c r="P32" s="704"/>
      <c r="Q32" s="710" t="s">
        <v>102</v>
      </c>
      <c r="R32" s="704"/>
      <c r="S32" s="704"/>
      <c r="T32" s="704"/>
      <c r="U32" s="704"/>
      <c r="V32" s="704"/>
    </row>
    <row r="33" spans="1:22" x14ac:dyDescent="0.2">
      <c r="A33" s="708">
        <v>1</v>
      </c>
      <c r="B33" s="542" t="s">
        <v>513</v>
      </c>
      <c r="C33" s="712"/>
      <c r="D33" s="712"/>
      <c r="E33" s="712"/>
      <c r="F33" s="713">
        <v>9</v>
      </c>
      <c r="G33" s="714"/>
      <c r="H33" s="714"/>
      <c r="I33" s="714"/>
      <c r="J33" s="715">
        <v>4</v>
      </c>
      <c r="K33" s="716"/>
      <c r="L33" s="714"/>
      <c r="M33" s="717"/>
      <c r="N33" s="707">
        <v>5</v>
      </c>
      <c r="O33" s="704"/>
      <c r="P33" s="704"/>
      <c r="Q33" s="704" t="s">
        <v>522</v>
      </c>
      <c r="R33" s="718"/>
      <c r="S33" s="704"/>
      <c r="T33" s="704"/>
      <c r="U33" s="704"/>
      <c r="V33" s="701" t="s">
        <v>211</v>
      </c>
    </row>
    <row r="34" spans="1:22" x14ac:dyDescent="0.2">
      <c r="A34" s="708">
        <v>6</v>
      </c>
      <c r="B34" s="479" t="s">
        <v>385</v>
      </c>
      <c r="C34" s="706">
        <v>13</v>
      </c>
      <c r="D34" s="721"/>
      <c r="E34" s="721"/>
      <c r="F34" s="722"/>
      <c r="G34" s="714"/>
      <c r="H34" s="714"/>
      <c r="I34" s="714"/>
      <c r="J34" s="715"/>
      <c r="K34" s="716"/>
      <c r="L34" s="714"/>
      <c r="M34" s="717"/>
      <c r="N34" s="707">
        <v>2</v>
      </c>
      <c r="O34" s="704"/>
      <c r="P34" s="704"/>
      <c r="Q34" s="704" t="s">
        <v>436</v>
      </c>
      <c r="R34" s="723"/>
      <c r="S34" s="704"/>
      <c r="T34" s="704"/>
      <c r="U34" s="704"/>
      <c r="V34" s="701" t="s">
        <v>207</v>
      </c>
    </row>
    <row r="35" spans="1:22" x14ac:dyDescent="0.2">
      <c r="A35" s="708">
        <v>9</v>
      </c>
      <c r="B35" s="623" t="s">
        <v>487</v>
      </c>
      <c r="C35" s="721"/>
      <c r="D35" s="721"/>
      <c r="E35" s="714"/>
      <c r="F35" s="715"/>
      <c r="G35" s="712"/>
      <c r="H35" s="712"/>
      <c r="I35" s="712"/>
      <c r="J35" s="715">
        <v>10</v>
      </c>
      <c r="K35" s="725"/>
      <c r="L35" s="721"/>
      <c r="M35" s="726"/>
      <c r="N35" s="707">
        <v>4</v>
      </c>
      <c r="O35" s="704"/>
      <c r="P35" s="704"/>
      <c r="Q35" s="704" t="s">
        <v>438</v>
      </c>
      <c r="R35" s="727"/>
      <c r="S35" s="704"/>
      <c r="T35" s="704"/>
      <c r="U35" s="704"/>
      <c r="V35" s="701" t="s">
        <v>210</v>
      </c>
    </row>
    <row r="36" spans="1:22" x14ac:dyDescent="0.2">
      <c r="A36" s="708">
        <v>10</v>
      </c>
      <c r="B36" s="623" t="s">
        <v>512</v>
      </c>
      <c r="C36" s="706">
        <v>13</v>
      </c>
      <c r="D36" s="721"/>
      <c r="E36" s="714"/>
      <c r="F36" s="715"/>
      <c r="G36" s="714">
        <v>13</v>
      </c>
      <c r="H36" s="714"/>
      <c r="I36" s="1031"/>
      <c r="J36" s="722"/>
      <c r="K36" s="725"/>
      <c r="L36" s="721"/>
      <c r="M36" s="726"/>
      <c r="N36" s="707">
        <v>1</v>
      </c>
      <c r="O36" s="704"/>
      <c r="P36" s="704"/>
      <c r="Q36" s="704" t="s">
        <v>521</v>
      </c>
      <c r="R36" s="727"/>
      <c r="V36" s="701" t="s">
        <v>202</v>
      </c>
    </row>
    <row r="37" spans="1:22" x14ac:dyDescent="0.2">
      <c r="A37" s="708">
        <v>11</v>
      </c>
      <c r="B37" s="542" t="s">
        <v>430</v>
      </c>
      <c r="C37" s="714"/>
      <c r="D37" s="714"/>
      <c r="E37" s="714"/>
      <c r="F37" s="715"/>
      <c r="G37" s="721"/>
      <c r="H37" s="721"/>
      <c r="I37" s="721"/>
      <c r="J37" s="713"/>
      <c r="K37" s="728"/>
      <c r="L37" s="712"/>
      <c r="M37" s="729"/>
      <c r="N37" s="707">
        <v>3</v>
      </c>
      <c r="O37" s="704"/>
      <c r="P37" s="704"/>
      <c r="Q37" s="704"/>
      <c r="R37" s="718"/>
      <c r="S37" s="271"/>
      <c r="T37" s="271"/>
      <c r="U37" s="271"/>
      <c r="V37" s="701" t="s">
        <v>209</v>
      </c>
    </row>
    <row r="38" spans="1:22" hidden="1" x14ac:dyDescent="0.2">
      <c r="B38" s="62"/>
    </row>
    <row r="39" spans="1:22" hidden="1" x14ac:dyDescent="0.2">
      <c r="B39" s="62"/>
    </row>
    <row r="40" spans="1:22" hidden="1" x14ac:dyDescent="0.2">
      <c r="B40" s="62"/>
    </row>
    <row r="41" spans="1:22" hidden="1" x14ac:dyDescent="0.2">
      <c r="B41" s="62"/>
    </row>
    <row r="42" spans="1:22" hidden="1" x14ac:dyDescent="0.2">
      <c r="B42" s="62"/>
    </row>
    <row r="43" spans="1:22" hidden="1" x14ac:dyDescent="0.2">
      <c r="B43" s="62"/>
    </row>
    <row r="44" spans="1:22" hidden="1" x14ac:dyDescent="0.2">
      <c r="B44" s="62"/>
    </row>
    <row r="45" spans="1:22" hidden="1" x14ac:dyDescent="0.2">
      <c r="B45" s="62"/>
    </row>
    <row r="46" spans="1:22" hidden="1" x14ac:dyDescent="0.2">
      <c r="B46" s="62"/>
    </row>
    <row r="47" spans="1:22" hidden="1" x14ac:dyDescent="0.2">
      <c r="B47" s="62"/>
    </row>
    <row r="48" spans="1:22" hidden="1" x14ac:dyDescent="0.2">
      <c r="B48" s="62"/>
    </row>
    <row r="49" spans="2:2" hidden="1" x14ac:dyDescent="0.2">
      <c r="B49" s="62"/>
    </row>
    <row r="50" spans="2:2" hidden="1" x14ac:dyDescent="0.2">
      <c r="B50" s="62"/>
    </row>
    <row r="51" spans="2:2" hidden="1" x14ac:dyDescent="0.2">
      <c r="B51" s="62"/>
    </row>
    <row r="52" spans="2:2" hidden="1" x14ac:dyDescent="0.2">
      <c r="B52" s="62"/>
    </row>
    <row r="53" spans="2:2" hidden="1" x14ac:dyDescent="0.2">
      <c r="B53" s="62"/>
    </row>
    <row r="54" spans="2:2" hidden="1" x14ac:dyDescent="0.2">
      <c r="B54" s="62"/>
    </row>
    <row r="55" spans="2:2" hidden="1" x14ac:dyDescent="0.2">
      <c r="B55" s="62"/>
    </row>
    <row r="56" spans="2:2" hidden="1" x14ac:dyDescent="0.2">
      <c r="B56" s="62"/>
    </row>
    <row r="57" spans="2:2" hidden="1" x14ac:dyDescent="0.2">
      <c r="B57" s="62"/>
    </row>
    <row r="58" spans="2:2" hidden="1" x14ac:dyDescent="0.2">
      <c r="B58" s="62"/>
    </row>
    <row r="59" spans="2:2" hidden="1" x14ac:dyDescent="0.2">
      <c r="B59" s="62"/>
    </row>
    <row r="60" spans="2:2" hidden="1" x14ac:dyDescent="0.2">
      <c r="B60" s="62"/>
    </row>
    <row r="61" spans="2:2" hidden="1" x14ac:dyDescent="0.2">
      <c r="B61" s="62"/>
    </row>
    <row r="62" spans="2:2" hidden="1" x14ac:dyDescent="0.2">
      <c r="B62" s="62"/>
    </row>
    <row r="63" spans="2:2" hidden="1" x14ac:dyDescent="0.2">
      <c r="B63" s="62"/>
    </row>
    <row r="64" spans="2:2" hidden="1" x14ac:dyDescent="0.2">
      <c r="B64" s="62"/>
    </row>
    <row r="65" spans="2:2" hidden="1" x14ac:dyDescent="0.2">
      <c r="B65" s="62"/>
    </row>
    <row r="66" spans="2:2" hidden="1" x14ac:dyDescent="0.2">
      <c r="B66" s="62"/>
    </row>
    <row r="67" spans="2:2" hidden="1" x14ac:dyDescent="0.2">
      <c r="B67" s="62"/>
    </row>
    <row r="68" spans="2:2" hidden="1" x14ac:dyDescent="0.2">
      <c r="B68" s="62"/>
    </row>
    <row r="69" spans="2:2" hidden="1" x14ac:dyDescent="0.2">
      <c r="B69" s="62"/>
    </row>
    <row r="70" spans="2:2" hidden="1" x14ac:dyDescent="0.2">
      <c r="B70" s="62"/>
    </row>
    <row r="71" spans="2:2" hidden="1" x14ac:dyDescent="0.2">
      <c r="B71" s="62"/>
    </row>
    <row r="72" spans="2:2" hidden="1" x14ac:dyDescent="0.2">
      <c r="B72" s="62"/>
    </row>
    <row r="73" spans="2:2" hidden="1" x14ac:dyDescent="0.2">
      <c r="B73" s="62"/>
    </row>
    <row r="74" spans="2:2" hidden="1" x14ac:dyDescent="0.2">
      <c r="B74" s="62"/>
    </row>
    <row r="75" spans="2:2" hidden="1" x14ac:dyDescent="0.2">
      <c r="B75" s="62"/>
    </row>
    <row r="76" spans="2:2" hidden="1" x14ac:dyDescent="0.2">
      <c r="B76" s="62"/>
    </row>
    <row r="77" spans="2:2" hidden="1" x14ac:dyDescent="0.2">
      <c r="B77" s="62"/>
    </row>
    <row r="78" spans="2:2" hidden="1" x14ac:dyDescent="0.2">
      <c r="B78" s="62"/>
    </row>
    <row r="79" spans="2:2" hidden="1" x14ac:dyDescent="0.2">
      <c r="B79" s="62"/>
    </row>
    <row r="80" spans="2:2" hidden="1" x14ac:dyDescent="0.2">
      <c r="B80" s="62"/>
    </row>
    <row r="81" spans="2:2" hidden="1" x14ac:dyDescent="0.2">
      <c r="B81" s="62"/>
    </row>
    <row r="82" spans="2:2" hidden="1" x14ac:dyDescent="0.2">
      <c r="B82" s="62"/>
    </row>
    <row r="83" spans="2:2" hidden="1" x14ac:dyDescent="0.2">
      <c r="B83" s="62"/>
    </row>
    <row r="84" spans="2:2" hidden="1" x14ac:dyDescent="0.2">
      <c r="B84" s="62"/>
    </row>
    <row r="85" spans="2:2" hidden="1" x14ac:dyDescent="0.2">
      <c r="B85" s="62"/>
    </row>
    <row r="86" spans="2:2" hidden="1" x14ac:dyDescent="0.2">
      <c r="B86" s="62"/>
    </row>
    <row r="87" spans="2:2" hidden="1" x14ac:dyDescent="0.2">
      <c r="B87" s="62"/>
    </row>
    <row r="88" spans="2:2" hidden="1" x14ac:dyDescent="0.2">
      <c r="B88" s="62"/>
    </row>
    <row r="89" spans="2:2" hidden="1" x14ac:dyDescent="0.2">
      <c r="B89" s="62"/>
    </row>
    <row r="90" spans="2:2" hidden="1" x14ac:dyDescent="0.2">
      <c r="B90" s="62"/>
    </row>
    <row r="91" spans="2:2" hidden="1" x14ac:dyDescent="0.2">
      <c r="B91" s="62"/>
    </row>
    <row r="92" spans="2:2" hidden="1" x14ac:dyDescent="0.2">
      <c r="B92" s="62"/>
    </row>
    <row r="93" spans="2:2" hidden="1" x14ac:dyDescent="0.2">
      <c r="B93" s="62"/>
    </row>
    <row r="94" spans="2:2" hidden="1" x14ac:dyDescent="0.2">
      <c r="B94" s="62"/>
    </row>
    <row r="95" spans="2:2" hidden="1" x14ac:dyDescent="0.2">
      <c r="B95" s="62"/>
    </row>
    <row r="96" spans="2:2" hidden="1" x14ac:dyDescent="0.2">
      <c r="B96" s="62"/>
    </row>
    <row r="97" spans="2:2" hidden="1" x14ac:dyDescent="0.2">
      <c r="B97" s="62"/>
    </row>
    <row r="98" spans="2:2" hidden="1" x14ac:dyDescent="0.2">
      <c r="B98" s="62"/>
    </row>
    <row r="99" spans="2:2" hidden="1" x14ac:dyDescent="0.2">
      <c r="B99" s="62"/>
    </row>
    <row r="100" spans="2:2" hidden="1" x14ac:dyDescent="0.2">
      <c r="B100" s="62"/>
    </row>
    <row r="101" spans="2:2" hidden="1" x14ac:dyDescent="0.2">
      <c r="B101" s="62"/>
    </row>
    <row r="102" spans="2:2" hidden="1" x14ac:dyDescent="0.2">
      <c r="B102" s="62"/>
    </row>
    <row r="103" spans="2:2" hidden="1" x14ac:dyDescent="0.2">
      <c r="B103" s="62"/>
    </row>
    <row r="104" spans="2:2" hidden="1" x14ac:dyDescent="0.2">
      <c r="B104" s="62"/>
    </row>
    <row r="105" spans="2:2" hidden="1" x14ac:dyDescent="0.2">
      <c r="B105" s="62"/>
    </row>
    <row r="106" spans="2:2" hidden="1" x14ac:dyDescent="0.2">
      <c r="B106" s="62"/>
    </row>
    <row r="107" spans="2:2" hidden="1" x14ac:dyDescent="0.2">
      <c r="B107" s="62"/>
    </row>
    <row r="108" spans="2:2" hidden="1" x14ac:dyDescent="0.2">
      <c r="B108" s="62"/>
    </row>
    <row r="109" spans="2:2" hidden="1" x14ac:dyDescent="0.2">
      <c r="B109" s="62"/>
    </row>
    <row r="110" spans="2:2" hidden="1" x14ac:dyDescent="0.2">
      <c r="B110" s="62"/>
    </row>
    <row r="111" spans="2:2" hidden="1" x14ac:dyDescent="0.2">
      <c r="B111" s="62"/>
    </row>
    <row r="112" spans="2:2" hidden="1" x14ac:dyDescent="0.2">
      <c r="B112" s="62"/>
    </row>
    <row r="113" spans="2:2" hidden="1" x14ac:dyDescent="0.2">
      <c r="B113" s="62"/>
    </row>
    <row r="114" spans="2:2" hidden="1" x14ac:dyDescent="0.2">
      <c r="B114" s="62"/>
    </row>
    <row r="115" spans="2:2" hidden="1" x14ac:dyDescent="0.2">
      <c r="B115" s="62"/>
    </row>
    <row r="116" spans="2:2" hidden="1" x14ac:dyDescent="0.2">
      <c r="B116" s="62"/>
    </row>
    <row r="117" spans="2:2" hidden="1" x14ac:dyDescent="0.2">
      <c r="B117" s="62"/>
    </row>
    <row r="118" spans="2:2" hidden="1" x14ac:dyDescent="0.2">
      <c r="B118" s="62"/>
    </row>
    <row r="119" spans="2:2" hidden="1" x14ac:dyDescent="0.2">
      <c r="B119" s="62"/>
    </row>
    <row r="120" spans="2:2" hidden="1" x14ac:dyDescent="0.2">
      <c r="B120" s="62"/>
    </row>
    <row r="121" spans="2:2" hidden="1" x14ac:dyDescent="0.2">
      <c r="B121" s="62"/>
    </row>
    <row r="122" spans="2:2" hidden="1" x14ac:dyDescent="0.2">
      <c r="B122" s="62"/>
    </row>
    <row r="123" spans="2:2" hidden="1" x14ac:dyDescent="0.2">
      <c r="B123" s="62"/>
    </row>
    <row r="124" spans="2:2" hidden="1" x14ac:dyDescent="0.2">
      <c r="B124" s="62"/>
    </row>
    <row r="125" spans="2:2" hidden="1" x14ac:dyDescent="0.2">
      <c r="B125" s="62"/>
    </row>
    <row r="126" spans="2:2" hidden="1" x14ac:dyDescent="0.2">
      <c r="B126" s="62"/>
    </row>
    <row r="127" spans="2:2" hidden="1" x14ac:dyDescent="0.2">
      <c r="B127" s="62"/>
    </row>
    <row r="128" spans="2:2" hidden="1" x14ac:dyDescent="0.2">
      <c r="B128" s="62"/>
    </row>
    <row r="129" spans="2:2" hidden="1" x14ac:dyDescent="0.2">
      <c r="B129" s="62"/>
    </row>
    <row r="130" spans="2:2" hidden="1" x14ac:dyDescent="0.2">
      <c r="B130" s="62"/>
    </row>
    <row r="131" spans="2:2" hidden="1" x14ac:dyDescent="0.2">
      <c r="B131" s="62"/>
    </row>
    <row r="132" spans="2:2" hidden="1" x14ac:dyDescent="0.2">
      <c r="B132" s="62"/>
    </row>
    <row r="133" spans="2:2" hidden="1" x14ac:dyDescent="0.2">
      <c r="B133" s="62"/>
    </row>
    <row r="134" spans="2:2" hidden="1" x14ac:dyDescent="0.2">
      <c r="B134" s="62"/>
    </row>
    <row r="135" spans="2:2" hidden="1" x14ac:dyDescent="0.2">
      <c r="B135" s="62"/>
    </row>
    <row r="136" spans="2:2" hidden="1" x14ac:dyDescent="0.2">
      <c r="B136" s="62"/>
    </row>
    <row r="137" spans="2:2" hidden="1" x14ac:dyDescent="0.2">
      <c r="B137" s="62"/>
    </row>
    <row r="138" spans="2:2" hidden="1" x14ac:dyDescent="0.2">
      <c r="B138" s="62"/>
    </row>
    <row r="139" spans="2:2" hidden="1" x14ac:dyDescent="0.2">
      <c r="B139" s="62"/>
    </row>
    <row r="140" spans="2:2" hidden="1" x14ac:dyDescent="0.2">
      <c r="B140" s="62"/>
    </row>
    <row r="141" spans="2:2" hidden="1" x14ac:dyDescent="0.2">
      <c r="B141" s="62"/>
    </row>
    <row r="142" spans="2:2" hidden="1" x14ac:dyDescent="0.2">
      <c r="B142" s="62"/>
    </row>
    <row r="143" spans="2:2" hidden="1" x14ac:dyDescent="0.2">
      <c r="B143" s="62"/>
    </row>
    <row r="144" spans="2:2" hidden="1" x14ac:dyDescent="0.2">
      <c r="B144" s="62"/>
    </row>
    <row r="145" spans="2:2" hidden="1" x14ac:dyDescent="0.2">
      <c r="B145" s="62"/>
    </row>
    <row r="146" spans="2:2" hidden="1" x14ac:dyDescent="0.2">
      <c r="B146" s="62"/>
    </row>
    <row r="147" spans="2:2" hidden="1" x14ac:dyDescent="0.2">
      <c r="B147" s="62"/>
    </row>
    <row r="148" spans="2:2" hidden="1" x14ac:dyDescent="0.2">
      <c r="B148" s="62"/>
    </row>
    <row r="149" spans="2:2" hidden="1" x14ac:dyDescent="0.2">
      <c r="B149" s="62"/>
    </row>
    <row r="150" spans="2:2" hidden="1" x14ac:dyDescent="0.2">
      <c r="B150" s="62"/>
    </row>
    <row r="151" spans="2:2" hidden="1" x14ac:dyDescent="0.2">
      <c r="B151" s="62"/>
    </row>
    <row r="152" spans="2:2" hidden="1" x14ac:dyDescent="0.2">
      <c r="B152" s="62"/>
    </row>
    <row r="153" spans="2:2" hidden="1" x14ac:dyDescent="0.2">
      <c r="B153" s="62"/>
    </row>
    <row r="154" spans="2:2" hidden="1" x14ac:dyDescent="0.2">
      <c r="B154" s="62"/>
    </row>
    <row r="155" spans="2:2" hidden="1" x14ac:dyDescent="0.2">
      <c r="B155" s="62"/>
    </row>
    <row r="156" spans="2:2" hidden="1" x14ac:dyDescent="0.2">
      <c r="B156" s="62"/>
    </row>
    <row r="157" spans="2:2" hidden="1" x14ac:dyDescent="0.2">
      <c r="B157" s="62"/>
    </row>
    <row r="158" spans="2:2" hidden="1" x14ac:dyDescent="0.2">
      <c r="B158" s="62"/>
    </row>
    <row r="159" spans="2:2" hidden="1" x14ac:dyDescent="0.2">
      <c r="B159" s="62"/>
    </row>
    <row r="160" spans="2:2" hidden="1" x14ac:dyDescent="0.2">
      <c r="B160" s="62"/>
    </row>
    <row r="161" spans="2:2" hidden="1" x14ac:dyDescent="0.2">
      <c r="B161" s="62"/>
    </row>
    <row r="162" spans="2:2" hidden="1" x14ac:dyDescent="0.2">
      <c r="B162" s="62"/>
    </row>
    <row r="163" spans="2:2" hidden="1" x14ac:dyDescent="0.2">
      <c r="B163" s="62"/>
    </row>
    <row r="164" spans="2:2" hidden="1" x14ac:dyDescent="0.2">
      <c r="B164" s="62"/>
    </row>
    <row r="165" spans="2:2" hidden="1" x14ac:dyDescent="0.2">
      <c r="B165" s="62"/>
    </row>
    <row r="166" spans="2:2" hidden="1" x14ac:dyDescent="0.2">
      <c r="B166" s="62"/>
    </row>
    <row r="167" spans="2:2" hidden="1" x14ac:dyDescent="0.2">
      <c r="B167" s="62"/>
    </row>
    <row r="168" spans="2:2" hidden="1" x14ac:dyDescent="0.2">
      <c r="B168" s="62"/>
    </row>
    <row r="169" spans="2:2" hidden="1" x14ac:dyDescent="0.2">
      <c r="B169" s="62"/>
    </row>
    <row r="170" spans="2:2" hidden="1" x14ac:dyDescent="0.2">
      <c r="B170" s="62"/>
    </row>
    <row r="171" spans="2:2" hidden="1" x14ac:dyDescent="0.2">
      <c r="B171" s="62"/>
    </row>
    <row r="172" spans="2:2" hidden="1" x14ac:dyDescent="0.2">
      <c r="B172" s="62"/>
    </row>
    <row r="173" spans="2:2" hidden="1" x14ac:dyDescent="0.2">
      <c r="B173" s="62"/>
    </row>
    <row r="174" spans="2:2" hidden="1" x14ac:dyDescent="0.2">
      <c r="B174" s="62"/>
    </row>
    <row r="175" spans="2:2" hidden="1" x14ac:dyDescent="0.2">
      <c r="B175" s="62"/>
    </row>
    <row r="176" spans="2:2" hidden="1" x14ac:dyDescent="0.2">
      <c r="B176" s="62"/>
    </row>
    <row r="177" spans="2:2" hidden="1" x14ac:dyDescent="0.2">
      <c r="B177" s="62"/>
    </row>
    <row r="178" spans="2:2" hidden="1" x14ac:dyDescent="0.2">
      <c r="B178" s="62"/>
    </row>
    <row r="179" spans="2:2" hidden="1" x14ac:dyDescent="0.2">
      <c r="B179" s="62"/>
    </row>
    <row r="180" spans="2:2" hidden="1" x14ac:dyDescent="0.2">
      <c r="B180" s="62"/>
    </row>
    <row r="181" spans="2:2" hidden="1" x14ac:dyDescent="0.2">
      <c r="B181" s="62"/>
    </row>
    <row r="182" spans="2:2" hidden="1" x14ac:dyDescent="0.2">
      <c r="B182" s="62"/>
    </row>
    <row r="183" spans="2:2" hidden="1" x14ac:dyDescent="0.2">
      <c r="B183" s="62"/>
    </row>
    <row r="184" spans="2:2" hidden="1" x14ac:dyDescent="0.2">
      <c r="B184" s="62"/>
    </row>
    <row r="185" spans="2:2" hidden="1" x14ac:dyDescent="0.2">
      <c r="B185" s="62"/>
    </row>
    <row r="186" spans="2:2" hidden="1" x14ac:dyDescent="0.2">
      <c r="B186" s="62"/>
    </row>
    <row r="187" spans="2:2" hidden="1" x14ac:dyDescent="0.2">
      <c r="B187" s="62"/>
    </row>
    <row r="188" spans="2:2" hidden="1" x14ac:dyDescent="0.2">
      <c r="B188" s="62"/>
    </row>
    <row r="189" spans="2:2" hidden="1" x14ac:dyDescent="0.2">
      <c r="B189" s="62"/>
    </row>
    <row r="190" spans="2:2" hidden="1" x14ac:dyDescent="0.2">
      <c r="B190" s="62"/>
    </row>
    <row r="191" spans="2:2" hidden="1" x14ac:dyDescent="0.2">
      <c r="B191" s="62"/>
    </row>
    <row r="192" spans="2:2" hidden="1" x14ac:dyDescent="0.2">
      <c r="B192" s="62"/>
    </row>
    <row r="193" spans="2:2" hidden="1" x14ac:dyDescent="0.2">
      <c r="B193" s="62"/>
    </row>
    <row r="194" spans="2:2" hidden="1" x14ac:dyDescent="0.2">
      <c r="B194" s="62"/>
    </row>
    <row r="195" spans="2:2" hidden="1" x14ac:dyDescent="0.2">
      <c r="B195" s="62"/>
    </row>
    <row r="196" spans="2:2" hidden="1" x14ac:dyDescent="0.2">
      <c r="B196" s="62"/>
    </row>
    <row r="197" spans="2:2" hidden="1" x14ac:dyDescent="0.2">
      <c r="B197" s="62"/>
    </row>
    <row r="198" spans="2:2" hidden="1" x14ac:dyDescent="0.2">
      <c r="B198" s="62"/>
    </row>
    <row r="199" spans="2:2" hidden="1" x14ac:dyDescent="0.2">
      <c r="B199" s="62"/>
    </row>
    <row r="200" spans="2:2" hidden="1" x14ac:dyDescent="0.2">
      <c r="B200" s="62"/>
    </row>
    <row r="201" spans="2:2" hidden="1" x14ac:dyDescent="0.2">
      <c r="B201" s="62"/>
    </row>
    <row r="202" spans="2:2" hidden="1" x14ac:dyDescent="0.2">
      <c r="B202" s="62"/>
    </row>
    <row r="203" spans="2:2" hidden="1" x14ac:dyDescent="0.2">
      <c r="B203" s="62"/>
    </row>
    <row r="204" spans="2:2" hidden="1" x14ac:dyDescent="0.2">
      <c r="B204" s="62"/>
    </row>
    <row r="205" spans="2:2" hidden="1" x14ac:dyDescent="0.2">
      <c r="B205" s="62"/>
    </row>
    <row r="206" spans="2:2" hidden="1" x14ac:dyDescent="0.2">
      <c r="B206" s="62"/>
    </row>
    <row r="207" spans="2:2" hidden="1" x14ac:dyDescent="0.2">
      <c r="B207" s="62"/>
    </row>
    <row r="208" spans="2:2" hidden="1" x14ac:dyDescent="0.2">
      <c r="B208" s="62"/>
    </row>
    <row r="209" spans="2:2" hidden="1" x14ac:dyDescent="0.2">
      <c r="B209" s="62"/>
    </row>
    <row r="210" spans="2:2" hidden="1" x14ac:dyDescent="0.2">
      <c r="B210" s="62"/>
    </row>
    <row r="211" spans="2:2" hidden="1" x14ac:dyDescent="0.2">
      <c r="B211" s="62"/>
    </row>
    <row r="212" spans="2:2" hidden="1" x14ac:dyDescent="0.2">
      <c r="B212" s="62"/>
    </row>
    <row r="213" spans="2:2" hidden="1" x14ac:dyDescent="0.2">
      <c r="B213" s="62"/>
    </row>
    <row r="214" spans="2:2" hidden="1" x14ac:dyDescent="0.2">
      <c r="B214" s="62"/>
    </row>
    <row r="215" spans="2:2" hidden="1" x14ac:dyDescent="0.2">
      <c r="B215" s="62"/>
    </row>
    <row r="216" spans="2:2" hidden="1" x14ac:dyDescent="0.2">
      <c r="B216" s="62"/>
    </row>
    <row r="217" spans="2:2" hidden="1" x14ac:dyDescent="0.2">
      <c r="B217" s="62"/>
    </row>
    <row r="218" spans="2:2" hidden="1" x14ac:dyDescent="0.2">
      <c r="B218" s="62"/>
    </row>
    <row r="219" spans="2:2" hidden="1" x14ac:dyDescent="0.2">
      <c r="B219" s="62"/>
    </row>
    <row r="220" spans="2:2" hidden="1" x14ac:dyDescent="0.2">
      <c r="B220" s="62"/>
    </row>
    <row r="221" spans="2:2" hidden="1" x14ac:dyDescent="0.2">
      <c r="B221" s="62"/>
    </row>
    <row r="222" spans="2:2" hidden="1" x14ac:dyDescent="0.2">
      <c r="B222" s="62"/>
    </row>
    <row r="223" spans="2:2" hidden="1" x14ac:dyDescent="0.2">
      <c r="B223" s="62"/>
    </row>
    <row r="224" spans="2:2" hidden="1" x14ac:dyDescent="0.2">
      <c r="B224" s="62"/>
    </row>
    <row r="225" spans="2:2" hidden="1" x14ac:dyDescent="0.2">
      <c r="B225" s="62"/>
    </row>
    <row r="226" spans="2:2" hidden="1" x14ac:dyDescent="0.2">
      <c r="B226" s="62"/>
    </row>
    <row r="227" spans="2:2" hidden="1" x14ac:dyDescent="0.2">
      <c r="B227" s="62"/>
    </row>
    <row r="228" spans="2:2" hidden="1" x14ac:dyDescent="0.2">
      <c r="B228" s="62"/>
    </row>
    <row r="229" spans="2:2" hidden="1" x14ac:dyDescent="0.2">
      <c r="B229" s="62"/>
    </row>
    <row r="230" spans="2:2" hidden="1" x14ac:dyDescent="0.2">
      <c r="B230" s="62"/>
    </row>
    <row r="231" spans="2:2" hidden="1" x14ac:dyDescent="0.2">
      <c r="B231" s="62"/>
    </row>
    <row r="232" spans="2:2" hidden="1" x14ac:dyDescent="0.2">
      <c r="B232" s="62"/>
    </row>
    <row r="233" spans="2:2" hidden="1" x14ac:dyDescent="0.2">
      <c r="B233" s="62"/>
    </row>
    <row r="234" spans="2:2" hidden="1" x14ac:dyDescent="0.2">
      <c r="B234" s="62"/>
    </row>
    <row r="235" spans="2:2" hidden="1" x14ac:dyDescent="0.2">
      <c r="B235" s="62"/>
    </row>
    <row r="236" spans="2:2" hidden="1" x14ac:dyDescent="0.2">
      <c r="B236" s="62"/>
    </row>
    <row r="237" spans="2:2" hidden="1" x14ac:dyDescent="0.2">
      <c r="B237" s="62"/>
    </row>
    <row r="238" spans="2:2" hidden="1" x14ac:dyDescent="0.2">
      <c r="B238" s="62"/>
    </row>
    <row r="239" spans="2:2" hidden="1" x14ac:dyDescent="0.2">
      <c r="B239" s="62"/>
    </row>
    <row r="240" spans="2:2" hidden="1" x14ac:dyDescent="0.2">
      <c r="B240" s="62"/>
    </row>
    <row r="241" spans="2:2" hidden="1" x14ac:dyDescent="0.2">
      <c r="B241" s="62"/>
    </row>
    <row r="242" spans="2:2" hidden="1" x14ac:dyDescent="0.2">
      <c r="B242" s="62"/>
    </row>
    <row r="243" spans="2:2" hidden="1" x14ac:dyDescent="0.2">
      <c r="B243" s="62"/>
    </row>
    <row r="244" spans="2:2" hidden="1" x14ac:dyDescent="0.2">
      <c r="B244" s="62"/>
    </row>
    <row r="245" spans="2:2" hidden="1" x14ac:dyDescent="0.2">
      <c r="B245" s="62"/>
    </row>
    <row r="246" spans="2:2" hidden="1" x14ac:dyDescent="0.2">
      <c r="B246" s="62"/>
    </row>
    <row r="247" spans="2:2" hidden="1" x14ac:dyDescent="0.2">
      <c r="B247" s="62"/>
    </row>
    <row r="248" spans="2:2" hidden="1" x14ac:dyDescent="0.2">
      <c r="B248" s="62"/>
    </row>
    <row r="249" spans="2:2" hidden="1" x14ac:dyDescent="0.2">
      <c r="B249" s="62"/>
    </row>
    <row r="250" spans="2:2" hidden="1" x14ac:dyDescent="0.2">
      <c r="B250" s="62"/>
    </row>
    <row r="251" spans="2:2" hidden="1" x14ac:dyDescent="0.2">
      <c r="B251" s="62"/>
    </row>
    <row r="252" spans="2:2" hidden="1" x14ac:dyDescent="0.2">
      <c r="B252" s="62"/>
    </row>
    <row r="253" spans="2:2" hidden="1" x14ac:dyDescent="0.2">
      <c r="B253" s="62"/>
    </row>
    <row r="254" spans="2:2" hidden="1" x14ac:dyDescent="0.2">
      <c r="B254" s="62"/>
    </row>
    <row r="255" spans="2:2" hidden="1" x14ac:dyDescent="0.2">
      <c r="B255" s="62"/>
    </row>
    <row r="256" spans="2:2" hidden="1" x14ac:dyDescent="0.2">
      <c r="B256" s="62"/>
    </row>
    <row r="257" spans="2:2" hidden="1" x14ac:dyDescent="0.2">
      <c r="B257" s="62"/>
    </row>
    <row r="258" spans="2:2" hidden="1" x14ac:dyDescent="0.2">
      <c r="B258" s="62"/>
    </row>
    <row r="259" spans="2:2" hidden="1" x14ac:dyDescent="0.2">
      <c r="B259" s="62"/>
    </row>
    <row r="260" spans="2:2" hidden="1" x14ac:dyDescent="0.2">
      <c r="B260" s="62"/>
    </row>
    <row r="261" spans="2:2" hidden="1" x14ac:dyDescent="0.2">
      <c r="B261" s="62"/>
    </row>
    <row r="262" spans="2:2" hidden="1" x14ac:dyDescent="0.2">
      <c r="B262" s="62"/>
    </row>
    <row r="263" spans="2:2" hidden="1" x14ac:dyDescent="0.2">
      <c r="B263" s="62"/>
    </row>
    <row r="264" spans="2:2" hidden="1" x14ac:dyDescent="0.2">
      <c r="B264" s="62"/>
    </row>
    <row r="265" spans="2:2" hidden="1" x14ac:dyDescent="0.2">
      <c r="B265" s="62"/>
    </row>
    <row r="266" spans="2:2" hidden="1" x14ac:dyDescent="0.2">
      <c r="B266" s="62"/>
    </row>
    <row r="267" spans="2:2" hidden="1" x14ac:dyDescent="0.2">
      <c r="B267" s="62"/>
    </row>
    <row r="268" spans="2:2" hidden="1" x14ac:dyDescent="0.2">
      <c r="B268" s="62"/>
    </row>
    <row r="269" spans="2:2" hidden="1" x14ac:dyDescent="0.2">
      <c r="B269" s="62"/>
    </row>
    <row r="270" spans="2:2" hidden="1" x14ac:dyDescent="0.2">
      <c r="B270" s="62"/>
    </row>
    <row r="271" spans="2:2" hidden="1" x14ac:dyDescent="0.2">
      <c r="B271" s="62"/>
    </row>
    <row r="272" spans="2:2" hidden="1" x14ac:dyDescent="0.2">
      <c r="B272" s="62"/>
    </row>
    <row r="273" spans="2:2" hidden="1" x14ac:dyDescent="0.2">
      <c r="B273" s="62"/>
    </row>
    <row r="274" spans="2:2" hidden="1" x14ac:dyDescent="0.2">
      <c r="B274" s="62"/>
    </row>
    <row r="275" spans="2:2" hidden="1" x14ac:dyDescent="0.2">
      <c r="B275" s="62"/>
    </row>
    <row r="276" spans="2:2" hidden="1" x14ac:dyDescent="0.2">
      <c r="B276" s="62"/>
    </row>
    <row r="277" spans="2:2" hidden="1" x14ac:dyDescent="0.2">
      <c r="B277" s="62"/>
    </row>
    <row r="278" spans="2:2" hidden="1" x14ac:dyDescent="0.2">
      <c r="B278" s="62"/>
    </row>
    <row r="279" spans="2:2" hidden="1" x14ac:dyDescent="0.2">
      <c r="B279" s="62"/>
    </row>
    <row r="280" spans="2:2" hidden="1" x14ac:dyDescent="0.2">
      <c r="B280" s="62"/>
    </row>
    <row r="281" spans="2:2" hidden="1" x14ac:dyDescent="0.2">
      <c r="B281" s="62"/>
    </row>
    <row r="282" spans="2:2" hidden="1" x14ac:dyDescent="0.2">
      <c r="B282" s="62"/>
    </row>
    <row r="283" spans="2:2" hidden="1" x14ac:dyDescent="0.2">
      <c r="B283" s="62"/>
    </row>
    <row r="284" spans="2:2" hidden="1" x14ac:dyDescent="0.2">
      <c r="B284" s="62"/>
    </row>
    <row r="285" spans="2:2" hidden="1" x14ac:dyDescent="0.2">
      <c r="B285" s="62"/>
    </row>
    <row r="286" spans="2:2" hidden="1" x14ac:dyDescent="0.2">
      <c r="B286" s="62"/>
    </row>
    <row r="287" spans="2:2" hidden="1" x14ac:dyDescent="0.2">
      <c r="B287" s="62"/>
    </row>
    <row r="288" spans="2:2" hidden="1" x14ac:dyDescent="0.2">
      <c r="B288" s="62"/>
    </row>
    <row r="289" spans="1:14" hidden="1" x14ac:dyDescent="0.2">
      <c r="B289" s="62"/>
    </row>
    <row r="290" spans="1:14" hidden="1" x14ac:dyDescent="0.2">
      <c r="B290" s="62"/>
    </row>
    <row r="291" spans="1:14" hidden="1" x14ac:dyDescent="0.2">
      <c r="B291" s="62"/>
    </row>
    <row r="292" spans="1:14" hidden="1" x14ac:dyDescent="0.2">
      <c r="B292" s="62"/>
    </row>
    <row r="293" spans="1:14" hidden="1" x14ac:dyDescent="0.2">
      <c r="B293" s="62"/>
    </row>
    <row r="294" spans="1:14" hidden="1" x14ac:dyDescent="0.2">
      <c r="B294" s="62"/>
    </row>
    <row r="295" spans="1:14" hidden="1" x14ac:dyDescent="0.2">
      <c r="B295" s="62"/>
    </row>
    <row r="296" spans="1:14" hidden="1" x14ac:dyDescent="0.2">
      <c r="B296" s="62"/>
    </row>
    <row r="297" spans="1:14" hidden="1" x14ac:dyDescent="0.2">
      <c r="B297" s="62"/>
    </row>
    <row r="298" spans="1:14" x14ac:dyDescent="0.2">
      <c r="B298" s="62"/>
    </row>
    <row r="299" spans="1:14" x14ac:dyDescent="0.2">
      <c r="A299" s="271"/>
      <c r="B299" s="327"/>
      <c r="C299" s="401"/>
      <c r="N299" s="404"/>
    </row>
    <row r="300" spans="1:14" x14ac:dyDescent="0.2">
      <c r="A300" s="530">
        <v>1</v>
      </c>
      <c r="B300" s="625" t="str">
        <f>IFERROR(INDEX(B$1:B$100,MATCH(A300,A$1:A$100,0)),"")</f>
        <v>Matti Vinni, Vladimir Ogneštšikov</v>
      </c>
      <c r="C300" s="499"/>
      <c r="N300" s="404"/>
    </row>
    <row r="301" spans="1:14" x14ac:dyDescent="0.2">
      <c r="A301" s="530">
        <v>2</v>
      </c>
      <c r="B301" s="625" t="str">
        <f t="shared" ref="B301:B312" si="11">IFERROR(INDEX(B$1:B$100,MATCH(A301,A$1:A$100,0)),"")</f>
        <v>Aarne Välja, Janek Tarto</v>
      </c>
      <c r="C301" s="499"/>
      <c r="N301" s="404"/>
    </row>
    <row r="302" spans="1:14" x14ac:dyDescent="0.2">
      <c r="A302" s="530">
        <v>3</v>
      </c>
      <c r="B302" s="625" t="str">
        <f t="shared" si="11"/>
        <v>Kenneth Muusikus, Peep Peenema</v>
      </c>
      <c r="C302" s="499"/>
      <c r="N302" s="404"/>
    </row>
    <row r="303" spans="1:14" x14ac:dyDescent="0.2">
      <c r="A303" s="530">
        <v>4</v>
      </c>
      <c r="B303" s="625" t="str">
        <f t="shared" si="11"/>
        <v>Jaan Sepp, Oskar Sepp</v>
      </c>
      <c r="C303" s="499"/>
      <c r="N303" s="404"/>
    </row>
    <row r="304" spans="1:14" x14ac:dyDescent="0.2">
      <c r="A304" s="530">
        <v>4</v>
      </c>
      <c r="B304" s="625" t="s">
        <v>274</v>
      </c>
      <c r="C304" s="499"/>
      <c r="N304" s="404"/>
    </row>
    <row r="305" spans="1:14" x14ac:dyDescent="0.2">
      <c r="A305" s="530">
        <v>6</v>
      </c>
      <c r="B305" s="625" t="str">
        <f t="shared" si="11"/>
        <v>Olav Türk, Urmas Jõeäär</v>
      </c>
      <c r="C305" s="499"/>
      <c r="N305" s="404"/>
    </row>
    <row r="306" spans="1:14" x14ac:dyDescent="0.2">
      <c r="A306" s="530">
        <v>7</v>
      </c>
      <c r="B306" s="625" t="str">
        <f t="shared" si="11"/>
        <v>Jaan Saar, Toomas Tedrekull</v>
      </c>
      <c r="C306" s="499"/>
      <c r="N306" s="404"/>
    </row>
    <row r="307" spans="1:14" x14ac:dyDescent="0.2">
      <c r="A307" s="530">
        <v>8</v>
      </c>
      <c r="B307" s="625" t="str">
        <f t="shared" si="11"/>
        <v>Daniil Alekankin, Tõnis Anton</v>
      </c>
      <c r="C307" s="499"/>
      <c r="N307" s="404"/>
    </row>
    <row r="308" spans="1:14" x14ac:dyDescent="0.2">
      <c r="A308" s="530">
        <v>9</v>
      </c>
      <c r="B308" s="625" t="str">
        <f t="shared" si="11"/>
        <v>Margus Vasser, Vello Vasser</v>
      </c>
      <c r="C308" s="499"/>
      <c r="N308" s="404"/>
    </row>
    <row r="309" spans="1:14" x14ac:dyDescent="0.2">
      <c r="A309" s="530">
        <v>10</v>
      </c>
      <c r="B309" s="625" t="str">
        <f t="shared" si="11"/>
        <v>Oksana Rõndenkova, Oleg Rõndenkov</v>
      </c>
      <c r="C309" s="499"/>
      <c r="N309" s="404"/>
    </row>
    <row r="310" spans="1:14" x14ac:dyDescent="0.2">
      <c r="A310" s="530">
        <v>11</v>
      </c>
      <c r="B310" s="625" t="str">
        <f t="shared" si="11"/>
        <v>Henri Mitt, Urmas Randlaine</v>
      </c>
      <c r="C310" s="499"/>
      <c r="N310" s="404"/>
    </row>
    <row r="311" spans="1:14" x14ac:dyDescent="0.2">
      <c r="A311" s="530">
        <v>12</v>
      </c>
      <c r="B311" s="625" t="str">
        <f t="shared" si="11"/>
        <v>Karla Purgats, Tõnu Piik</v>
      </c>
      <c r="C311" s="499"/>
    </row>
    <row r="312" spans="1:14" x14ac:dyDescent="0.2">
      <c r="A312" s="530">
        <v>13</v>
      </c>
      <c r="B312" s="625" t="str">
        <f t="shared" si="11"/>
        <v>Enn Tokman, Tarmo Bombe</v>
      </c>
      <c r="C312" s="499"/>
    </row>
  </sheetData>
  <conditionalFormatting sqref="B300:B312">
    <cfRule type="expression" dxfId="1948" priority="46">
      <formula>A300=3</formula>
    </cfRule>
    <cfRule type="expression" dxfId="1947" priority="47">
      <formula>A300=2</formula>
    </cfRule>
    <cfRule type="expression" dxfId="1946" priority="48">
      <formula>A300=1</formula>
    </cfRule>
    <cfRule type="containsBlanks" dxfId="1945" priority="49">
      <formula>LEN(TRIM(B300))=0</formula>
    </cfRule>
    <cfRule type="duplicateValues" dxfId="1944" priority="50"/>
  </conditionalFormatting>
  <conditionalFormatting sqref="C7:C19 G7:G19 K7:K19 O7:O19 S7:S19">
    <cfRule type="expression" dxfId="1943" priority="13">
      <formula>AND(C7=0,E7=13)</formula>
    </cfRule>
  </conditionalFormatting>
  <conditionalFormatting sqref="C7:C19">
    <cfRule type="expression" dxfId="1942" priority="27">
      <formula>IF($C7&gt;$E7,TRUE)</formula>
    </cfRule>
  </conditionalFormatting>
  <conditionalFormatting sqref="E7:E19">
    <cfRule type="expression" dxfId="1941" priority="28">
      <formula>IF($C7&lt;$E7,TRUE)</formula>
    </cfRule>
  </conditionalFormatting>
  <conditionalFormatting sqref="K7:K19">
    <cfRule type="expression" dxfId="1940" priority="35">
      <formula>IF($K7&gt;$M7,TRUE)</formula>
    </cfRule>
  </conditionalFormatting>
  <conditionalFormatting sqref="M7:M19">
    <cfRule type="expression" dxfId="1939" priority="36">
      <formula>IF($K7&lt;$M7,TRUE)</formula>
    </cfRule>
  </conditionalFormatting>
  <conditionalFormatting sqref="O7:O19">
    <cfRule type="expression" dxfId="1938" priority="39">
      <formula>IF($O7&gt;$Q7,TRUE)</formula>
    </cfRule>
  </conditionalFormatting>
  <conditionalFormatting sqref="Q7:Q19">
    <cfRule type="expression" dxfId="1937" priority="40">
      <formula>IF($O7&lt;$Q7,TRUE)</formula>
    </cfRule>
  </conditionalFormatting>
  <conditionalFormatting sqref="S7:S19">
    <cfRule type="expression" dxfId="1936" priority="43">
      <formula>IF($S7&gt;$U7,TRUE)</formula>
    </cfRule>
  </conditionalFormatting>
  <conditionalFormatting sqref="U7:U19">
    <cfRule type="expression" dxfId="1935" priority="44">
      <formula>IF($S7&lt;$U7,TRUE)</formula>
    </cfRule>
  </conditionalFormatting>
  <conditionalFormatting sqref="G7:G19">
    <cfRule type="expression" dxfId="1934" priority="31">
      <formula>IF($G7&gt;$I7,TRUE)</formula>
    </cfRule>
  </conditionalFormatting>
  <conditionalFormatting sqref="I7:I19">
    <cfRule type="expression" dxfId="1933" priority="32">
      <formula>IF($G7&lt;$I7,TRUE)</formula>
    </cfRule>
  </conditionalFormatting>
  <conditionalFormatting sqref="F7:F19">
    <cfRule type="containsText" dxfId="1932" priority="18" operator="containsText" text="vaba voor">
      <formula>NOT(ISERROR(SEARCH("vaba voor",F7)))</formula>
    </cfRule>
  </conditionalFormatting>
  <conditionalFormatting sqref="N7:N19">
    <cfRule type="containsText" dxfId="1931" priority="16" operator="containsText" text="vaba voor">
      <formula>NOT(ISERROR(SEARCH("vaba voor",N7)))</formula>
    </cfRule>
  </conditionalFormatting>
  <conditionalFormatting sqref="R7:R19">
    <cfRule type="containsText" dxfId="1930" priority="19" operator="containsText" text="vaba voor">
      <formula>NOT(ISERROR(SEARCH("vaba voor",R7)))</formula>
    </cfRule>
  </conditionalFormatting>
  <conditionalFormatting sqref="V7:V19">
    <cfRule type="containsText" dxfId="1929" priority="15" operator="containsText" text="vaba voor">
      <formula>NOT(ISERROR(SEARCH("vaba voor",V7)))</formula>
    </cfRule>
  </conditionalFormatting>
  <conditionalFormatting sqref="J7:J19">
    <cfRule type="containsText" dxfId="1928" priority="17" operator="containsText" text="vaba voor">
      <formula>NOT(ISERROR(SEARCH("vaba voor",J7)))</formula>
    </cfRule>
  </conditionalFormatting>
  <conditionalFormatting sqref="C7:F19">
    <cfRule type="expression" dxfId="1927" priority="23">
      <formula>IF(AND(ISNUMBER($C7),$C7=$E7),TRUE)</formula>
    </cfRule>
    <cfRule type="expression" dxfId="1926" priority="25">
      <formula>IF($C7&gt;$E7,TRUE)</formula>
    </cfRule>
    <cfRule type="expression" dxfId="1925" priority="26">
      <formula>IF($C7&lt;$E7,TRUE)</formula>
    </cfRule>
  </conditionalFormatting>
  <conditionalFormatting sqref="G7:J19">
    <cfRule type="expression" dxfId="1924" priority="24">
      <formula>IF(AND(ISNUMBER($G7),$G7=$I7),TRUE)</formula>
    </cfRule>
    <cfRule type="expression" dxfId="1923" priority="29">
      <formula>IF($G7&gt;$I7,TRUE)</formula>
    </cfRule>
    <cfRule type="expression" dxfId="1922" priority="30">
      <formula>IF($G7&lt;$I7,TRUE)</formula>
    </cfRule>
  </conditionalFormatting>
  <conditionalFormatting sqref="K7:N19">
    <cfRule type="expression" dxfId="1921" priority="22">
      <formula>IF(AND(ISNUMBER($K7),$K7=$M7),TRUE)</formula>
    </cfRule>
    <cfRule type="expression" dxfId="1920" priority="33">
      <formula>IF($K7&gt;$M7,TRUE)</formula>
    </cfRule>
    <cfRule type="expression" dxfId="1919" priority="34">
      <formula>IF($K7&lt;$M7,TRUE)</formula>
    </cfRule>
  </conditionalFormatting>
  <conditionalFormatting sqref="O7:R19">
    <cfRule type="expression" dxfId="1918" priority="21">
      <formula>IF(AND(ISNUMBER($O7),$O7=$Q7),TRUE)</formula>
    </cfRule>
    <cfRule type="expression" dxfId="1917" priority="37">
      <formula>IF($O7&gt;$Q7,TRUE)</formula>
    </cfRule>
    <cfRule type="expression" dxfId="1916" priority="38">
      <formula>IF($O7&lt;$Q7,TRUE)</formula>
    </cfRule>
  </conditionalFormatting>
  <conditionalFormatting sqref="S7:V19">
    <cfRule type="expression" dxfId="1915" priority="20">
      <formula>IF(AND(ISNUMBER($S7),$S7=$U7),TRUE)</formula>
    </cfRule>
    <cfRule type="expression" dxfId="1914" priority="41">
      <formula>IF($S7&gt;$U7,TRUE)</formula>
    </cfRule>
    <cfRule type="expression" dxfId="1913" priority="42">
      <formula>IF($S7&lt;$U7,TRUE)</formula>
    </cfRule>
  </conditionalFormatting>
  <conditionalFormatting sqref="E7:E19 I7:I19 M7:M19 Q7:Q19 U7:U19">
    <cfRule type="expression" dxfId="1912" priority="14">
      <formula>AND(E7=0,C7=13)</formula>
    </cfRule>
  </conditionalFormatting>
  <conditionalFormatting sqref="A7:A19">
    <cfRule type="duplicateValues" dxfId="1911" priority="45"/>
  </conditionalFormatting>
  <conditionalFormatting sqref="A300:A312">
    <cfRule type="duplicateValues" dxfId="1910" priority="12"/>
  </conditionalFormatting>
  <conditionalFormatting sqref="AJ7:AJ19">
    <cfRule type="expression" dxfId="1909" priority="5">
      <formula>AND(AI7="",FIND(",",AJ7))</formula>
    </cfRule>
    <cfRule type="expression" dxfId="1908" priority="7">
      <formula>AND(AI7="",COUNTIF(AJ7,"*,*")=0)</formula>
    </cfRule>
  </conditionalFormatting>
  <conditionalFormatting sqref="AH7:AH19">
    <cfRule type="expression" dxfId="1907" priority="8">
      <formula>AND(AG7="",FIND(",",AH7))</formula>
    </cfRule>
    <cfRule type="expression" dxfId="1906" priority="9">
      <formula>AND(AG7="",COUNTIF(AH7,"*,*")=0)</formula>
    </cfRule>
  </conditionalFormatting>
  <conditionalFormatting sqref="AL7:AL19">
    <cfRule type="expression" dxfId="1905" priority="10">
      <formula>AND(AK7="",FIND(",",AL7))</formula>
    </cfRule>
    <cfRule type="expression" dxfId="1904" priority="11">
      <formula>AND(AK7="",COUNTIF(AL7,"*,*")=0)</formula>
    </cfRule>
  </conditionalFormatting>
  <conditionalFormatting sqref="AF7:AF19">
    <cfRule type="expression" dxfId="1903" priority="6">
      <formula>AND(AE7="",COUNTIF(AF7,"*,*")=0)</formula>
    </cfRule>
  </conditionalFormatting>
  <conditionalFormatting sqref="AN7:AN19">
    <cfRule type="expression" dxfId="1902" priority="2">
      <formula>AND(AM7="",COUNTIF(AN7,"*,*")=0)</formula>
    </cfRule>
    <cfRule type="expression" dxfId="1901" priority="4">
      <formula>AND(AM7="",FIND(",",AN7))</formula>
    </cfRule>
  </conditionalFormatting>
  <conditionalFormatting sqref="AP7:AP19">
    <cfRule type="expression" dxfId="1900" priority="1">
      <formula>AND(AO7="",COUNTIF(AP7,"*,*")=0)</formula>
    </cfRule>
    <cfRule type="expression" dxfId="1899" priority="3">
      <formula>AND(AO7="",FIND(",",AP7))</formula>
    </cfRule>
  </conditionalFormatting>
  <pageMargins left="0.78740157480314965" right="0.39370078740157483" top="0.78740157480314965" bottom="0.39370078740157483" header="0.78740157480314965" footer="0"/>
  <pageSetup paperSize="9" fitToHeight="0" orientation="landscape" verticalDpi="1200" r:id="rId1"/>
  <headerFooter>
    <oddHeader>&amp;R&amp;P. leht &amp;N&amp; -st</oddHeader>
  </headerFooter>
  <rowBreaks count="1" manualBreakCount="1">
    <brk id="297"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pageSetUpPr fitToPage="1"/>
  </sheetPr>
  <dimension ref="A1:AP315"/>
  <sheetViews>
    <sheetView showGridLines="0" showRowColHeaders="0" workbookViewId="0">
      <pane ySplit="1" topLeftCell="A2" activePane="bottomLeft" state="frozen"/>
      <selection pane="bottomLeft" activeCell="A5" sqref="A5"/>
    </sheetView>
  </sheetViews>
  <sheetFormatPr defaultRowHeight="12.75" x14ac:dyDescent="0.2"/>
  <cols>
    <col min="1" max="1" width="3.28515625" style="1" customWidth="1"/>
    <col min="2" max="2" width="44.140625" style="1" bestFit="1" customWidth="1"/>
    <col min="3" max="7" width="7.7109375" style="1" customWidth="1"/>
    <col min="8" max="9" width="6.7109375" style="1" customWidth="1"/>
    <col min="10" max="15" width="5.5703125" style="1" customWidth="1"/>
    <col min="16" max="18" width="9.140625" style="1" hidden="1" customWidth="1"/>
    <col min="19" max="19" width="11.5703125" style="1" hidden="1" customWidth="1"/>
    <col min="20" max="20" width="9.140625" style="1" hidden="1" customWidth="1"/>
    <col min="21" max="21" width="9.140625" style="1"/>
    <col min="22" max="28" width="0" style="1" hidden="1" customWidth="1"/>
    <col min="29" max="29" width="9.140625" style="1"/>
    <col min="30" max="31" width="9.140625" style="1" hidden="1" customWidth="1"/>
    <col min="32" max="32" width="16.5703125" style="1" hidden="1" customWidth="1"/>
    <col min="33" max="33" width="9.140625" style="1" hidden="1" customWidth="1"/>
    <col min="34" max="34" width="27.85546875" style="1" hidden="1" customWidth="1"/>
    <col min="35" max="35" width="9.140625" style="1" hidden="1" customWidth="1"/>
    <col min="36" max="36" width="17.28515625" style="1" hidden="1" customWidth="1"/>
    <col min="37" max="37" width="9.140625" style="1" hidden="1" customWidth="1"/>
    <col min="38" max="38" width="15.28515625" style="1" hidden="1" customWidth="1"/>
    <col min="39" max="39" width="9.140625" style="1" hidden="1" customWidth="1"/>
    <col min="40" max="40" width="17.28515625" style="1" hidden="1" customWidth="1"/>
    <col min="41" max="41" width="9.140625" style="1" hidden="1" customWidth="1"/>
    <col min="42" max="42" width="13.85546875" style="1" hidden="1" customWidth="1"/>
    <col min="43" max="16384" width="9.140625" style="1"/>
  </cols>
  <sheetData>
    <row r="1" spans="1:42" x14ac:dyDescent="0.2">
      <c r="A1" s="400" t="str">
        <f>UPPER((Kalend!E26)&amp;" - "&amp;(Kalend!C26))&amp;" - "&amp;LOWER(Kalend!D26)&amp;" - "&amp;(Kalend!A26)&amp;" kell "&amp;(Kalend!B26)&amp;" - "&amp;(Kalend!F26)</f>
        <v>V9 - VOKA III SISE-KV 9. ETAPP - duo - P, 09.02.2020 kell 11:00 - Voka petangihall</v>
      </c>
      <c r="C1" s="271"/>
      <c r="D1" s="271"/>
      <c r="E1" s="271"/>
      <c r="F1" s="271"/>
      <c r="G1" s="271"/>
      <c r="H1" s="271"/>
      <c r="I1" s="271"/>
      <c r="J1" s="271"/>
      <c r="K1" s="271"/>
      <c r="L1" s="271"/>
      <c r="M1" s="271"/>
      <c r="N1" s="271"/>
      <c r="P1" s="447" t="s">
        <v>94</v>
      </c>
      <c r="Q1" s="448"/>
      <c r="R1" s="448"/>
      <c r="S1" s="448"/>
      <c r="T1" s="448"/>
      <c r="U1" s="70"/>
      <c r="V1" s="70"/>
      <c r="W1" s="271"/>
      <c r="X1" s="291"/>
      <c r="Y1" s="271"/>
      <c r="Z1" s="271"/>
      <c r="AA1" s="271"/>
      <c r="AD1" s="152" t="s">
        <v>94</v>
      </c>
      <c r="AE1" s="402"/>
      <c r="AF1" s="402"/>
      <c r="AG1" s="402"/>
      <c r="AH1" s="402"/>
      <c r="AI1" s="402"/>
      <c r="AJ1" s="402"/>
      <c r="AK1" s="402"/>
      <c r="AL1" s="402"/>
      <c r="AM1" s="402"/>
      <c r="AN1" s="402"/>
      <c r="AO1" s="532"/>
      <c r="AP1" s="532"/>
    </row>
    <row r="2" spans="1:42" hidden="1" x14ac:dyDescent="0.2">
      <c r="A2" s="271"/>
      <c r="C2" s="271"/>
      <c r="D2" s="271"/>
      <c r="E2" s="271"/>
      <c r="F2" s="271"/>
      <c r="G2" s="271"/>
      <c r="H2" s="271"/>
      <c r="I2" s="271"/>
      <c r="J2" s="271"/>
      <c r="K2" s="271"/>
      <c r="L2" s="271"/>
      <c r="M2" s="271"/>
      <c r="N2" s="271"/>
      <c r="O2" s="271"/>
      <c r="P2" s="271"/>
      <c r="Q2" s="271"/>
      <c r="R2" s="271"/>
      <c r="S2" s="271"/>
      <c r="T2" s="409"/>
      <c r="U2" s="409"/>
      <c r="V2" s="409"/>
      <c r="W2" s="271"/>
      <c r="X2" s="271"/>
      <c r="Y2" s="271"/>
      <c r="Z2" s="271"/>
      <c r="AD2" s="271"/>
      <c r="AE2" s="271"/>
      <c r="AF2" s="271"/>
      <c r="AG2" s="271"/>
      <c r="AH2" s="271"/>
      <c r="AI2" s="271"/>
      <c r="AJ2" s="412"/>
      <c r="AK2" s="271"/>
      <c r="AL2" s="271"/>
      <c r="AM2" s="271"/>
      <c r="AN2" s="271"/>
    </row>
    <row r="3" spans="1:42" hidden="1" x14ac:dyDescent="0.2">
      <c r="A3" s="271"/>
      <c r="C3" s="271"/>
      <c r="D3" s="271"/>
      <c r="E3" s="271"/>
      <c r="F3" s="271"/>
      <c r="G3" s="271"/>
      <c r="H3" s="271"/>
      <c r="I3" s="271"/>
      <c r="J3" s="271"/>
      <c r="K3" s="271"/>
      <c r="L3" s="271"/>
      <c r="M3" s="271"/>
      <c r="N3" s="271"/>
      <c r="O3" s="271"/>
      <c r="P3" s="271"/>
      <c r="Q3" s="271"/>
      <c r="R3" s="271"/>
      <c r="S3" s="271"/>
      <c r="T3" s="409"/>
      <c r="U3" s="409"/>
      <c r="V3" s="409"/>
      <c r="W3" s="271"/>
      <c r="X3" s="271"/>
      <c r="Y3" s="271"/>
      <c r="Z3" s="271"/>
      <c r="AA3" s="271"/>
      <c r="AE3" s="271"/>
      <c r="AG3" s="271"/>
      <c r="AH3" s="271"/>
      <c r="AI3" s="271"/>
      <c r="AJ3" s="271"/>
      <c r="AK3" s="271"/>
      <c r="AL3" s="271"/>
      <c r="AM3" s="271"/>
      <c r="AN3" s="271"/>
    </row>
    <row r="4" spans="1:42" hidden="1" x14ac:dyDescent="0.2">
      <c r="A4" s="271"/>
      <c r="F4" s="271"/>
      <c r="G4" s="312"/>
      <c r="H4" s="312"/>
      <c r="I4" s="141"/>
      <c r="J4" s="141"/>
      <c r="K4" s="415"/>
      <c r="L4" s="312"/>
      <c r="M4" s="271"/>
      <c r="N4" s="271"/>
      <c r="O4" s="271"/>
      <c r="P4" s="271"/>
      <c r="Q4" s="271"/>
      <c r="R4" s="271"/>
      <c r="S4" s="271"/>
      <c r="T4" s="271"/>
      <c r="U4" s="271"/>
      <c r="V4" s="271"/>
      <c r="W4" s="271"/>
      <c r="X4" s="271"/>
      <c r="Y4" s="271"/>
      <c r="Z4" s="271"/>
      <c r="AA4" s="271"/>
      <c r="AE4" s="409"/>
      <c r="AF4" s="409"/>
      <c r="AG4" s="409"/>
      <c r="AH4" s="376"/>
      <c r="AI4" s="409"/>
      <c r="AJ4" s="409"/>
      <c r="AK4" s="409"/>
      <c r="AL4" s="409"/>
      <c r="AM4" s="409"/>
      <c r="AN4" s="409"/>
      <c r="AO4" s="409"/>
      <c r="AP4" s="409"/>
    </row>
    <row r="5" spans="1:42" x14ac:dyDescent="0.2">
      <c r="F5" s="271"/>
      <c r="G5" s="53"/>
      <c r="H5" s="53"/>
      <c r="I5" s="53"/>
      <c r="J5" s="53"/>
      <c r="K5" s="53"/>
      <c r="L5" s="312"/>
      <c r="M5" s="271"/>
      <c r="N5" s="967" t="s">
        <v>476</v>
      </c>
      <c r="O5" s="271"/>
      <c r="P5" s="271"/>
      <c r="Q5" s="271"/>
      <c r="R5" s="271"/>
      <c r="S5" s="271"/>
      <c r="T5" s="271"/>
      <c r="U5" s="271"/>
      <c r="V5" s="271"/>
      <c r="W5" s="271"/>
      <c r="X5" s="271"/>
      <c r="Y5" s="271"/>
      <c r="Z5" s="271"/>
      <c r="AA5" s="271"/>
      <c r="AC5" s="271"/>
      <c r="AD5" s="964" t="s">
        <v>214</v>
      </c>
    </row>
    <row r="6" spans="1:42" x14ac:dyDescent="0.2">
      <c r="A6" s="316" t="s">
        <v>0</v>
      </c>
      <c r="B6" s="466"/>
      <c r="C6" s="467">
        <v>1</v>
      </c>
      <c r="D6" s="467">
        <v>2</v>
      </c>
      <c r="E6" s="467">
        <v>3</v>
      </c>
      <c r="F6" s="467">
        <v>4</v>
      </c>
      <c r="G6" s="467"/>
      <c r="H6" s="467" t="s">
        <v>168</v>
      </c>
      <c r="I6" s="275" t="s">
        <v>169</v>
      </c>
      <c r="J6" s="469" t="s">
        <v>257</v>
      </c>
      <c r="K6" s="470" t="s">
        <v>258</v>
      </c>
      <c r="L6" s="471" t="s">
        <v>259</v>
      </c>
      <c r="M6" s="471" t="s">
        <v>260</v>
      </c>
      <c r="N6" s="472" t="s">
        <v>170</v>
      </c>
      <c r="O6" s="472" t="s">
        <v>170</v>
      </c>
      <c r="P6" s="473" t="s">
        <v>261</v>
      </c>
      <c r="Q6" s="474" t="s">
        <v>21</v>
      </c>
      <c r="R6" s="474" t="b">
        <f>OR(AND(COUNTA(B7:B11)=3,COUNTA(C7:G11)=6),AND(COUNTA(B7:B11)=4,COUNTA(C7:G11)=12),AND(COUNTA(B7:B11)=5,COUNTA(C7:G11)=20))</f>
        <v>1</v>
      </c>
      <c r="S6" s="475" t="s">
        <v>262</v>
      </c>
      <c r="T6" s="476" t="s">
        <v>263</v>
      </c>
      <c r="U6" s="477"/>
      <c r="V6" s="477"/>
      <c r="W6" s="477"/>
      <c r="X6" s="477"/>
      <c r="Y6" s="477"/>
      <c r="Z6" s="477"/>
      <c r="AA6" s="477"/>
      <c r="AB6" s="477"/>
      <c r="AC6" s="478"/>
      <c r="AD6" s="272" t="s">
        <v>370</v>
      </c>
      <c r="AE6" s="273"/>
      <c r="AF6" s="273" t="s">
        <v>249</v>
      </c>
      <c r="AG6" s="273"/>
      <c r="AH6" s="403" t="s">
        <v>250</v>
      </c>
      <c r="AI6" s="273"/>
      <c r="AJ6" s="273" t="s">
        <v>251</v>
      </c>
      <c r="AK6" s="274"/>
      <c r="AL6" s="273" t="s">
        <v>252</v>
      </c>
      <c r="AM6" s="274"/>
      <c r="AN6" s="274" t="s">
        <v>472</v>
      </c>
      <c r="AO6" s="945"/>
      <c r="AP6" s="274" t="s">
        <v>473</v>
      </c>
    </row>
    <row r="7" spans="1:42" x14ac:dyDescent="0.2">
      <c r="A7" s="316">
        <v>1</v>
      </c>
      <c r="B7" s="479" t="s">
        <v>278</v>
      </c>
      <c r="C7" s="319"/>
      <c r="D7" s="318">
        <v>13</v>
      </c>
      <c r="E7" s="318">
        <v>13</v>
      </c>
      <c r="F7" s="318">
        <v>13</v>
      </c>
      <c r="G7" s="318"/>
      <c r="H7" s="317" t="str">
        <f>(IF(D7-C8&gt;0,1)+IF(E7-C9&gt;0,1)+IF(F7-C10&gt;0,1)+IF(G7-C11&gt;0,1))&amp;"-"&amp;(IF(D7-C8&lt;0,1)+IF(E7-C9&lt;0,1)+IF(F7-C10&lt;0,1)+IF(G7-C11&lt;0,1))</f>
        <v>3-0</v>
      </c>
      <c r="I7" s="318" t="str">
        <f>IF(AND(B7&lt;&gt;"",R$6=TRUE),A$6&amp;RANK(S7,S$7:S$11,0)," ")</f>
        <v>A1</v>
      </c>
      <c r="J7" s="480">
        <f>IF(AND(Q7=1,Q8=1,D7&gt;C8),1)+IF(AND(Q7=1,Q9=1,E7&gt;C9),1)+IF(AND(Q7=1,Q10=1,F7&gt;C10),1)+IF(AND(Q7=1,Q11=1,G7&gt;C11),1)+IF(AND(Q7=2,Q8=2,D7&gt;C8),1)+IF(AND(Q7=2,Q9=2,E7&gt;C9),1)+IF(AND(Q7=2,Q10=2,F7&gt;C10),1)+IF(AND(Q7=2,Q11=2,G7&gt;C11),1)+IF(AND(Q7=3,Q8=3,D7&gt;C8),1)+IF(AND(Q7=3,Q9=3,E7&gt;C9),1)+IF(AND(Q7=3,Q10=3,F7&gt;C10),1)+IF(AND(Q7=3,Q11=3,G7&gt;C11),1)</f>
        <v>0</v>
      </c>
      <c r="K7" s="481">
        <f>SUM(AND(T7=T8,D7&gt;C8),AND(T7=T9,E7&gt;C9),AND(T7=T10,F7&gt;C10),AND(T7=T11,G7&gt;C11))</f>
        <v>0</v>
      </c>
      <c r="L7" s="482">
        <f>IF(AND(Q7=1,Q8=1),D7-C8)+IF(AND(Q7=1,Q9=1),E7-C9)+IF(AND(Q7=1,Q10=1),F7-C10)+IF(AND(Q7=1,Q11=1),G7-C11)+IF(AND(Q7=2,Q8=2),D7-C8)+IF(AND(Q7=2,Q9=2),E7-C9)+IF(AND(Q7=2,Q10=2),F7-C10)+IF(AND(Q7=2,Q11=2),G7-C11)+IF(AND(Q7=3,Q8=3),D7-C8)+IF(AND(Q7=3,Q9=3),E7-C9)+IF(AND(Q7=3,Q10=3),F7-C10)+IF(AND(Q7=3,Q11=3),G7-C11)+IF(AND(Q7=4,Q8=4),D7-C8)+IF(AND(Q7=4,Q9=4),E7-C9)+IF(AND(Q7=4,Q10=4),F7-C10)+IF(AND(Q7=4,Q11=4),G7-C11)</f>
        <v>0</v>
      </c>
      <c r="M7" s="483">
        <f>SUM(AND(R7=R8,D7&gt;C8),AND(R7=R9,E7&gt;C9),AND(R7=R10,F7&gt;C10),AND(R7=R11,G7&gt;C11))</f>
        <v>0</v>
      </c>
      <c r="N7" s="537" t="str">
        <f>SUM(C7:G7)&amp;"-"&amp;SUM(C7:C11)</f>
        <v>39-19</v>
      </c>
      <c r="O7" s="538">
        <f>D7+E7+F7+G7-C8-C9-C10-C11</f>
        <v>20</v>
      </c>
      <c r="P7" s="485">
        <f>SUM(C7:G7,C7:C11)/SUM(C7:C11)</f>
        <v>3.0526315789473686</v>
      </c>
      <c r="Q7" s="320">
        <f>VALUE(LEFT(H7,1))</f>
        <v>3</v>
      </c>
      <c r="R7" s="321">
        <f>Q7*100000+J7*10000+K7*1000+100*L7</f>
        <v>300000</v>
      </c>
      <c r="S7" s="486">
        <f>R7+M7*0.1+IF(ISNONTEXT(B7),0,0.01)+0.0001*O7</f>
        <v>300000.01199999999</v>
      </c>
      <c r="T7" s="487" t="str">
        <f>Q7&amp;J7</f>
        <v>30</v>
      </c>
      <c r="V7" s="477"/>
      <c r="W7" s="477"/>
      <c r="X7" s="477"/>
      <c r="Y7" s="477"/>
      <c r="Z7" s="477"/>
      <c r="AA7" s="477"/>
      <c r="AB7" s="477"/>
      <c r="AC7" s="477"/>
      <c r="AD7" s="405">
        <f>SUM(AE7:AP7)</f>
        <v>365</v>
      </c>
      <c r="AE7" s="406">
        <f>IFERROR(INDEX(V!$R:$R,MATCH(AF7,V!$L:$L,0)),"")</f>
        <v>187</v>
      </c>
      <c r="AF7" s="407" t="str">
        <f>IFERROR(LEFT($B7,(FIND(",",$B7,1)-1)),"")</f>
        <v>Kenneth Muusikus</v>
      </c>
      <c r="AG7" s="406">
        <f>IFERROR(INDEX(V!$R:$R,MATCH(AH7,V!$L:$L,0)),"")</f>
        <v>178</v>
      </c>
      <c r="AH7" s="407" t="str">
        <f>IFERROR(MID($B7,FIND(", ",$B7)+2,256),"")</f>
        <v>Mait Metsla</v>
      </c>
      <c r="AI7" s="406" t="str">
        <f>IFERROR(INDEX(V!$R:$R,MATCH(AJ7,V!$L:$L,0)),"")</f>
        <v/>
      </c>
      <c r="AJ7" s="407" t="str">
        <f>IFERROR(MID($B7,FIND("^",SUBSTITUTE($B7,", ","^",1))+2,FIND("^",SUBSTITUTE($B7,", ","^",2))-FIND("^",SUBSTITUTE($B7,", ","^",1))-2),"")</f>
        <v/>
      </c>
      <c r="AK7" s="406" t="str">
        <f>IFERROR(INDEX(V!$R:$R,MATCH(AL7,V!$L:$L,0)),"")</f>
        <v/>
      </c>
      <c r="AL7" s="407" t="str">
        <f>IFERROR(MID($B7,FIND(", ",$B7,FIND(", ",$B7,FIND(", ",$B7))+1)+2,30000),"")</f>
        <v/>
      </c>
      <c r="AM7" s="406" t="str">
        <f>IFERROR(INDEX(V!$R:$R,MATCH(AN7,V!$L:$L,0)),"")</f>
        <v/>
      </c>
      <c r="AN7" s="407" t="str">
        <f>IFERROR(MID($B7,FIND(", ",$B7,FIND(", ",$B7)+1)+2,FIND(", ",$B7,FIND(", ",$B7,FIND(", ",$B7)+1)+1)-FIND(", ",$B7,FIND(", ",$B7)+1)-2),"")</f>
        <v/>
      </c>
      <c r="AO7" s="406" t="str">
        <f>IFERROR(INDEX(V!$R:$R,MATCH(AP7,V!$L:$L,0)),"")</f>
        <v/>
      </c>
      <c r="AP7" s="407" t="str">
        <f>IFERROR(MID($B7,FIND(", ",$B7,FIND(", ",$B7,FIND(", ",$B7)+1)+1)+2,30000),"")</f>
        <v/>
      </c>
    </row>
    <row r="8" spans="1:42" x14ac:dyDescent="0.2">
      <c r="A8" s="316">
        <v>2</v>
      </c>
      <c r="B8" s="488" t="s">
        <v>280</v>
      </c>
      <c r="C8" s="318">
        <v>5</v>
      </c>
      <c r="D8" s="319"/>
      <c r="E8" s="318">
        <v>13</v>
      </c>
      <c r="F8" s="318">
        <v>13</v>
      </c>
      <c r="G8" s="318"/>
      <c r="H8" s="317" t="str">
        <f>(IF(C8-D7&gt;0,1)+IF(E8-D9&gt;0,1)+IF(F8-D10&gt;0,1)+IF(G8-D11&gt;0,1))&amp;"-"&amp;(IF(C8-D7&lt;0,1)+IF(E8-D9&lt;0,1)+IF(F8-D10&lt;0,1)+IF(G8-D11&lt;0,1))</f>
        <v>2-1</v>
      </c>
      <c r="I8" s="318" t="str">
        <f>IF(AND(B8&lt;&gt;"",R$6=TRUE),A$6&amp;RANK(S8,S$7:S$11,0)," ")</f>
        <v>A2</v>
      </c>
      <c r="J8" s="489">
        <f>IF(AND(Q8=1,Q7=1,C8&gt;D7),1)+IF(AND(Q8=1,Q9=1,E8&gt;D9),1)+IF(AND(Q8=1,Q10=1,F8&gt;D10),1)+IF(AND(Q8=1,Q11=1,G8&gt;D11),1)+IF(AND(Q8=2,Q7=2,C8&gt;D7),1)+IF(AND(Q8=2,Q9=2,E8&gt;D9),1)+IF(AND(Q8=2,Q10=2,F8&gt;D10),1)+IF(AND(Q8=2,Q11=2,G8&gt;D11),1)+IF(AND(Q8=3,Q7=3,C8&gt;D7),1)+IF(AND(Q8=3,Q9=3,E8&gt;D9),1)+IF(AND(Q8=3,Q10=3,F8&gt;D10),1)+IF(AND(Q8=3,Q11=3,G8&gt;D11),1)</f>
        <v>0</v>
      </c>
      <c r="K8" s="483">
        <f>SUM(AND(T8=T7,C8&gt;D7),AND(T8=T9,E8&gt;D9),AND(T8=T10,F8&gt;D10),AND(T8=T11,G8&gt;D11))</f>
        <v>0</v>
      </c>
      <c r="L8" s="490">
        <f>IF(AND(Q8=1,Q7=1),C8-D7)+IF(AND(Q8=1,Q9=1),E8-D9)+IF(AND(Q8=1,Q10=1),F8-D10)+IF(AND(Q8=1,Q11=1),G8-D11)+IF(AND(Q8=2,Q7=2),C8-D7)+IF(AND(Q8=2,Q9=2),E8-D9)+IF(AND(Q8=2,Q10=2),F8-D10)+IF(AND(Q8=2,Q11=2),G8-D11)+IF(AND(Q8=3,Q7=3),C8-D7)+IF(AND(Q8=3,Q9=3),E8-D9)+IF(AND(Q8=3,Q10=3),F8-D10)+IF(AND(Q8=3,Q11=3),G8-D11)+IF(AND(Q8=4,Q7=4),C8-D7)+IF(AND(Q8=4,Q9=4),E8-D9)+IF(AND(Q8=4,Q10=4),F8-D10)+IF(AND(Q8=4,Q11=4),G8-D11)</f>
        <v>0</v>
      </c>
      <c r="M8" s="483">
        <f>SUM(AND(R8=R7,C8&gt;D7),AND(R8=R9,E8&gt;D9),AND(R8=R10,F8&gt;D10),AND(R8=R11,G8&gt;D11))</f>
        <v>0</v>
      </c>
      <c r="N8" s="537" t="str">
        <f>SUM(C8:G8)&amp;"-"&amp;SUM(D7:D11)</f>
        <v>31-29</v>
      </c>
      <c r="O8" s="538">
        <f>C8+E8+F8+G8-D7-D9-D10-D11</f>
        <v>2</v>
      </c>
      <c r="P8" s="485">
        <f>SUM(C8:G8,D7:D11)/SUM(D7:D11)</f>
        <v>2.0689655172413794</v>
      </c>
      <c r="Q8" s="491">
        <f>VALUE(LEFT(H8,1))</f>
        <v>2</v>
      </c>
      <c r="R8" s="321">
        <f>Q8*100000+J8*10000+K8*1000+100*L8</f>
        <v>200000</v>
      </c>
      <c r="S8" s="486">
        <f>R8+M8*0.1+IF(ISNONTEXT(B8),0,0.01)+0.0001*O8</f>
        <v>200000.01020000002</v>
      </c>
      <c r="T8" s="487" t="str">
        <f>Q8&amp;J8</f>
        <v>20</v>
      </c>
      <c r="V8" s="477"/>
      <c r="W8" s="477"/>
      <c r="X8" s="477"/>
      <c r="Y8" s="477"/>
      <c r="Z8" s="477"/>
      <c r="AA8" s="477"/>
      <c r="AB8" s="477"/>
      <c r="AC8" s="485"/>
      <c r="AD8" s="405">
        <f t="shared" ref="AD8:AD31" si="0">SUM(AE8:AP8)</f>
        <v>223</v>
      </c>
      <c r="AE8" s="406">
        <f>IFERROR(INDEX(V!$R:$R,MATCH(AF8,V!$L:$L,0)),"")</f>
        <v>118</v>
      </c>
      <c r="AF8" s="407" t="str">
        <f t="shared" ref="AF8:AF31" si="1">IFERROR(LEFT($B8,(FIND(",",$B8,1)-1)),"")</f>
        <v>Enn Tokman</v>
      </c>
      <c r="AG8" s="406">
        <f>IFERROR(INDEX(V!$R:$R,MATCH(AH8,V!$L:$L,0)),"")</f>
        <v>105</v>
      </c>
      <c r="AH8" s="407" t="str">
        <f t="shared" ref="AH8:AH64" si="2">IFERROR(MID($B8,FIND(", ",$B8)+2,256),"")</f>
        <v>Tarmo Bombe</v>
      </c>
      <c r="AI8" s="406" t="str">
        <f>IFERROR(INDEX(V!$R:$R,MATCH(AJ8,V!$L:$L,0)),"")</f>
        <v/>
      </c>
      <c r="AJ8" s="407" t="str">
        <f t="shared" ref="AJ8:AJ31" si="3">IFERROR(MID($B8,FIND("^",SUBSTITUTE($B8,", ","^",1))+2,FIND("^",SUBSTITUTE($B8,", ","^",2))-FIND("^",SUBSTITUTE($B8,", ","^",1))-2),"")</f>
        <v/>
      </c>
      <c r="AK8" s="406" t="str">
        <f>IFERROR(INDEX(V!$R:$R,MATCH(AL8,V!$L:$L,0)),"")</f>
        <v/>
      </c>
      <c r="AL8" s="407" t="str">
        <f t="shared" ref="AL8:AL31" si="4">IFERROR(MID($B8,FIND(", ",$B8,FIND(", ",$B8,FIND(", ",$B8))+1)+2,30000),"")</f>
        <v/>
      </c>
      <c r="AM8" s="406" t="str">
        <f>IFERROR(INDEX(V!$R:$R,MATCH(AN8,V!$L:$L,0)),"")</f>
        <v/>
      </c>
      <c r="AN8" s="407" t="str">
        <f t="shared" ref="AN8:AN31" si="5">IFERROR(MID($B8,FIND(", ",$B8,FIND(", ",$B8)+1)+2,FIND(", ",$B8,FIND(", ",$B8,FIND(", ",$B8)+1)+1)-FIND(", ",$B8,FIND(", ",$B8)+1)-2),"")</f>
        <v/>
      </c>
      <c r="AO8" s="406" t="str">
        <f>IFERROR(INDEX(V!$R:$R,MATCH(AP8,V!$L:$L,0)),"")</f>
        <v/>
      </c>
      <c r="AP8" s="407" t="str">
        <f t="shared" ref="AP8:AP31" si="6">IFERROR(MID($B8,FIND(", ",$B8,FIND(", ",$B8,FIND(", ",$B8)+1)+1)+2,30000),"")</f>
        <v/>
      </c>
    </row>
    <row r="9" spans="1:42" x14ac:dyDescent="0.2">
      <c r="A9" s="316">
        <v>3</v>
      </c>
      <c r="B9" s="488" t="s">
        <v>279</v>
      </c>
      <c r="C9" s="318">
        <v>11</v>
      </c>
      <c r="D9" s="492">
        <v>5</v>
      </c>
      <c r="E9" s="319"/>
      <c r="F9" s="318">
        <v>13</v>
      </c>
      <c r="G9" s="318"/>
      <c r="H9" s="317" t="str">
        <f>(IF(C9-E7&gt;0,1)+IF(D9-E8&gt;0,1)+IF(F9-E10&gt;0,1)+IF(G9-E11&gt;0,1))&amp;"-"&amp;(IF(C9-E7&lt;0,1)+IF(D9-E8&lt;0,1)+IF(F9-E10&lt;0,1)+IF(G9-E11&lt;0,1))</f>
        <v>1-2</v>
      </c>
      <c r="I9" s="318" t="str">
        <f>IF(AND(B9&lt;&gt;"",R$6=TRUE),A$6&amp;RANK(S9,S$7:S$11,0)," ")</f>
        <v>A3</v>
      </c>
      <c r="J9" s="489">
        <f>IF(AND(Q9=1,Q7=1,C9&gt;E7),1)+IF(AND(Q9=1,Q8=1,D9&gt;E8),1)+IF(AND(Q9=1,Q10=1,F9&gt;E10),1)+IF(AND(Q9=1,Q11=1,G9&gt;E11),1)+IF(AND(Q9=2,Q7=2,C9&gt;E7),1)+IF(AND(Q9=2,Q8=2,D9&gt;E8),1)+IF(AND(Q9=2,Q10=2,F9&gt;E10),1)+IF(AND(Q9=2,Q11=2,G9&gt;E11),1)+IF(AND(Q9=3,Q7=3,C9&gt;E7),1)+IF(AND(Q9=3,Q8=3,D9&gt;E8),1)+IF(AND(Q9=3,Q10=3,F9&gt;E10),1)+IF(AND(Q9=3,Q11=3,G9&gt;E11),1)</f>
        <v>0</v>
      </c>
      <c r="K9" s="483">
        <f>SUM(AND(T9=T7,C9&gt;E7),AND(T9=T8,D9&gt;E8),AND(T9=T10,F9&gt;E10),AND(T9=T11,G9&gt;E11))</f>
        <v>0</v>
      </c>
      <c r="L9" s="490">
        <f>IF(AND(Q9=1,Q7=1),C9-E7)+IF(AND(Q9=1,Q8=1),D9-E8)+IF(AND(Q9=1,Q10=1),F9-E10)+IF(AND(Q9=1,Q11=1),G9-E11)+IF(AND(Q9=2,Q7=2),C9-E7)+IF(AND(Q9=2,Q8=2),D9-E8)+IF(AND(Q9=2,Q10=2),F9-E10)+IF(AND(Q9=2,Q11=2),G9-E11)+IF(AND(Q9=3,Q7=3),C9-E7)+IF(AND(Q9=3,Q8=3),D9-E8)+IF(AND(Q9=3,Q10=3),F9-E10)+IF(AND(Q9=3,Q11=3),G9-E11)+IF(AND(Q9=4,Q7=4),C9-E7)+IF(AND(Q9=4,Q8=4),D9-E8)+IF(AND(Q9=4,Q10=4),F9-E10)+IF(AND(Q9=4,Q11=4),G9-E11)</f>
        <v>0</v>
      </c>
      <c r="M9" s="483">
        <f>SUM(AND(R9=R7,C9&gt;E7),AND(R9=R8,D9&gt;E8),AND(R9=R10,F9&gt;E10),AND(R9=R11,G9&gt;E11))</f>
        <v>0</v>
      </c>
      <c r="N9" s="537" t="str">
        <f>SUM(C9:G9)&amp;"-"&amp;SUM(E7:E11)</f>
        <v>29-28</v>
      </c>
      <c r="O9" s="538">
        <f>C9+D9+F9+G9-E7-E8-E10-E11</f>
        <v>1</v>
      </c>
      <c r="P9" s="485">
        <f>SUM(C9:G9,E7:E11)/SUM(E7:E11)</f>
        <v>2.0357142857142856</v>
      </c>
      <c r="Q9" s="491">
        <f>VALUE(LEFT(H9,1))</f>
        <v>1</v>
      </c>
      <c r="R9" s="321">
        <f>Q9*100000+J9*10000+K9*1000+100*L9</f>
        <v>100000</v>
      </c>
      <c r="S9" s="486">
        <f>R9+M9*0.1+IF(ISNONTEXT(B9),0,0.01)+0.0001*O9</f>
        <v>100000.0101</v>
      </c>
      <c r="T9" s="487" t="str">
        <f>Q9&amp;J9</f>
        <v>10</v>
      </c>
      <c r="V9" s="477"/>
      <c r="W9" s="477"/>
      <c r="X9" s="477"/>
      <c r="Y9" s="477"/>
      <c r="Z9" s="477"/>
      <c r="AA9" s="477"/>
      <c r="AB9" s="477"/>
      <c r="AC9" s="485"/>
      <c r="AD9" s="405">
        <f t="shared" si="0"/>
        <v>160</v>
      </c>
      <c r="AE9" s="406">
        <f>IFERROR(INDEX(V!$R:$R,MATCH(AF9,V!$L:$L,0)),"")</f>
        <v>81</v>
      </c>
      <c r="AF9" s="407" t="str">
        <f t="shared" si="1"/>
        <v>Jaan Saar</v>
      </c>
      <c r="AG9" s="406">
        <f>IFERROR(INDEX(V!$R:$R,MATCH(AH9,V!$L:$L,0)),"")</f>
        <v>79</v>
      </c>
      <c r="AH9" s="407" t="str">
        <f t="shared" si="2"/>
        <v>Liidia Põllu</v>
      </c>
      <c r="AI9" s="406" t="str">
        <f>IFERROR(INDEX(V!$R:$R,MATCH(AJ9,V!$L:$L,0)),"")</f>
        <v/>
      </c>
      <c r="AJ9" s="407" t="str">
        <f t="shared" si="3"/>
        <v/>
      </c>
      <c r="AK9" s="406" t="str">
        <f>IFERROR(INDEX(V!$R:$R,MATCH(AL9,V!$L:$L,0)),"")</f>
        <v/>
      </c>
      <c r="AL9" s="407" t="str">
        <f t="shared" si="4"/>
        <v/>
      </c>
      <c r="AM9" s="406" t="str">
        <f>IFERROR(INDEX(V!$R:$R,MATCH(AN9,V!$L:$L,0)),"")</f>
        <v/>
      </c>
      <c r="AN9" s="407" t="str">
        <f t="shared" si="5"/>
        <v/>
      </c>
      <c r="AO9" s="406" t="str">
        <f>IFERROR(INDEX(V!$R:$R,MATCH(AP9,V!$L:$L,0)),"")</f>
        <v/>
      </c>
      <c r="AP9" s="407" t="str">
        <f t="shared" si="6"/>
        <v/>
      </c>
    </row>
    <row r="10" spans="1:42" x14ac:dyDescent="0.2">
      <c r="A10" s="316">
        <v>4</v>
      </c>
      <c r="B10" s="493" t="s">
        <v>507</v>
      </c>
      <c r="C10" s="318">
        <v>3</v>
      </c>
      <c r="D10" s="492">
        <v>11</v>
      </c>
      <c r="E10" s="318">
        <v>2</v>
      </c>
      <c r="F10" s="319"/>
      <c r="G10" s="318"/>
      <c r="H10" s="317" t="str">
        <f>(IF(C10-F7&gt;0,1)+IF(D10-F8&gt;0,1)+IF(E10-F9&gt;0,1)+IF(G10-F11&gt;0,1))&amp;"-"&amp;(IF(C10-F7&lt;0,1)+IF(D10-F8&lt;0,1)+IF(E10-F9&lt;0,1)+IF(G10-F11&lt;0,1))</f>
        <v>0-3</v>
      </c>
      <c r="I10" s="318" t="str">
        <f>IF(AND(B10&lt;&gt;"",R$6=TRUE),A$6&amp;RANK(S10,S$7:S$11,0)," ")</f>
        <v>A4</v>
      </c>
      <c r="J10" s="489">
        <f>IF(AND(Q10=1,Q7=1,C10&gt;F7),1)+IF(AND(Q10=1,Q8=1,D10&gt;F8),1)+IF(AND(Q10=1,Q9=1,E10&gt;F9),1)+IF(AND(Q10=1,Q11=1,G10&gt;F11),1)+IF(AND(Q10=2,Q7=2,C10&gt;F7),1)+IF(AND(Q10=2,Q8=2,D10&gt;F8),1)+IF(AND(Q10=2,Q9=2,E10&gt;F9),1)+IF(AND(Q10=2,Q11=2,G10&gt;F11),1)+IF(AND(Q10=3,Q7=3,C10&gt;F7),1)+IF(AND(Q10=3,Q8=3,D10&gt;F8),1)+IF(AND(Q10=3,Q9=3,E10&gt;F9),1)+IF(AND(Q10=3,Q11=3,G10&gt;F11),1)</f>
        <v>0</v>
      </c>
      <c r="K10" s="483">
        <f>SUM(AND(T10=T7,C10&gt;F7),AND(T10=T8,D10&gt;F8),AND(T10=T9,E10&gt;F9),AND(T10=T11,G10&gt;F11))</f>
        <v>0</v>
      </c>
      <c r="L10" s="490">
        <f>IF(AND(Q10=1,Q7=1),C10-F7)+IF(AND(Q10=1,Q8=1),D10-F8)+IF(AND(Q10=1,Q9=1),E10-F9)+IF(AND(Q10=1,Q11=1),G10-F11)+IF(AND(Q10=2,Q7=2),C10-F7)+IF(AND(Q10=2,Q8=2),D10-F8)+IF(AND(Q10=2,Q9=2),E10-F9)+IF(AND(Q10=2,Q11=2),G10-F11)+IF(AND(Q10=3,Q7=3),C10-F7)+IF(AND(Q10=3,Q8=3),D10-F8)+IF(AND(Q10=3,Q9=3),E10-F9)+IF(AND(Q10=3,Q11=3),G10-F11)+IF(AND(Q10=4,Q7=4),C10-F7)+IF(AND(Q10=4,Q8=4),D10-F8)+IF(AND(Q10=4,Q9=4),E10-F9)+IF(AND(Q10=4,Q11=4),G10-F11)</f>
        <v>0</v>
      </c>
      <c r="M10" s="483">
        <f>SUM(AND(R10=R7,C10&gt;F7),AND(R10=R8,D10&gt;F8),AND(R10=R9,E10&gt;F9),AND(R10=R11,G10&gt;F11))</f>
        <v>0</v>
      </c>
      <c r="N10" s="537" t="str">
        <f>SUM(C10:G10)&amp;"-"&amp;SUM(F7:F11)</f>
        <v>16-39</v>
      </c>
      <c r="O10" s="538">
        <f>C10+D10+E10+G10-F7-F8-F9-F11</f>
        <v>-23</v>
      </c>
      <c r="P10" s="485">
        <f>SUM(C10:G10,F7:F11)/SUM(F7:F11)</f>
        <v>1.4102564102564104</v>
      </c>
      <c r="Q10" s="491">
        <f>VALUE(LEFT(H10,1))</f>
        <v>0</v>
      </c>
      <c r="R10" s="321">
        <f>Q10*100000+J10*10000+K10*1000+100*L10</f>
        <v>0</v>
      </c>
      <c r="S10" s="486">
        <f>R10+M10*0.1+IF(ISNONTEXT(B10),0,0.01)+0.0001*O10</f>
        <v>7.7000000000000002E-3</v>
      </c>
      <c r="T10" s="487" t="str">
        <f>Q10&amp;J10</f>
        <v>00</v>
      </c>
      <c r="U10" s="477"/>
      <c r="V10" s="477"/>
      <c r="W10" s="477"/>
      <c r="X10" s="477"/>
      <c r="Y10" s="477"/>
      <c r="Z10" s="477"/>
      <c r="AA10" s="477"/>
      <c r="AB10" s="477"/>
      <c r="AC10" s="485"/>
      <c r="AD10" s="405">
        <f t="shared" si="0"/>
        <v>10</v>
      </c>
      <c r="AE10" s="406">
        <f>IFERROR(INDEX(V!$R:$R,MATCH(AF10,V!$L:$L,0)),"")</f>
        <v>5</v>
      </c>
      <c r="AF10" s="407" t="str">
        <f t="shared" si="1"/>
        <v>Daniel Lehtsaar</v>
      </c>
      <c r="AG10" s="406">
        <f>IFERROR(INDEX(V!$R:$R,MATCH(AH10,V!$L:$L,0)),"")</f>
        <v>5</v>
      </c>
      <c r="AH10" s="407" t="str">
        <f t="shared" si="2"/>
        <v>Roland Põld</v>
      </c>
      <c r="AI10" s="406" t="str">
        <f>IFERROR(INDEX(V!$R:$R,MATCH(AJ10,V!$L:$L,0)),"")</f>
        <v/>
      </c>
      <c r="AJ10" s="407" t="str">
        <f t="shared" si="3"/>
        <v/>
      </c>
      <c r="AK10" s="406" t="str">
        <f>IFERROR(INDEX(V!$R:$R,MATCH(AL10,V!$L:$L,0)),"")</f>
        <v/>
      </c>
      <c r="AL10" s="407" t="str">
        <f t="shared" si="4"/>
        <v/>
      </c>
      <c r="AM10" s="406" t="str">
        <f>IFERROR(INDEX(V!$R:$R,MATCH(AN10,V!$L:$L,0)),"")</f>
        <v/>
      </c>
      <c r="AN10" s="407" t="str">
        <f t="shared" si="5"/>
        <v/>
      </c>
      <c r="AO10" s="406" t="str">
        <f>IFERROR(INDEX(V!$R:$R,MATCH(AP10,V!$L:$L,0)),"")</f>
        <v/>
      </c>
      <c r="AP10" s="407" t="str">
        <f t="shared" si="6"/>
        <v/>
      </c>
    </row>
    <row r="11" spans="1:42" hidden="1" x14ac:dyDescent="0.2">
      <c r="A11" s="316">
        <v>5</v>
      </c>
      <c r="B11" s="493"/>
      <c r="C11" s="318"/>
      <c r="D11" s="318"/>
      <c r="E11" s="318"/>
      <c r="F11" s="318"/>
      <c r="G11" s="319"/>
      <c r="H11" s="317" t="str">
        <f>(IF(C11-G7&gt;0,1)+IF(D11-G8&gt;0,1)+IF(E11-G9&gt;0,1)+IF(F11-G10&gt;0,1))&amp;"-"&amp;(IF(C11-G7&lt;0,1)+IF(D11-G8&lt;0,1)+IF(E11-G9&lt;0,1)+IF(F11-G10&lt;0,1))</f>
        <v>0-0</v>
      </c>
      <c r="I11" s="318" t="str">
        <f>IF(AND(B11&lt;&gt;"",R$6=TRUE),A$6&amp;RANK(S11,S$7:S$11,0)," ")</f>
        <v xml:space="preserve"> </v>
      </c>
      <c r="J11" s="489">
        <f>IF(AND(Q11=1,Q7=1,C11&gt;G7),1)+IF(AND(Q11=1,Q8=1,D11&gt;G8),1)+IF(AND(Q11=1,Q9=1,E11&gt;G9),1)+IF(AND(Q11=1,Q10=1,F11&gt;G10),1)+IF(AND(Q11=2,Q7=2,C11&gt;G7),1)+IF(AND(Q11=2,Q8=2,D11&gt;G8),1)+IF(AND(Q11=2,Q9=2,E11&gt;G9),1)+IF(AND(Q11=2,Q10=2,F11&gt;G10),1)+IF(AND(Q11=3,Q7=3,C11&gt;G7),1)+IF(AND(Q11=3,Q8=3,D11&gt;G8),1)+IF(AND(Q11=3,Q9=3,E11&gt;G9),1)+IF(AND(Q11=3,Q10=3,F11&gt;G10),1)</f>
        <v>0</v>
      </c>
      <c r="K11" s="483">
        <f>SUM(AND(T11=T7,C11&gt;G7),AND(T11=T8,D11&gt;G8),AND(T11=T9,E11&gt;G9),AND(T11=T10,F11&gt;G10))</f>
        <v>0</v>
      </c>
      <c r="L11" s="490">
        <f>IF(AND(Q11=1,Q7=1),C11-G7)+IF(AND(Q11=1,Q8=1),D11-G8)+IF(AND(Q11=1,Q9=1),E11-G9)+IF(AND(Q11=1,Q10=1),F11-G10)+IF(AND(Q11=2,Q7=2),C11-G7)+IF(AND(Q11=2,Q8=2),D11-G8)+IF(AND(Q11=2,Q9=2),E11-G9)+IF(AND(Q11=2,Q10=2),F11-G10)+IF(AND(Q11=3,Q7=3),C11-G7)+IF(AND(Q11=3,Q8=3),D11-G8)+IF(AND(Q11=3,Q9=3),E11-G9)+IF(AND(Q11=3,Q10=3),F11-G10)+IF(AND(Q11=4,Q7=4),C11-G7)+IF(AND(Q11=4,Q8=4),D11-G8)+IF(AND(Q11=4,Q9=4),E11-G9)+IF(AND(Q11=4,Q10=4),F11-G10)</f>
        <v>0</v>
      </c>
      <c r="M11" s="483">
        <f>SUM(AND(R11=R7,C11&gt;G7),AND(R11=R8,D11&gt;G8),AND(R11=R9,E11&gt;G9),AND(R11=R10,F11&gt;G10))</f>
        <v>0</v>
      </c>
      <c r="N11" s="537" t="str">
        <f>SUM(C11:G11)&amp;"-"&amp;SUM(G7:G11)</f>
        <v>0-0</v>
      </c>
      <c r="O11" s="538">
        <f>C11+D11+E11+F11-G7-G8-G9-G10</f>
        <v>0</v>
      </c>
      <c r="P11" s="485" t="e">
        <f>SUM(C11:G11,G7:G11)/SUM(G7:G11)</f>
        <v>#DIV/0!</v>
      </c>
      <c r="Q11" s="491">
        <f>VALUE(LEFT(H11,1))</f>
        <v>0</v>
      </c>
      <c r="R11" s="321">
        <f>Q11*100000+J11*10000+K11*1000+100*L11</f>
        <v>0</v>
      </c>
      <c r="S11" s="486">
        <f>R11+M11*0.1+IF(ISNONTEXT(B11),0,0.01)+0.0001*O11</f>
        <v>0</v>
      </c>
      <c r="T11" s="487" t="str">
        <f>Q11&amp;J11</f>
        <v>00</v>
      </c>
      <c r="U11" s="477"/>
      <c r="V11" s="477"/>
      <c r="W11" s="477"/>
      <c r="X11" s="477"/>
      <c r="Y11" s="477"/>
      <c r="Z11" s="477"/>
      <c r="AA11" s="477"/>
      <c r="AB11" s="477"/>
      <c r="AC11" s="485"/>
      <c r="AD11" s="405">
        <f t="shared" si="0"/>
        <v>0</v>
      </c>
      <c r="AE11" s="406" t="str">
        <f>IFERROR(INDEX(V!$R:$R,MATCH(AF11,V!$L:$L,0)),"")</f>
        <v/>
      </c>
      <c r="AF11" s="407" t="str">
        <f t="shared" si="1"/>
        <v/>
      </c>
      <c r="AG11" s="406" t="str">
        <f>IFERROR(INDEX(V!$R:$R,MATCH(AH11,V!$L:$L,0)),"")</f>
        <v/>
      </c>
      <c r="AH11" s="407" t="str">
        <f t="shared" si="2"/>
        <v/>
      </c>
      <c r="AI11" s="406" t="str">
        <f>IFERROR(INDEX(V!$R:$R,MATCH(AJ11,V!$L:$L,0)),"")</f>
        <v/>
      </c>
      <c r="AJ11" s="407" t="str">
        <f t="shared" si="3"/>
        <v/>
      </c>
      <c r="AK11" s="406" t="str">
        <f>IFERROR(INDEX(V!$R:$R,MATCH(AL11,V!$L:$L,0)),"")</f>
        <v/>
      </c>
      <c r="AL11" s="407" t="str">
        <f t="shared" si="4"/>
        <v/>
      </c>
      <c r="AM11" s="406" t="str">
        <f>IFERROR(INDEX(V!$R:$R,MATCH(AN11,V!$L:$L,0)),"")</f>
        <v/>
      </c>
      <c r="AN11" s="407" t="str">
        <f t="shared" si="5"/>
        <v/>
      </c>
      <c r="AO11" s="406" t="str">
        <f>IFERROR(INDEX(V!$R:$R,MATCH(AP11,V!$L:$L,0)),"")</f>
        <v/>
      </c>
      <c r="AP11" s="407" t="str">
        <f t="shared" si="6"/>
        <v/>
      </c>
    </row>
    <row r="12" spans="1:42" x14ac:dyDescent="0.2">
      <c r="A12" s="494"/>
      <c r="B12" s="495"/>
      <c r="C12" s="496"/>
      <c r="D12" s="497"/>
      <c r="E12" s="498"/>
      <c r="F12" s="498"/>
      <c r="G12" s="499"/>
      <c r="H12" s="500"/>
      <c r="I12" s="501"/>
      <c r="J12" s="477"/>
      <c r="K12" s="477"/>
      <c r="L12" s="477"/>
      <c r="M12" s="477"/>
      <c r="N12" s="539"/>
      <c r="O12" s="539"/>
      <c r="P12" s="477"/>
      <c r="Q12" s="477"/>
      <c r="R12" s="502" t="s">
        <v>264</v>
      </c>
      <c r="S12" s="477"/>
      <c r="T12" s="477"/>
      <c r="U12" s="477"/>
      <c r="V12" s="477"/>
      <c r="W12" s="477"/>
      <c r="X12" s="477"/>
      <c r="Y12" s="477"/>
      <c r="Z12" s="477"/>
      <c r="AA12" s="477"/>
      <c r="AB12" s="477"/>
      <c r="AC12" s="485"/>
      <c r="AD12" s="405">
        <f t="shared" si="0"/>
        <v>0</v>
      </c>
      <c r="AE12" s="406" t="str">
        <f>IFERROR(INDEX(V!$R:$R,MATCH(AF12,V!$L:$L,0)),"")</f>
        <v/>
      </c>
      <c r="AF12" s="407" t="str">
        <f t="shared" si="1"/>
        <v/>
      </c>
      <c r="AG12" s="406" t="str">
        <f>IFERROR(INDEX(V!$R:$R,MATCH(AH12,V!$L:$L,0)),"")</f>
        <v/>
      </c>
      <c r="AH12" s="407" t="str">
        <f t="shared" si="2"/>
        <v/>
      </c>
      <c r="AI12" s="406" t="str">
        <f>IFERROR(INDEX(V!$R:$R,MATCH(AJ12,V!$L:$L,0)),"")</f>
        <v/>
      </c>
      <c r="AJ12" s="407" t="str">
        <f t="shared" si="3"/>
        <v/>
      </c>
      <c r="AK12" s="406" t="str">
        <f>IFERROR(INDEX(V!$R:$R,MATCH(AL12,V!$L:$L,0)),"")</f>
        <v/>
      </c>
      <c r="AL12" s="407" t="str">
        <f t="shared" si="4"/>
        <v/>
      </c>
      <c r="AM12" s="406" t="str">
        <f>IFERROR(INDEX(V!$R:$R,MATCH(AN12,V!$L:$L,0)),"")</f>
        <v/>
      </c>
      <c r="AN12" s="407" t="str">
        <f t="shared" si="5"/>
        <v/>
      </c>
      <c r="AO12" s="406" t="str">
        <f>IFERROR(INDEX(V!$R:$R,MATCH(AP12,V!$L:$L,0)),"")</f>
        <v/>
      </c>
      <c r="AP12" s="407" t="str">
        <f t="shared" si="6"/>
        <v/>
      </c>
    </row>
    <row r="13" spans="1:42" x14ac:dyDescent="0.2">
      <c r="A13" s="316" t="s">
        <v>1</v>
      </c>
      <c r="B13" s="503"/>
      <c r="C13" s="467">
        <v>1</v>
      </c>
      <c r="D13" s="467">
        <v>2</v>
      </c>
      <c r="E13" s="467">
        <v>3</v>
      </c>
      <c r="F13" s="467">
        <v>4</v>
      </c>
      <c r="G13" s="467"/>
      <c r="H13" s="468" t="s">
        <v>168</v>
      </c>
      <c r="I13" s="468" t="s">
        <v>169</v>
      </c>
      <c r="J13" s="504" t="s">
        <v>257</v>
      </c>
      <c r="K13" s="505" t="s">
        <v>258</v>
      </c>
      <c r="L13" s="506" t="s">
        <v>259</v>
      </c>
      <c r="M13" s="506" t="s">
        <v>260</v>
      </c>
      <c r="N13" s="472" t="s">
        <v>170</v>
      </c>
      <c r="O13" s="472" t="s">
        <v>170</v>
      </c>
      <c r="P13" s="473" t="s">
        <v>261</v>
      </c>
      <c r="Q13" s="507" t="s">
        <v>21</v>
      </c>
      <c r="R13" s="507" t="b">
        <f>OR(AND(COUNTA(B14:B18)=3,COUNTA(C14:G18)=6),AND(COUNTA(B14:B18)=4,COUNTA(C14:G18)=12),AND(COUNTA(B14:B18)=5,COUNTA(C14:G18)=20))</f>
        <v>1</v>
      </c>
      <c r="S13" s="508" t="s">
        <v>262</v>
      </c>
      <c r="T13" s="509" t="s">
        <v>263</v>
      </c>
      <c r="U13" s="477"/>
      <c r="V13" s="477"/>
      <c r="W13" s="477"/>
      <c r="X13" s="477"/>
      <c r="Y13" s="477"/>
      <c r="Z13" s="477"/>
      <c r="AA13" s="477"/>
      <c r="AB13" s="477"/>
      <c r="AC13" s="485"/>
      <c r="AD13" s="405">
        <f t="shared" si="0"/>
        <v>0</v>
      </c>
      <c r="AE13" s="406" t="str">
        <f>IFERROR(INDEX(V!$R:$R,MATCH(AF13,V!$L:$L,0)),"")</f>
        <v/>
      </c>
      <c r="AF13" s="407" t="str">
        <f t="shared" si="1"/>
        <v/>
      </c>
      <c r="AG13" s="406" t="str">
        <f>IFERROR(INDEX(V!$R:$R,MATCH(AH13,V!$L:$L,0)),"")</f>
        <v/>
      </c>
      <c r="AH13" s="407" t="str">
        <f t="shared" si="2"/>
        <v/>
      </c>
      <c r="AI13" s="406" t="str">
        <f>IFERROR(INDEX(V!$R:$R,MATCH(AJ13,V!$L:$L,0)),"")</f>
        <v/>
      </c>
      <c r="AJ13" s="407" t="str">
        <f t="shared" si="3"/>
        <v/>
      </c>
      <c r="AK13" s="406" t="str">
        <f>IFERROR(INDEX(V!$R:$R,MATCH(AL13,V!$L:$L,0)),"")</f>
        <v/>
      </c>
      <c r="AL13" s="407" t="str">
        <f t="shared" si="4"/>
        <v/>
      </c>
      <c r="AM13" s="406" t="str">
        <f>IFERROR(INDEX(V!$R:$R,MATCH(AN13,V!$L:$L,0)),"")</f>
        <v/>
      </c>
      <c r="AN13" s="407" t="str">
        <f t="shared" si="5"/>
        <v/>
      </c>
      <c r="AO13" s="406" t="str">
        <f>IFERROR(INDEX(V!$R:$R,MATCH(AP13,V!$L:$L,0)),"")</f>
        <v/>
      </c>
      <c r="AP13" s="407" t="str">
        <f t="shared" si="6"/>
        <v/>
      </c>
    </row>
    <row r="14" spans="1:42" x14ac:dyDescent="0.2">
      <c r="A14" s="316">
        <v>1</v>
      </c>
      <c r="B14" s="510" t="s">
        <v>276</v>
      </c>
      <c r="C14" s="319"/>
      <c r="D14" s="318">
        <v>13</v>
      </c>
      <c r="E14" s="318">
        <v>13</v>
      </c>
      <c r="F14" s="318">
        <v>13</v>
      </c>
      <c r="G14" s="318"/>
      <c r="H14" s="317" t="str">
        <f>(IF(D14-C15&gt;0,1)+IF(E14-C16&gt;0,1)+IF(F14-C17&gt;0,1)+IF(G14-C18&gt;0,1))&amp;"-"&amp;(IF(D14-C15&lt;0,1)+IF(E14-C16&lt;0,1)+IF(F14-C17&lt;0,1)+IF(G14-C18&lt;0,1))</f>
        <v>3-0</v>
      </c>
      <c r="I14" s="318" t="str">
        <f>IF(AND(B14&lt;&gt;"",R$6=TRUE),A$13&amp;RANK(S14,S$14:S$18,0)," ")</f>
        <v>B1</v>
      </c>
      <c r="J14" s="480">
        <f>IF(AND(Q14=1,Q15=1,D14&gt;C15),1)+IF(AND(Q14=1,Q16=1,E14&gt;C16),1)+IF(AND(Q14=1,Q17=1,F14&gt;C17),1)+IF(AND(Q14=1,Q18=1,G14&gt;C18),1)+IF(AND(Q14=2,Q15=2,D14&gt;C15),1)+IF(AND(Q14=2,Q16=2,E14&gt;C16),1)+IF(AND(Q14=2,Q17=2,F14&gt;C17),1)+IF(AND(Q14=2,Q18=2,G14&gt;C18),1)+IF(AND(Q14=3,Q15=3,D14&gt;C15),1)+IF(AND(Q14=3,Q16=3,E14&gt;C16),1)+IF(AND(Q14=3,Q17=3,F14&gt;C17),1)+IF(AND(Q14=3,Q18=3,G14&gt;C18),1)</f>
        <v>0</v>
      </c>
      <c r="K14" s="481">
        <f>SUM(AND(T14=T15,D14&gt;C15),AND(T14=T16,E14&gt;C16),AND(T14=T17,F14&gt;C17),AND(T14=T18,G14&gt;C18))</f>
        <v>0</v>
      </c>
      <c r="L14" s="482">
        <f>IF(AND(Q14=1,Q15=1),D14-C15)+IF(AND(Q14=1,Q16=1),E14-C16)+IF(AND(Q14=1,Q17=1),F14-C17)+IF(AND(Q14=1,Q18=1),G14-C18)+IF(AND(Q14=2,Q15=2),D14-C15)+IF(AND(Q14=2,Q16=2),E14-C16)+IF(AND(Q14=2,Q17=2),F14-C17)+IF(AND(Q14=2,Q18=2),G14-C18)+IF(AND(Q14=3,Q15=3),D14-C15)+IF(AND(Q14=3,Q16=3),E14-C16)+IF(AND(Q14=3,Q17=3),F14-C17)+IF(AND(Q14=3,Q18=3),G14-C18)+IF(AND(Q14=4,Q15=4),D14-C15)+IF(AND(Q14=4,Q16=4),E14-C16)+IF(AND(Q14=4,Q17=4),F14-C17)+IF(AND(Q14=4,Q18=4),G14-C18)</f>
        <v>0</v>
      </c>
      <c r="M14" s="483">
        <f>SUM(AND(R14=R15,D14&gt;C15),AND(R14=R16,E14&gt;C16),AND(R14=R17,F14&gt;C17),AND(R14=R18,G14&gt;C18))</f>
        <v>0</v>
      </c>
      <c r="N14" s="537" t="str">
        <f>SUM(C14:G14)&amp;"-"&amp;SUM(C14:C18)</f>
        <v>39-13</v>
      </c>
      <c r="O14" s="538">
        <f>D14+E14+F14+G14-C15-C16-C17-C18</f>
        <v>26</v>
      </c>
      <c r="P14" s="485">
        <f>SUM(C14:G14,C14:C18)/SUM(C14:C18)</f>
        <v>4</v>
      </c>
      <c r="Q14" s="320">
        <f>VALUE(LEFT(H14,1))</f>
        <v>3</v>
      </c>
      <c r="R14" s="321">
        <f>Q14*100000+J14*10000+K14*1000+100*L14</f>
        <v>300000</v>
      </c>
      <c r="S14" s="486">
        <f>R14+M14*0.1+IF(ISNONTEXT(B14),0,0.01)+0.0001*O14</f>
        <v>300000.01260000002</v>
      </c>
      <c r="T14" s="487" t="str">
        <f>Q14&amp;J14</f>
        <v>30</v>
      </c>
      <c r="V14" s="477"/>
      <c r="W14" s="477"/>
      <c r="X14" s="477"/>
      <c r="Y14" s="477"/>
      <c r="Z14" s="477"/>
      <c r="AA14" s="477"/>
      <c r="AB14" s="477"/>
      <c r="AC14" s="485"/>
      <c r="AD14" s="405">
        <f t="shared" si="0"/>
        <v>356</v>
      </c>
      <c r="AE14" s="406">
        <f>IFERROR(INDEX(V!$R:$R,MATCH(AF14,V!$L:$L,0)),"")</f>
        <v>178</v>
      </c>
      <c r="AF14" s="407" t="str">
        <f t="shared" si="1"/>
        <v>Jaan Sepp</v>
      </c>
      <c r="AG14" s="406">
        <f>IFERROR(INDEX(V!$R:$R,MATCH(AH14,V!$L:$L,0)),"")</f>
        <v>178</v>
      </c>
      <c r="AH14" s="407" t="str">
        <f t="shared" si="2"/>
        <v>Oskar Sepp</v>
      </c>
      <c r="AI14" s="406" t="str">
        <f>IFERROR(INDEX(V!$R:$R,MATCH(AJ14,V!$L:$L,0)),"")</f>
        <v/>
      </c>
      <c r="AJ14" s="407" t="str">
        <f t="shared" si="3"/>
        <v/>
      </c>
      <c r="AK14" s="406" t="str">
        <f>IFERROR(INDEX(V!$R:$R,MATCH(AL14,V!$L:$L,0)),"")</f>
        <v/>
      </c>
      <c r="AL14" s="407" t="str">
        <f t="shared" si="4"/>
        <v/>
      </c>
      <c r="AM14" s="406" t="str">
        <f>IFERROR(INDEX(V!$R:$R,MATCH(AN14,V!$L:$L,0)),"")</f>
        <v/>
      </c>
      <c r="AN14" s="407" t="str">
        <f t="shared" si="5"/>
        <v/>
      </c>
      <c r="AO14" s="406" t="str">
        <f>IFERROR(INDEX(V!$R:$R,MATCH(AP14,V!$L:$L,0)),"")</f>
        <v/>
      </c>
      <c r="AP14" s="407" t="str">
        <f t="shared" si="6"/>
        <v/>
      </c>
    </row>
    <row r="15" spans="1:42" x14ac:dyDescent="0.2">
      <c r="A15" s="316">
        <v>2</v>
      </c>
      <c r="B15" s="479" t="s">
        <v>311</v>
      </c>
      <c r="C15" s="318">
        <v>7</v>
      </c>
      <c r="D15" s="319"/>
      <c r="E15" s="654">
        <v>13</v>
      </c>
      <c r="F15" s="654">
        <v>7</v>
      </c>
      <c r="G15" s="318"/>
      <c r="H15" s="317" t="str">
        <f>(IF(C15-D14&gt;0,1)+IF(E15-D16&gt;0,1)+IF(F15-D17&gt;0,1)+IF(G15-D18&gt;0,1))&amp;"-"&amp;(IF(C15-D14&lt;0,1)+IF(E15-D16&lt;0,1)+IF(F15-D17&lt;0,1)+IF(G15-D18&lt;0,1))</f>
        <v>1-2</v>
      </c>
      <c r="I15" s="318" t="str">
        <f>IF(AND(B15&lt;&gt;"",R$6=TRUE),A$13&amp;RANK(S15,S$14:S$18,0)," ")</f>
        <v>B4</v>
      </c>
      <c r="J15" s="489">
        <f>IF(AND(Q15=1,Q14=1,C15&gt;D14),1)+IF(AND(Q15=1,Q16=1,E15&gt;D16),1)+IF(AND(Q15=1,Q17=1,F15&gt;D17),1)+IF(AND(Q15=1,Q18=1,G15&gt;D18),1)+IF(AND(Q15=2,Q14=2,C15&gt;D14),1)+IF(AND(Q15=2,Q16=2,E15&gt;D16),1)+IF(AND(Q15=2,Q17=2,F15&gt;D17),1)+IF(AND(Q15=2,Q18=2,G15&gt;D18),1)+IF(AND(Q15=3,Q14=3,C15&gt;D14),1)+IF(AND(Q15=3,Q16=3,E15&gt;D16),1)+IF(AND(Q15=3,Q17=3,F15&gt;D17),1)+IF(AND(Q15=3,Q18=3,G15&gt;D18),1)</f>
        <v>1</v>
      </c>
      <c r="K15" s="483">
        <f>SUM(AND(T15=T14,C15&gt;D14),AND(T15=T16,E15&gt;D16),AND(T15=T17,F15&gt;D17),AND(T15=T18,G15&gt;D18))</f>
        <v>1</v>
      </c>
      <c r="L15" s="490">
        <f>IF(AND(Q15=1,Q14=1),C15-D14)+IF(AND(Q15=1,Q16=1),E15-D16)+IF(AND(Q15=1,Q17=1),F15-D17)+IF(AND(Q15=1,Q18=1),G15-D18)+IF(AND(Q15=2,Q14=2),C15-D14)+IF(AND(Q15=2,Q16=2),E15-D16)+IF(AND(Q15=2,Q17=2),F15-D17)+IF(AND(Q15=2,Q18=2),G15-D18)+IF(AND(Q15=3,Q14=3),C15-D14)+IF(AND(Q15=3,Q16=3),E15-D16)+IF(AND(Q15=3,Q17=3),F15-D17)+IF(AND(Q15=3,Q18=3),G15-D18)+IF(AND(Q15=4,Q14=4),C15-D14)+IF(AND(Q15=4,Q16=4),E15-D16)+IF(AND(Q15=4,Q17=4),F15-D17)+IF(AND(Q15=4,Q18=4),G15-D18)</f>
        <v>-2</v>
      </c>
      <c r="M15" s="483">
        <f>SUM(AND(R15=R14,C15&gt;D14),AND(R15=R16,E15&gt;D16),AND(R15=R17,F15&gt;D17),AND(R15=R18,G15&gt;D18))</f>
        <v>0</v>
      </c>
      <c r="N15" s="537" t="str">
        <f>SUM(C15:G15)&amp;"-"&amp;SUM(D14:D18)</f>
        <v>27-35</v>
      </c>
      <c r="O15" s="538">
        <f>C15+E15+F15+G15-D14-D16-D17-D18</f>
        <v>-8</v>
      </c>
      <c r="P15" s="485">
        <f>SUM(C15:G15,D14:D18)/SUM(D14:D18)</f>
        <v>1.7714285714285714</v>
      </c>
      <c r="Q15" s="491">
        <f>VALUE(LEFT(H15,1))</f>
        <v>1</v>
      </c>
      <c r="R15" s="321">
        <f>Q15*100000+J15*10000+K15*1000+100*L15</f>
        <v>110800</v>
      </c>
      <c r="S15" s="486">
        <f>R15+M15*0.1+IF(ISNONTEXT(B15),0,0.01)+0.0001*O15</f>
        <v>110800.0092</v>
      </c>
      <c r="T15" s="487" t="str">
        <f>Q15&amp;J15</f>
        <v>11</v>
      </c>
      <c r="V15" s="477"/>
      <c r="W15" s="477"/>
      <c r="X15" s="477"/>
      <c r="Y15" s="477"/>
      <c r="Z15" s="477"/>
      <c r="AA15" s="477"/>
      <c r="AB15" s="477"/>
      <c r="AC15" s="485"/>
      <c r="AD15" s="405">
        <f t="shared" si="0"/>
        <v>209</v>
      </c>
      <c r="AE15" s="406">
        <f>IFERROR(INDEX(V!$R:$R,MATCH(AF15,V!$L:$L,0)),"")</f>
        <v>57</v>
      </c>
      <c r="AF15" s="407" t="str">
        <f t="shared" si="1"/>
        <v>Tõnu Kapper</v>
      </c>
      <c r="AG15" s="406">
        <f>IFERROR(INDEX(V!$R:$R,MATCH(AH15,V!$L:$L,0)),"")</f>
        <v>152</v>
      </c>
      <c r="AH15" s="407" t="str">
        <f t="shared" si="2"/>
        <v>Vladimir Ogneštšikov</v>
      </c>
      <c r="AI15" s="406" t="str">
        <f>IFERROR(INDEX(V!$R:$R,MATCH(AJ15,V!$L:$L,0)),"")</f>
        <v/>
      </c>
      <c r="AJ15" s="407" t="str">
        <f t="shared" si="3"/>
        <v/>
      </c>
      <c r="AK15" s="406" t="str">
        <f>IFERROR(INDEX(V!$R:$R,MATCH(AL15,V!$L:$L,0)),"")</f>
        <v/>
      </c>
      <c r="AL15" s="407" t="str">
        <f t="shared" si="4"/>
        <v/>
      </c>
      <c r="AM15" s="406" t="str">
        <f>IFERROR(INDEX(V!$R:$R,MATCH(AN15,V!$L:$L,0)),"")</f>
        <v/>
      </c>
      <c r="AN15" s="407" t="str">
        <f t="shared" si="5"/>
        <v/>
      </c>
      <c r="AO15" s="406" t="str">
        <f>IFERROR(INDEX(V!$R:$R,MATCH(AP15,V!$L:$L,0)),"")</f>
        <v/>
      </c>
      <c r="AP15" s="407" t="str">
        <f t="shared" si="6"/>
        <v/>
      </c>
    </row>
    <row r="16" spans="1:42" x14ac:dyDescent="0.2">
      <c r="A16" s="316">
        <v>3</v>
      </c>
      <c r="B16" s="488" t="s">
        <v>502</v>
      </c>
      <c r="C16" s="318">
        <v>4</v>
      </c>
      <c r="D16" s="655">
        <v>9</v>
      </c>
      <c r="E16" s="319"/>
      <c r="F16" s="654">
        <v>13</v>
      </c>
      <c r="G16" s="318"/>
      <c r="H16" s="317" t="str">
        <f>(IF(C16-E14&gt;0,1)+IF(D16-E15&gt;0,1)+IF(F16-E17&gt;0,1)+IF(G16-E18&gt;0,1))&amp;"-"&amp;(IF(C16-E14&lt;0,1)+IF(D16-E15&lt;0,1)+IF(F16-E17&lt;0,1)+IF(G16-E18&lt;0,1))</f>
        <v>1-2</v>
      </c>
      <c r="I16" s="318" t="str">
        <f>IF(AND(B16&lt;&gt;"",R$6=TRUE),A$13&amp;RANK(S16,S$14:S$18,0)," ")</f>
        <v>B2</v>
      </c>
      <c r="J16" s="489">
        <f>IF(AND(Q16=1,Q14=1,C16&gt;E14),1)+IF(AND(Q16=1,Q15=1,D16&gt;E15),1)+IF(AND(Q16=1,Q17=1,F16&gt;E17),1)+IF(AND(Q16=1,Q18=1,G16&gt;E18),1)+IF(AND(Q16=2,Q14=2,C16&gt;E14),1)+IF(AND(Q16=2,Q15=2,D16&gt;E15),1)+IF(AND(Q16=2,Q17=2,F16&gt;E17),1)+IF(AND(Q16=2,Q18=2,G16&gt;E18),1)+IF(AND(Q16=3,Q14=3,C16&gt;E14),1)+IF(AND(Q16=3,Q15=3,D16&gt;E15),1)+IF(AND(Q16=3,Q17=3,F16&gt;E17),1)+IF(AND(Q16=3,Q18=3,G16&gt;E18),1)</f>
        <v>1</v>
      </c>
      <c r="K16" s="483">
        <f>SUM(AND(T16=T14,C16&gt;E14),AND(T16=T15,D16&gt;E15),AND(T16=T17,F16&gt;E17),AND(T16=T18,G16&gt;E18))</f>
        <v>1</v>
      </c>
      <c r="L16" s="490">
        <f>IF(AND(Q16=1,Q14=1),C16-E14)+IF(AND(Q16=1,Q15=1),D16-E15)+IF(AND(Q16=1,Q17=1),F16-E17)+IF(AND(Q16=1,Q18=1),G16-E18)+IF(AND(Q16=2,Q14=2),C16-E14)+IF(AND(Q16=2,Q15=2),D16-E15)+IF(AND(Q16=2,Q17=2),F16-E17)+IF(AND(Q16=2,Q18=2),G16-E18)+IF(AND(Q16=3,Q14=3),C16-E14)+IF(AND(Q16=3,Q15=3),D16-E15)+IF(AND(Q16=3,Q17=3),F16-E17)+IF(AND(Q16=3,Q18=3),G16-E18)+IF(AND(Q16=4,Q14=4),C16-E14)+IF(AND(Q16=4,Q15=4),D16-E15)+IF(AND(Q16=4,Q17=4),F16-E17)+IF(AND(Q16=4,Q18=4),G16-E18)</f>
        <v>2</v>
      </c>
      <c r="M16" s="483">
        <f>SUM(AND(R16=R14,C16&gt;E14),AND(R16=R15,D16&gt;E15),AND(R16=R17,F16&gt;E17),AND(R16=R18,G16&gt;E18))</f>
        <v>0</v>
      </c>
      <c r="N16" s="537" t="str">
        <f>SUM(C16:G16)&amp;"-"&amp;SUM(E14:E18)</f>
        <v>26-33</v>
      </c>
      <c r="O16" s="538">
        <f>C16+D16+F16+G16-E14-E15-E17-E18</f>
        <v>-7</v>
      </c>
      <c r="P16" s="485">
        <f>SUM(C16:G16,E14:E18)/SUM(E14:E18)</f>
        <v>1.7878787878787878</v>
      </c>
      <c r="Q16" s="491">
        <f>VALUE(LEFT(H16,1))</f>
        <v>1</v>
      </c>
      <c r="R16" s="321">
        <f>Q16*100000+J16*10000+K16*1000+100*L16</f>
        <v>111200</v>
      </c>
      <c r="S16" s="486">
        <f>R16+M16*0.1+IF(ISNONTEXT(B16),0,0.01)+0.0001*O16</f>
        <v>111200.00929999999</v>
      </c>
      <c r="T16" s="487" t="str">
        <f>Q16&amp;J16</f>
        <v>11</v>
      </c>
      <c r="U16" s="477"/>
      <c r="V16" s="477"/>
      <c r="W16" s="477"/>
      <c r="X16" s="477"/>
      <c r="Y16" s="477"/>
      <c r="Z16" s="477"/>
      <c r="AA16" s="477"/>
      <c r="AB16" s="477"/>
      <c r="AC16" s="485"/>
      <c r="AD16" s="405">
        <f t="shared" si="0"/>
        <v>203.5</v>
      </c>
      <c r="AE16" s="406">
        <f>IFERROR(INDEX(V!$R:$R,MATCH(AF16,V!$L:$L,0)),"")</f>
        <v>53</v>
      </c>
      <c r="AF16" s="407" t="str">
        <f t="shared" si="1"/>
        <v>Aurelia Meldre</v>
      </c>
      <c r="AG16" s="406">
        <f>IFERROR(INDEX(V!$R:$R,MATCH(AH16,V!$L:$L,0)),"")</f>
        <v>150.5</v>
      </c>
      <c r="AH16" s="407" t="str">
        <f t="shared" si="2"/>
        <v>Karla Purgats</v>
      </c>
      <c r="AI16" s="406" t="str">
        <f>IFERROR(INDEX(V!$R:$R,MATCH(AJ16,V!$L:$L,0)),"")</f>
        <v/>
      </c>
      <c r="AJ16" s="407" t="str">
        <f t="shared" si="3"/>
        <v/>
      </c>
      <c r="AK16" s="406" t="str">
        <f>IFERROR(INDEX(V!$R:$R,MATCH(AL16,V!$L:$L,0)),"")</f>
        <v/>
      </c>
      <c r="AL16" s="407" t="str">
        <f t="shared" si="4"/>
        <v/>
      </c>
      <c r="AM16" s="406" t="str">
        <f>IFERROR(INDEX(V!$R:$R,MATCH(AN16,V!$L:$L,0)),"")</f>
        <v/>
      </c>
      <c r="AN16" s="407" t="str">
        <f t="shared" si="5"/>
        <v/>
      </c>
      <c r="AO16" s="406" t="str">
        <f>IFERROR(INDEX(V!$R:$R,MATCH(AP16,V!$L:$L,0)),"")</f>
        <v/>
      </c>
      <c r="AP16" s="407" t="str">
        <f t="shared" si="6"/>
        <v/>
      </c>
    </row>
    <row r="17" spans="1:42" x14ac:dyDescent="0.2">
      <c r="A17" s="316">
        <v>4</v>
      </c>
      <c r="B17" s="493" t="s">
        <v>505</v>
      </c>
      <c r="C17" s="318">
        <v>2</v>
      </c>
      <c r="D17" s="655">
        <v>13</v>
      </c>
      <c r="E17" s="654">
        <v>7</v>
      </c>
      <c r="F17" s="319"/>
      <c r="G17" s="511"/>
      <c r="H17" s="317" t="str">
        <f>(IF(C17-F14&gt;0,1)+IF(D17-F15&gt;0,1)+IF(E17-F16&gt;0,1)+IF(G17-F18&gt;0,1))&amp;"-"&amp;(IF(C17-F14&lt;0,1)+IF(D17-F15&lt;0,1)+IF(E17-F16&lt;0,1)+IF(G17-F18&lt;0,1))</f>
        <v>1-2</v>
      </c>
      <c r="I17" s="318" t="str">
        <f>IF(AND(B17&lt;&gt;"",R$6=TRUE),A$13&amp;RANK(S17,S$14:S$18,0)," ")</f>
        <v>B3</v>
      </c>
      <c r="J17" s="489">
        <f>IF(AND(Q17=1,Q14=1,C17&gt;F14),1)+IF(AND(Q17=1,Q15=1,D17&gt;F15),1)+IF(AND(Q17=1,Q16=1,E17&gt;F16),1)+IF(AND(Q17=1,Q18=1,G17&gt;F18),1)+IF(AND(Q17=2,Q14=2,C17&gt;F14),1)+IF(AND(Q17=2,Q15=2,D17&gt;F15),1)+IF(AND(Q17=2,Q16=2,E17&gt;F16),1)+IF(AND(Q17=2,Q18=2,G17&gt;F18),1)+IF(AND(Q17=3,Q14=3,C17&gt;F14),1)+IF(AND(Q17=3,Q15=3,D17&gt;F15),1)+IF(AND(Q17=3,Q16=3,E17&gt;F16),1)+IF(AND(Q17=3,Q18=3,G17&gt;F18),1)</f>
        <v>1</v>
      </c>
      <c r="K17" s="483">
        <f>SUM(AND(T17=T14,C17&gt;F14),AND(T17=T15,D17&gt;F15),AND(T17=T16,E17&gt;F16),AND(T17=T18,G17&gt;F18))</f>
        <v>1</v>
      </c>
      <c r="L17" s="490">
        <f>IF(AND(Q17=1,Q14=1),C17-F14)+IF(AND(Q17=1,Q15=1),D17-F15)+IF(AND(Q17=1,Q16=1),E17-F16)+IF(AND(Q17=1,Q18=1),G17-F18)+IF(AND(Q17=2,Q14=2),C17-F14)+IF(AND(Q17=2,Q15=2),D17-F15)+IF(AND(Q17=2,Q16=2),E17-F16)+IF(AND(Q17=2,Q18=2),G17-F18)+IF(AND(Q17=3,Q14=3),C17-F14)+IF(AND(Q17=3,Q15=3),D17-F15)+IF(AND(Q17=3,Q16=3),E17-F16)+IF(AND(Q17=3,Q18=3),G17-F18)+IF(AND(Q17=4,Q14=4),C17-F14)+IF(AND(Q17=4,Q15=4),D17-F15)+IF(AND(Q17=4,Q16=4),E17-F16)+IF(AND(Q17=4,Q18=4),G17-F18)</f>
        <v>0</v>
      </c>
      <c r="M17" s="483">
        <f>SUM(AND(R17=R14,C17&gt;F14),AND(R17=R15,D17&gt;F15),AND(R17=R16,E17&gt;F16),AND(R17=R18,G17&gt;F18))</f>
        <v>0</v>
      </c>
      <c r="N17" s="537" t="str">
        <f>SUM(C17:G17)&amp;"-"&amp;SUM(F14:F18)</f>
        <v>22-33</v>
      </c>
      <c r="O17" s="538">
        <f>C17+D17+E17+G17-F14-F15-F16-F18</f>
        <v>-11</v>
      </c>
      <c r="P17" s="485">
        <f>SUM(C17:G17,F14:F18)/SUM(F14:F18)</f>
        <v>1.6666666666666667</v>
      </c>
      <c r="Q17" s="491">
        <f>VALUE(LEFT(H17,1))</f>
        <v>1</v>
      </c>
      <c r="R17" s="321">
        <f>Q17*100000+J17*10000+K17*1000+100*L17</f>
        <v>111000</v>
      </c>
      <c r="S17" s="486">
        <f>R17+M17*0.1+IF(ISNONTEXT(B17),0,0.01)+0.0001*O17</f>
        <v>111000.0089</v>
      </c>
      <c r="T17" s="487" t="str">
        <f>Q17&amp;J17</f>
        <v>11</v>
      </c>
      <c r="U17" s="477"/>
      <c r="V17" s="477"/>
      <c r="W17" s="477"/>
      <c r="X17" s="477"/>
      <c r="Y17" s="477"/>
      <c r="Z17" s="477"/>
      <c r="AA17" s="477"/>
      <c r="AB17" s="477"/>
      <c r="AC17" s="485"/>
      <c r="AD17" s="405">
        <f t="shared" si="0"/>
        <v>95</v>
      </c>
      <c r="AE17" s="406">
        <f>IFERROR(INDEX(V!$R:$R,MATCH(AF17,V!$L:$L,0)),"")</f>
        <v>65</v>
      </c>
      <c r="AF17" s="407" t="str">
        <f t="shared" si="1"/>
        <v>Illar Tõnurist</v>
      </c>
      <c r="AG17" s="406">
        <f>IFERROR(INDEX(V!$R:$R,MATCH(AH17,V!$L:$L,0)),"")</f>
        <v>30</v>
      </c>
      <c r="AH17" s="407" t="str">
        <f t="shared" si="2"/>
        <v>Urmas Jõeäär</v>
      </c>
      <c r="AI17" s="406" t="str">
        <f>IFERROR(INDEX(V!$R:$R,MATCH(AJ17,V!$L:$L,0)),"")</f>
        <v/>
      </c>
      <c r="AJ17" s="407" t="str">
        <f t="shared" si="3"/>
        <v/>
      </c>
      <c r="AK17" s="406" t="str">
        <f>IFERROR(INDEX(V!$R:$R,MATCH(AL17,V!$L:$L,0)),"")</f>
        <v/>
      </c>
      <c r="AL17" s="407" t="str">
        <f t="shared" si="4"/>
        <v/>
      </c>
      <c r="AM17" s="406" t="str">
        <f>IFERROR(INDEX(V!$R:$R,MATCH(AN17,V!$L:$L,0)),"")</f>
        <v/>
      </c>
      <c r="AN17" s="407" t="str">
        <f t="shared" si="5"/>
        <v/>
      </c>
      <c r="AO17" s="406" t="str">
        <f>IFERROR(INDEX(V!$R:$R,MATCH(AP17,V!$L:$L,0)),"")</f>
        <v/>
      </c>
      <c r="AP17" s="407" t="str">
        <f t="shared" si="6"/>
        <v/>
      </c>
    </row>
    <row r="18" spans="1:42" hidden="1" x14ac:dyDescent="0.2">
      <c r="A18" s="316">
        <v>5</v>
      </c>
      <c r="B18" s="493"/>
      <c r="C18" s="318"/>
      <c r="D18" s="318"/>
      <c r="E18" s="318"/>
      <c r="F18" s="318"/>
      <c r="G18" s="319"/>
      <c r="H18" s="317" t="str">
        <f>(IF(C18-G14&gt;0,1)+IF(D18-G15&gt;0,1)+IF(E18-G16&gt;0,1)+IF(F18-G17&gt;0,1))&amp;"-"&amp;(IF(C18-G14&lt;0,1)+IF(D18-G15&lt;0,1)+IF(E18-G16&lt;0,1)+IF(F18-G17&lt;0,1))</f>
        <v>0-0</v>
      </c>
      <c r="I18" s="318" t="str">
        <f>IF(AND(B18&lt;&gt;"",R$6=TRUE),A$13&amp;RANK(S18,S$14:S$18,0)," ")</f>
        <v xml:space="preserve"> </v>
      </c>
      <c r="J18" s="489">
        <f>IF(AND(Q18=1,Q14=1,C18&gt;G14),1)+IF(AND(Q18=1,Q15=1,D18&gt;G15),1)+IF(AND(Q18=1,Q16=1,E18&gt;G16),1)+IF(AND(Q18=1,Q17=1,F18&gt;G17),1)+IF(AND(Q18=2,Q14=2,C18&gt;G14),1)+IF(AND(Q18=2,Q15=2,D18&gt;G15),1)+IF(AND(Q18=2,Q16=2,E18&gt;G16),1)+IF(AND(Q18=2,Q17=2,F18&gt;G17),1)+IF(AND(Q18=3,Q14=3,C18&gt;G14),1)+IF(AND(Q18=3,Q15=3,D18&gt;G15),1)+IF(AND(Q18=3,Q16=3,E18&gt;G16),1)+IF(AND(Q18=3,Q17=3,F18&gt;G17),1)</f>
        <v>0</v>
      </c>
      <c r="K18" s="483">
        <f>SUM(AND(T18=T14,C18&gt;G14),AND(T18=T15,D18&gt;G15),AND(T18=T16,E18&gt;G16),AND(T18=T17,F18&gt;G17))</f>
        <v>0</v>
      </c>
      <c r="L18" s="490">
        <f>IF(AND(Q18=1,Q14=1),C18-G14)+IF(AND(Q18=1,Q15=1),D18-G15)+IF(AND(Q18=1,Q16=1),E18-G16)+IF(AND(Q18=1,Q17=1),F18-G17)+IF(AND(Q18=2,Q14=2),C18-G14)+IF(AND(Q18=2,Q15=2),D18-G15)+IF(AND(Q18=2,Q16=2),E18-G16)+IF(AND(Q18=2,Q17=2),F18-G17)+IF(AND(Q18=3,Q14=3),C18-G14)+IF(AND(Q18=3,Q15=3),D18-G15)+IF(AND(Q18=3,Q16=3),E18-G16)+IF(AND(Q18=3,Q17=3),F18-G17)+IF(AND(Q18=4,Q14=4),C18-G14)+IF(AND(Q18=4,Q15=4),D18-G15)+IF(AND(Q18=4,Q16=4),E18-G16)+IF(AND(Q18=4,Q17=4),F18-G17)</f>
        <v>0</v>
      </c>
      <c r="M18" s="483">
        <f>SUM(AND(R18=R14,C18&gt;G14),AND(R18=R15,D18&gt;G15),AND(R18=R16,E18&gt;G16),AND(R18=R17,F18&gt;G17))</f>
        <v>0</v>
      </c>
      <c r="N18" s="537" t="str">
        <f>SUM(C18:G18)&amp;"-"&amp;SUM(G14:G18)</f>
        <v>0-0</v>
      </c>
      <c r="O18" s="538">
        <f>C18+D18+E18+F18-G14-G15-G16-G17</f>
        <v>0</v>
      </c>
      <c r="P18" s="485" t="e">
        <f>SUM(C18:G18,G14:G18)/SUM(G14:G18)</f>
        <v>#DIV/0!</v>
      </c>
      <c r="Q18" s="491">
        <f>VALUE(LEFT(H18,1))</f>
        <v>0</v>
      </c>
      <c r="R18" s="321">
        <f>Q18*100000+J18*10000+K18*1000+100*L18</f>
        <v>0</v>
      </c>
      <c r="S18" s="486">
        <f>R18+M18*0.1+IF(ISNONTEXT(B18),0,0.01)+0.0001*O18</f>
        <v>0</v>
      </c>
      <c r="T18" s="487" t="str">
        <f>Q18&amp;J18</f>
        <v>00</v>
      </c>
      <c r="U18" s="477"/>
      <c r="V18" s="477"/>
      <c r="W18" s="477"/>
      <c r="X18" s="477"/>
      <c r="Y18" s="477"/>
      <c r="Z18" s="477"/>
      <c r="AA18" s="477"/>
      <c r="AB18" s="477"/>
      <c r="AC18" s="485"/>
      <c r="AD18" s="405">
        <f t="shared" si="0"/>
        <v>0</v>
      </c>
      <c r="AE18" s="406" t="str">
        <f>IFERROR(INDEX(V!$R:$R,MATCH(AF18,V!$L:$L,0)),"")</f>
        <v/>
      </c>
      <c r="AF18" s="407" t="str">
        <f t="shared" si="1"/>
        <v/>
      </c>
      <c r="AG18" s="406" t="str">
        <f>IFERROR(INDEX(V!$R:$R,MATCH(AH18,V!$L:$L,0)),"")</f>
        <v/>
      </c>
      <c r="AH18" s="407" t="str">
        <f t="shared" si="2"/>
        <v/>
      </c>
      <c r="AI18" s="406" t="str">
        <f>IFERROR(INDEX(V!$R:$R,MATCH(AJ18,V!$L:$L,0)),"")</f>
        <v/>
      </c>
      <c r="AJ18" s="407" t="str">
        <f t="shared" si="3"/>
        <v/>
      </c>
      <c r="AK18" s="406" t="str">
        <f>IFERROR(INDEX(V!$R:$R,MATCH(AL18,V!$L:$L,0)),"")</f>
        <v/>
      </c>
      <c r="AL18" s="407" t="str">
        <f t="shared" si="4"/>
        <v/>
      </c>
      <c r="AM18" s="406" t="str">
        <f>IFERROR(INDEX(V!$R:$R,MATCH(AN18,V!$L:$L,0)),"")</f>
        <v/>
      </c>
      <c r="AN18" s="407" t="str">
        <f t="shared" si="5"/>
        <v/>
      </c>
      <c r="AO18" s="406" t="str">
        <f>IFERROR(INDEX(V!$R:$R,MATCH(AP18,V!$L:$L,0)),"")</f>
        <v/>
      </c>
      <c r="AP18" s="407" t="str">
        <f t="shared" si="6"/>
        <v/>
      </c>
    </row>
    <row r="19" spans="1:42" x14ac:dyDescent="0.2">
      <c r="A19" s="494"/>
      <c r="B19" s="495"/>
      <c r="C19" s="496"/>
      <c r="D19" s="497"/>
      <c r="E19" s="496"/>
      <c r="F19" s="498"/>
      <c r="G19" s="499"/>
      <c r="H19" s="500"/>
      <c r="I19" s="512"/>
      <c r="J19" s="477"/>
      <c r="K19" s="477"/>
      <c r="L19" s="477"/>
      <c r="M19" s="477"/>
      <c r="N19" s="539"/>
      <c r="O19" s="539"/>
      <c r="P19" s="477"/>
      <c r="Q19" s="477"/>
      <c r="R19" s="502" t="s">
        <v>264</v>
      </c>
      <c r="S19" s="477"/>
      <c r="T19" s="477"/>
      <c r="U19" s="477"/>
      <c r="V19" s="477"/>
      <c r="W19" s="477"/>
      <c r="X19" s="477"/>
      <c r="Y19" s="477"/>
      <c r="Z19" s="477"/>
      <c r="AA19" s="477"/>
      <c r="AB19" s="477"/>
      <c r="AC19" s="485"/>
      <c r="AD19" s="405">
        <f t="shared" si="0"/>
        <v>0</v>
      </c>
      <c r="AE19" s="406" t="str">
        <f>IFERROR(INDEX(V!$R:$R,MATCH(AF19,V!$L:$L,0)),"")</f>
        <v/>
      </c>
      <c r="AF19" s="407" t="str">
        <f t="shared" si="1"/>
        <v/>
      </c>
      <c r="AG19" s="406" t="str">
        <f>IFERROR(INDEX(V!$R:$R,MATCH(AH19,V!$L:$L,0)),"")</f>
        <v/>
      </c>
      <c r="AH19" s="407" t="str">
        <f t="shared" si="2"/>
        <v/>
      </c>
      <c r="AI19" s="406" t="str">
        <f>IFERROR(INDEX(V!$R:$R,MATCH(AJ19,V!$L:$L,0)),"")</f>
        <v/>
      </c>
      <c r="AJ19" s="407" t="str">
        <f t="shared" si="3"/>
        <v/>
      </c>
      <c r="AK19" s="406" t="str">
        <f>IFERROR(INDEX(V!$R:$R,MATCH(AL19,V!$L:$L,0)),"")</f>
        <v/>
      </c>
      <c r="AL19" s="407" t="str">
        <f t="shared" si="4"/>
        <v/>
      </c>
      <c r="AM19" s="406" t="str">
        <f>IFERROR(INDEX(V!$R:$R,MATCH(AN19,V!$L:$L,0)),"")</f>
        <v/>
      </c>
      <c r="AN19" s="407" t="str">
        <f t="shared" si="5"/>
        <v/>
      </c>
      <c r="AO19" s="406" t="str">
        <f>IFERROR(INDEX(V!$R:$R,MATCH(AP19,V!$L:$L,0)),"")</f>
        <v/>
      </c>
      <c r="AP19" s="407" t="str">
        <f t="shared" si="6"/>
        <v/>
      </c>
    </row>
    <row r="20" spans="1:42" x14ac:dyDescent="0.2">
      <c r="A20" s="316" t="s">
        <v>2</v>
      </c>
      <c r="B20" s="503"/>
      <c r="C20" s="467">
        <v>1</v>
      </c>
      <c r="D20" s="467">
        <v>2</v>
      </c>
      <c r="E20" s="467">
        <v>3</v>
      </c>
      <c r="F20" s="467">
        <v>4</v>
      </c>
      <c r="G20" s="467"/>
      <c r="H20" s="468" t="s">
        <v>168</v>
      </c>
      <c r="I20" s="468" t="s">
        <v>169</v>
      </c>
      <c r="J20" s="504" t="s">
        <v>257</v>
      </c>
      <c r="K20" s="505" t="s">
        <v>258</v>
      </c>
      <c r="L20" s="506" t="s">
        <v>259</v>
      </c>
      <c r="M20" s="506" t="s">
        <v>260</v>
      </c>
      <c r="N20" s="472" t="s">
        <v>170</v>
      </c>
      <c r="O20" s="472" t="s">
        <v>170</v>
      </c>
      <c r="P20" s="473" t="s">
        <v>261</v>
      </c>
      <c r="Q20" s="507" t="s">
        <v>21</v>
      </c>
      <c r="R20" s="507" t="b">
        <f>OR(AND(COUNTA(B21:B25)=3,COUNTA(C21:G25)=6),AND(COUNTA(B21:B25)=4,COUNTA(C21:G25)=12),AND(COUNTA(B21:B25)=5,COUNTA(C21:G25)=20))</f>
        <v>1</v>
      </c>
      <c r="S20" s="508" t="s">
        <v>262</v>
      </c>
      <c r="T20" s="509" t="s">
        <v>263</v>
      </c>
      <c r="U20" s="477"/>
      <c r="V20" s="477"/>
      <c r="W20" s="477"/>
      <c r="X20" s="477"/>
      <c r="Y20" s="477"/>
      <c r="Z20" s="477"/>
      <c r="AA20" s="477"/>
      <c r="AB20" s="477"/>
      <c r="AC20" s="477"/>
      <c r="AD20" s="405">
        <f t="shared" si="0"/>
        <v>0</v>
      </c>
      <c r="AE20" s="406" t="str">
        <f>IFERROR(INDEX(V!$R:$R,MATCH(AF20,V!$L:$L,0)),"")</f>
        <v/>
      </c>
      <c r="AF20" s="407" t="str">
        <f t="shared" si="1"/>
        <v/>
      </c>
      <c r="AG20" s="406" t="str">
        <f>IFERROR(INDEX(V!$R:$R,MATCH(AH20,V!$L:$L,0)),"")</f>
        <v/>
      </c>
      <c r="AH20" s="407" t="str">
        <f t="shared" si="2"/>
        <v/>
      </c>
      <c r="AI20" s="406" t="str">
        <f>IFERROR(INDEX(V!$R:$R,MATCH(AJ20,V!$L:$L,0)),"")</f>
        <v/>
      </c>
      <c r="AJ20" s="407" t="str">
        <f t="shared" si="3"/>
        <v/>
      </c>
      <c r="AK20" s="406" t="str">
        <f>IFERROR(INDEX(V!$R:$R,MATCH(AL20,V!$L:$L,0)),"")</f>
        <v/>
      </c>
      <c r="AL20" s="407" t="str">
        <f t="shared" si="4"/>
        <v/>
      </c>
      <c r="AM20" s="406" t="str">
        <f>IFERROR(INDEX(V!$R:$R,MATCH(AN20,V!$L:$L,0)),"")</f>
        <v/>
      </c>
      <c r="AN20" s="407" t="str">
        <f t="shared" si="5"/>
        <v/>
      </c>
      <c r="AO20" s="406" t="str">
        <f>IFERROR(INDEX(V!$R:$R,MATCH(AP20,V!$L:$L,0)),"")</f>
        <v/>
      </c>
      <c r="AP20" s="407" t="str">
        <f t="shared" si="6"/>
        <v/>
      </c>
    </row>
    <row r="21" spans="1:42" x14ac:dyDescent="0.2">
      <c r="A21" s="316">
        <v>1</v>
      </c>
      <c r="B21" s="479" t="s">
        <v>504</v>
      </c>
      <c r="C21" s="319"/>
      <c r="D21" s="318">
        <v>3</v>
      </c>
      <c r="E21" s="318">
        <v>4</v>
      </c>
      <c r="F21" s="318">
        <v>2</v>
      </c>
      <c r="G21" s="318"/>
      <c r="H21" s="317" t="str">
        <f>(IF(D21-C22&gt;0,1)+IF(E21-C23&gt;0,1)+IF(F21-C24&gt;0,1)+IF(G21-C25&gt;0,1))&amp;"-"&amp;(IF(D21-C22&lt;0,1)+IF(E21-C23&lt;0,1)+IF(F21-C24&lt;0,1)+IF(G21-C25&lt;0,1))</f>
        <v>0-3</v>
      </c>
      <c r="I21" s="318" t="str">
        <f>IF(AND(B21&lt;&gt;"",R$20=TRUE),A$20&amp;RANK(S21,S$21:S$25,0)," ")</f>
        <v>C4</v>
      </c>
      <c r="J21" s="480">
        <f>IF(AND(Q21=1,Q22=1,D21&gt;C22),1)+IF(AND(Q21=1,Q23=1,E21&gt;C23),1)+IF(AND(Q21=1,Q24=1,F21&gt;C24),1)+IF(AND(Q21=1,Q25=1,G21&gt;C25),1)+IF(AND(Q21=2,Q22=2,D21&gt;C22),1)+IF(AND(Q21=2,Q23=2,E21&gt;C23),1)+IF(AND(Q21=2,Q24=2,F21&gt;C24),1)+IF(AND(Q21=2,Q25=2,G21&gt;C25),1)+IF(AND(Q21=3,Q22=3,D21&gt;C22),1)+IF(AND(Q21=3,Q23=3,E21&gt;C23),1)+IF(AND(Q21=3,Q24=3,F21&gt;C24),1)+IF(AND(Q21=3,Q25=3,G21&gt;C25),1)</f>
        <v>0</v>
      </c>
      <c r="K21" s="481">
        <f>SUM(AND(T21=T22,D21&gt;C22),AND(T21=T23,E21&gt;C23),AND(T21=T24,F21&gt;C24),AND(T21=T25,G21&gt;C25))</f>
        <v>0</v>
      </c>
      <c r="L21" s="482">
        <f>IF(AND(Q21=1,Q22=1),D21-C22)+IF(AND(Q21=1,Q23=1),E21-C23)+IF(AND(Q21=1,Q24=1),F21-C24)+IF(AND(Q21=1,Q25=1),G21-C25)+IF(AND(Q21=2,Q22=2),D21-C22)+IF(AND(Q21=2,Q23=2),E21-C23)+IF(AND(Q21=2,Q24=2),F21-C24)+IF(AND(Q21=2,Q25=2),G21-C25)+IF(AND(Q21=3,Q22=3),D21-C22)+IF(AND(Q21=3,Q23=3),E21-C23)+IF(AND(Q21=3,Q24=3),F21-C24)+IF(AND(Q21=3,Q25=3),G21-C25)+IF(AND(Q21=4,Q22=4),D21-C22)+IF(AND(Q21=4,Q23=4),E21-C23)+IF(AND(Q21=4,Q24=4),F21-C24)+IF(AND(Q21=4,Q25=4),G21-C25)</f>
        <v>0</v>
      </c>
      <c r="M21" s="483">
        <f>SUM(AND(R21=R22,D21&gt;C22),AND(R21=R23,E21&gt;C23),AND(R21=R24,F21&gt;C24),AND(R21=R25,G21&gt;C25))</f>
        <v>0</v>
      </c>
      <c r="N21" s="537" t="str">
        <f>SUM(C21:G21)&amp;"-"&amp;SUM(C21:C25)</f>
        <v>9-39</v>
      </c>
      <c r="O21" s="538">
        <f>D21+E21+F21+G21-C22-C23-C24-C25</f>
        <v>-30</v>
      </c>
      <c r="P21" s="485">
        <f>SUM(C21:G21,C21:C25)/SUM(C21:C25)</f>
        <v>1.2307692307692308</v>
      </c>
      <c r="Q21" s="320">
        <f>VALUE(LEFT(H21,1))</f>
        <v>0</v>
      </c>
      <c r="R21" s="321">
        <f>Q21*100000+J21*10000+K21*1000+100*L21</f>
        <v>0</v>
      </c>
      <c r="S21" s="486">
        <f>R21+M21*0.1+IF(ISNONTEXT(B21),0,0.01)+0.0001*O21</f>
        <v>7.0000000000000001E-3</v>
      </c>
      <c r="T21" s="487" t="str">
        <f>Q21&amp;J21</f>
        <v>00</v>
      </c>
      <c r="V21" s="477"/>
      <c r="W21" s="477"/>
      <c r="X21" s="477"/>
      <c r="Y21" s="477"/>
      <c r="Z21" s="477"/>
      <c r="AA21" s="477"/>
      <c r="AB21" s="477"/>
      <c r="AC21" s="477"/>
      <c r="AD21" s="405">
        <f t="shared" si="0"/>
        <v>424</v>
      </c>
      <c r="AE21" s="406">
        <f>IFERROR(INDEX(V!$R:$R,MATCH(AF21,V!$L:$L,0)),"")</f>
        <v>122</v>
      </c>
      <c r="AF21" s="407" t="str">
        <f t="shared" si="1"/>
        <v>Johannes Neiland</v>
      </c>
      <c r="AG21" s="406" t="str">
        <f>IFERROR(INDEX(V!$R:$R,MATCH(AH21,V!$L:$L,0)),"")</f>
        <v/>
      </c>
      <c r="AH21" s="407" t="str">
        <f t="shared" si="2"/>
        <v>Kaspar Mänd, Urmas Randlaine</v>
      </c>
      <c r="AI21" s="406">
        <f>IFERROR(INDEX(V!$R:$R,MATCH(AJ21,V!$L:$L,0)),"")</f>
        <v>164</v>
      </c>
      <c r="AJ21" s="407" t="str">
        <f t="shared" si="3"/>
        <v>Kaspar Mänd</v>
      </c>
      <c r="AK21" s="406">
        <f>IFERROR(INDEX(V!$R:$R,MATCH(AL21,V!$L:$L,0)),"")</f>
        <v>138</v>
      </c>
      <c r="AL21" s="407" t="str">
        <f t="shared" si="4"/>
        <v>Urmas Randlaine</v>
      </c>
      <c r="AM21" s="406" t="str">
        <f>IFERROR(INDEX(V!$R:$R,MATCH(AN21,V!$L:$L,0)),"")</f>
        <v/>
      </c>
      <c r="AN21" s="407" t="str">
        <f t="shared" si="5"/>
        <v/>
      </c>
      <c r="AO21" s="406" t="str">
        <f>IFERROR(INDEX(V!$R:$R,MATCH(AP21,V!$L:$L,0)),"")</f>
        <v/>
      </c>
      <c r="AP21" s="407" t="str">
        <f t="shared" si="6"/>
        <v/>
      </c>
    </row>
    <row r="22" spans="1:42" x14ac:dyDescent="0.2">
      <c r="A22" s="316">
        <v>2</v>
      </c>
      <c r="B22" s="488" t="s">
        <v>313</v>
      </c>
      <c r="C22" s="318">
        <v>13</v>
      </c>
      <c r="D22" s="319"/>
      <c r="E22" s="318">
        <v>12</v>
      </c>
      <c r="F22" s="318">
        <v>13</v>
      </c>
      <c r="G22" s="318"/>
      <c r="H22" s="317" t="str">
        <f>(IF(C22-D21&gt;0,1)+IF(E22-D23&gt;0,1)+IF(F22-D24&gt;0,1)+IF(G22-D25&gt;0,1))&amp;"-"&amp;(IF(C22-D21&lt;0,1)+IF(E22-D23&lt;0,1)+IF(F22-D24&lt;0,1)+IF(G22-D25&lt;0,1))</f>
        <v>2-1</v>
      </c>
      <c r="I22" s="318" t="str">
        <f t="shared" ref="I22:I25" si="7">IF(AND(B22&lt;&gt;"",R$20=TRUE),A$20&amp;RANK(S22,S$21:S$25,0)," ")</f>
        <v>C2</v>
      </c>
      <c r="J22" s="489">
        <f>IF(AND(Q22=1,Q21=1,C22&gt;D21),1)+IF(AND(Q22=1,Q23=1,E22&gt;D23),1)+IF(AND(Q22=1,Q24=1,F22&gt;D24),1)+IF(AND(Q22=1,Q25=1,G22&gt;D25),1)+IF(AND(Q22=2,Q21=2,C22&gt;D21),1)+IF(AND(Q22=2,Q23=2,E22&gt;D23),1)+IF(AND(Q22=2,Q24=2,F22&gt;D24),1)+IF(AND(Q22=2,Q25=2,G22&gt;D25),1)+IF(AND(Q22=3,Q21=3,C22&gt;D21),1)+IF(AND(Q22=3,Q23=3,E22&gt;D23),1)+IF(AND(Q22=3,Q24=3,F22&gt;D24),1)+IF(AND(Q22=3,Q25=3,G22&gt;D25),1)</f>
        <v>0</v>
      </c>
      <c r="K22" s="483">
        <f>SUM(AND(T22=T21,C22&gt;D21),AND(T22=T23,E22&gt;D23),AND(T22=T24,F22&gt;D24),AND(T22=T25,G22&gt;D25))</f>
        <v>0</v>
      </c>
      <c r="L22" s="490">
        <f>IF(AND(Q22=1,Q21=1),C22-D21)+IF(AND(Q22=1,Q23=1),E22-D23)+IF(AND(Q22=1,Q24=1),F22-D24)+IF(AND(Q22=1,Q25=1),G22-D25)+IF(AND(Q22=2,Q21=2),C22-D21)+IF(AND(Q22=2,Q23=2),E22-D23)+IF(AND(Q22=2,Q24=2),F22-D24)+IF(AND(Q22=2,Q25=2),G22-D25)+IF(AND(Q22=3,Q21=3),C22-D21)+IF(AND(Q22=3,Q23=3),E22-D23)+IF(AND(Q22=3,Q24=3),F22-D24)+IF(AND(Q22=3,Q25=3),G22-D25)+IF(AND(Q22=4,Q21=4),C22-D21)+IF(AND(Q22=4,Q23=4),E22-D23)+IF(AND(Q22=4,Q24=4),F22-D24)+IF(AND(Q22=4,Q25=4),G22-D25)</f>
        <v>0</v>
      </c>
      <c r="M22" s="483">
        <f>SUM(AND(R22=R21,C22&gt;D21),AND(R22=R23,E22&gt;D23),AND(R22=R24,F22&gt;D24),AND(R22=R25,G22&gt;D25))</f>
        <v>0</v>
      </c>
      <c r="N22" s="537" t="str">
        <f>SUM(C22:G22)&amp;"-"&amp;SUM(D21:D25)</f>
        <v>38-22</v>
      </c>
      <c r="O22" s="538">
        <f>C22+E22+F22+G22-D21-D23-D24-D25</f>
        <v>16</v>
      </c>
      <c r="P22" s="485">
        <f>SUM(C22:G22,D21:D25)/SUM(D21:D25)</f>
        <v>2.7272727272727271</v>
      </c>
      <c r="Q22" s="491">
        <f>VALUE(LEFT(H22,1))</f>
        <v>2</v>
      </c>
      <c r="R22" s="321">
        <f>Q22*100000+J22*10000+K22*1000+100*L22</f>
        <v>200000</v>
      </c>
      <c r="S22" s="486">
        <f>R22+M22*0.1+IF(ISNONTEXT(B22),0,0.01)+0.0001*O22</f>
        <v>200000.0116</v>
      </c>
      <c r="T22" s="487" t="str">
        <f>Q22&amp;J22</f>
        <v>20</v>
      </c>
      <c r="U22" s="477"/>
      <c r="V22" s="477"/>
      <c r="W22" s="477"/>
      <c r="X22" s="477"/>
      <c r="Y22" s="477"/>
      <c r="Z22" s="477"/>
      <c r="AA22" s="477"/>
      <c r="AB22" s="477"/>
      <c r="AC22" s="477"/>
      <c r="AD22" s="405">
        <f t="shared" si="0"/>
        <v>278</v>
      </c>
      <c r="AE22" s="406">
        <f>IFERROR(INDEX(V!$R:$R,MATCH(AF22,V!$L:$L,0)),"")</f>
        <v>145</v>
      </c>
      <c r="AF22" s="407" t="str">
        <f t="shared" si="1"/>
        <v>Aigi Orro</v>
      </c>
      <c r="AG22" s="406">
        <f>IFERROR(INDEX(V!$R:$R,MATCH(AH22,V!$L:$L,0)),"")</f>
        <v>133</v>
      </c>
      <c r="AH22" s="407" t="str">
        <f t="shared" si="2"/>
        <v>Kalle Orro</v>
      </c>
      <c r="AI22" s="406" t="str">
        <f>IFERROR(INDEX(V!$R:$R,MATCH(AJ22,V!$L:$L,0)),"")</f>
        <v/>
      </c>
      <c r="AJ22" s="407" t="str">
        <f t="shared" si="3"/>
        <v/>
      </c>
      <c r="AK22" s="406" t="str">
        <f>IFERROR(INDEX(V!$R:$R,MATCH(AL22,V!$L:$L,0)),"")</f>
        <v/>
      </c>
      <c r="AL22" s="407" t="str">
        <f t="shared" si="4"/>
        <v/>
      </c>
      <c r="AM22" s="406" t="str">
        <f>IFERROR(INDEX(V!$R:$R,MATCH(AN22,V!$L:$L,0)),"")</f>
        <v/>
      </c>
      <c r="AN22" s="407" t="str">
        <f t="shared" si="5"/>
        <v/>
      </c>
      <c r="AO22" s="406" t="str">
        <f>IFERROR(INDEX(V!$R:$R,MATCH(AP22,V!$L:$L,0)),"")</f>
        <v/>
      </c>
      <c r="AP22" s="407" t="str">
        <f t="shared" si="6"/>
        <v/>
      </c>
    </row>
    <row r="23" spans="1:42" x14ac:dyDescent="0.2">
      <c r="A23" s="316">
        <v>3</v>
      </c>
      <c r="B23" s="488" t="s">
        <v>275</v>
      </c>
      <c r="C23" s="318">
        <v>13</v>
      </c>
      <c r="D23" s="492">
        <v>13</v>
      </c>
      <c r="E23" s="319"/>
      <c r="F23" s="318">
        <v>13</v>
      </c>
      <c r="G23" s="318"/>
      <c r="H23" s="317" t="str">
        <f>(IF(C23-E21&gt;0,1)+IF(D23-E22&gt;0,1)+IF(F23-E24&gt;0,1)+IF(G23-E25&gt;0,1))&amp;"-"&amp;(IF(C23-E21&lt;0,1)+IF(D23-E22&lt;0,1)+IF(F23-E24&lt;0,1)+IF(G23-E25&lt;0,1))</f>
        <v>3-0</v>
      </c>
      <c r="I23" s="318" t="str">
        <f t="shared" si="7"/>
        <v>C1</v>
      </c>
      <c r="J23" s="489">
        <f>IF(AND(Q23=1,Q21=1,C23&gt;E21),1)+IF(AND(Q23=1,Q22=1,D23&gt;E22),1)+IF(AND(Q23=1,Q24=1,F23&gt;E24),1)+IF(AND(Q23=1,Q25=1,G23&gt;E25),1)+IF(AND(Q23=2,Q21=2,C23&gt;E21),1)+IF(AND(Q23=2,Q22=2,D23&gt;E22),1)+IF(AND(Q23=2,Q24=2,F23&gt;E24),1)+IF(AND(Q23=2,Q25=2,G23&gt;E25),1)+IF(AND(Q23=3,Q21=3,C23&gt;E21),1)+IF(AND(Q23=3,Q22=3,D23&gt;E22),1)+IF(AND(Q23=3,Q24=3,F23&gt;E24),1)+IF(AND(Q23=3,Q25=3,G23&gt;E25),1)</f>
        <v>0</v>
      </c>
      <c r="K23" s="483">
        <f>SUM(AND(T23=T21,C23&gt;E21),AND(T23=T22,D23&gt;E22),AND(T23=T24,F23&gt;E24),AND(T23=T25,G23&gt;E25))</f>
        <v>0</v>
      </c>
      <c r="L23" s="490">
        <f>IF(AND(Q23=1,Q21=1),C23-E21)+IF(AND(Q23=1,Q22=1),D23-E22)+IF(AND(Q23=1,Q24=1),F23-E24)+IF(AND(Q23=1,Q25=1),G23-E25)+IF(AND(Q23=2,Q21=2),C23-E21)+IF(AND(Q23=2,Q22=2),D23-E22)+IF(AND(Q23=2,Q24=2),F23-E24)+IF(AND(Q23=2,Q25=2),G23-E25)+IF(AND(Q23=3,Q21=3),C23-E21)+IF(AND(Q23=3,Q22=3),D23-E22)+IF(AND(Q23=3,Q24=3),F23-E24)+IF(AND(Q23=3,Q25=3),G23-E25)+IF(AND(Q23=4,Q21=4),C23-E21)+IF(AND(Q23=4,Q22=4),D23-E22)+IF(AND(Q23=4,Q24=4),F23-E24)+IF(AND(Q23=4,Q25=4),G23-E25)</f>
        <v>0</v>
      </c>
      <c r="M23" s="483">
        <f>SUM(AND(R23=R21,C23&gt;E21),AND(R23=R22,D23&gt;E22),AND(R23=R24,F23&gt;E24),AND(R23=R25,G23&gt;E25))</f>
        <v>0</v>
      </c>
      <c r="N23" s="537" t="str">
        <f>SUM(C23:G23)&amp;"-"&amp;SUM(E21:E25)</f>
        <v>39-21</v>
      </c>
      <c r="O23" s="538">
        <f>C23+D23+F23+G23-E21-E22-E24-E25</f>
        <v>18</v>
      </c>
      <c r="P23" s="485">
        <f>SUM(C23:G23,E21:E25)/SUM(E21:E25)</f>
        <v>2.8571428571428572</v>
      </c>
      <c r="Q23" s="491">
        <f>VALUE(LEFT(H23,1))</f>
        <v>3</v>
      </c>
      <c r="R23" s="321">
        <f>Q23*100000+J23*10000+K23*1000+100*L23</f>
        <v>300000</v>
      </c>
      <c r="S23" s="486">
        <f>R23+M23*0.1+IF(ISNONTEXT(B23),0,0.01)+0.0001*O23</f>
        <v>300000.01180000004</v>
      </c>
      <c r="T23" s="487" t="str">
        <f>Q23&amp;J23</f>
        <v>30</v>
      </c>
      <c r="U23" s="477"/>
      <c r="V23" s="477"/>
      <c r="W23" s="477"/>
      <c r="X23" s="477"/>
      <c r="Y23" s="477"/>
      <c r="Z23" s="477"/>
      <c r="AA23" s="477"/>
      <c r="AB23" s="477"/>
      <c r="AC23" s="477"/>
      <c r="AD23" s="405">
        <f t="shared" si="0"/>
        <v>174</v>
      </c>
      <c r="AE23" s="406">
        <f>IFERROR(INDEX(V!$R:$R,MATCH(AF23,V!$L:$L,0)),"")</f>
        <v>84</v>
      </c>
      <c r="AF23" s="407" t="str">
        <f t="shared" si="1"/>
        <v>Aarne Välja</v>
      </c>
      <c r="AG23" s="406">
        <f>IFERROR(INDEX(V!$R:$R,MATCH(AH23,V!$L:$L,0)),"")</f>
        <v>90</v>
      </c>
      <c r="AH23" s="407" t="str">
        <f t="shared" si="2"/>
        <v>Janek Tarto</v>
      </c>
      <c r="AI23" s="406" t="str">
        <f>IFERROR(INDEX(V!$R:$R,MATCH(AJ23,V!$L:$L,0)),"")</f>
        <v/>
      </c>
      <c r="AJ23" s="407" t="str">
        <f t="shared" si="3"/>
        <v/>
      </c>
      <c r="AK23" s="406" t="str">
        <f>IFERROR(INDEX(V!$R:$R,MATCH(AL23,V!$L:$L,0)),"")</f>
        <v/>
      </c>
      <c r="AL23" s="407" t="str">
        <f t="shared" si="4"/>
        <v/>
      </c>
      <c r="AM23" s="406" t="str">
        <f>IFERROR(INDEX(V!$R:$R,MATCH(AN23,V!$L:$L,0)),"")</f>
        <v/>
      </c>
      <c r="AN23" s="407" t="str">
        <f t="shared" si="5"/>
        <v/>
      </c>
      <c r="AO23" s="406" t="str">
        <f>IFERROR(INDEX(V!$R:$R,MATCH(AP23,V!$L:$L,0)),"")</f>
        <v/>
      </c>
      <c r="AP23" s="407" t="str">
        <f t="shared" si="6"/>
        <v/>
      </c>
    </row>
    <row r="24" spans="1:42" x14ac:dyDescent="0.2">
      <c r="A24" s="316">
        <v>4</v>
      </c>
      <c r="B24" s="488" t="s">
        <v>506</v>
      </c>
      <c r="C24" s="318">
        <v>13</v>
      </c>
      <c r="D24" s="492">
        <v>6</v>
      </c>
      <c r="E24" s="318">
        <v>5</v>
      </c>
      <c r="F24" s="319"/>
      <c r="G24" s="511"/>
      <c r="H24" s="317" t="str">
        <f>(IF(C24-F21&gt;0,1)+IF(D24-F22&gt;0,1)+IF(E24-F23&gt;0,1)+IF(G24-F25&gt;0,1))&amp;"-"&amp;(IF(C24-F21&lt;0,1)+IF(D24-F22&lt;0,1)+IF(E24-F23&lt;0,1)+IF(G24-F25&lt;0,1))</f>
        <v>1-2</v>
      </c>
      <c r="I24" s="318" t="str">
        <f t="shared" si="7"/>
        <v>C3</v>
      </c>
      <c r="J24" s="489">
        <f>IF(AND(Q24=1,Q21=1,C24&gt;F21),1)+IF(AND(Q24=1,Q22=1,D24&gt;F22),1)+IF(AND(Q24=1,Q23=1,E24&gt;F23),1)+IF(AND(Q24=1,Q25=1,G24&gt;F25),1)+IF(AND(Q24=2,Q21=2,C24&gt;F21),1)+IF(AND(Q24=2,Q22=2,D24&gt;F22),1)+IF(AND(Q24=2,Q23=2,E24&gt;F23),1)+IF(AND(Q24=2,Q25=2,G24&gt;F25),1)+IF(AND(Q24=3,Q21=3,C24&gt;F21),1)+IF(AND(Q24=3,Q22=3,D24&gt;F22),1)+IF(AND(Q24=3,Q23=3,E24&gt;F23),1)+IF(AND(Q24=3,Q25=3,G24&gt;F25),1)</f>
        <v>0</v>
      </c>
      <c r="K24" s="483">
        <f>SUM(AND(T24=T21,C24&gt;F21),AND(T24=T22,D24&gt;F22),AND(T24=T23,E24&gt;F23),AND(T24=T25,G24&gt;F25))</f>
        <v>0</v>
      </c>
      <c r="L24" s="490">
        <f>IF(AND(Q24=1,Q21=1),C24-F21)+IF(AND(Q24=1,Q22=1),D24-F22)+IF(AND(Q24=1,Q23=1),E24-F23)+IF(AND(Q24=1,Q25=1),G24-F25)+IF(AND(Q24=2,Q21=2),C24-F21)+IF(AND(Q24=2,Q22=2),D24-F22)+IF(AND(Q24=2,Q23=2),E24-F23)+IF(AND(Q24=2,Q25=2),G24-F25)+IF(AND(Q24=3,Q21=3),C24-F21)+IF(AND(Q24=3,Q22=3),D24-F22)+IF(AND(Q24=3,Q23=3),E24-F23)+IF(AND(Q24=3,Q25=3),G24-F25)+IF(AND(Q24=4,Q21=4),C24-F21)+IF(AND(Q24=4,Q22=4),D24-F22)+IF(AND(Q24=4,Q23=4),E24-F23)+IF(AND(Q24=4,Q25=4),G24-F25)</f>
        <v>0</v>
      </c>
      <c r="M24" s="483">
        <f>SUM(AND(R24=R21,C24&gt;F21),AND(R24=R22,D24&gt;F22),AND(R24=R23,E24&gt;F23),AND(R24=R25,G24&gt;F25))</f>
        <v>0</v>
      </c>
      <c r="N24" s="537" t="str">
        <f>SUM(C24:G24)&amp;"-"&amp;SUM(F21:F25)</f>
        <v>24-28</v>
      </c>
      <c r="O24" s="538">
        <f>C24+D24+E24+G24-F21-F22-F23-F25</f>
        <v>-4</v>
      </c>
      <c r="P24" s="485">
        <f>SUM(C24:G24,F21:F25)/SUM(F21:F25)</f>
        <v>1.8571428571428572</v>
      </c>
      <c r="Q24" s="491">
        <f>VALUE(LEFT(H24,1))</f>
        <v>1</v>
      </c>
      <c r="R24" s="321">
        <f>Q24*100000+J24*10000+K24*1000+100*L24</f>
        <v>100000</v>
      </c>
      <c r="S24" s="486">
        <f>R24+M24*0.1+IF(ISNONTEXT(B24),0,0.01)+0.0001*O24</f>
        <v>100000.00959999999</v>
      </c>
      <c r="T24" s="487" t="str">
        <f>Q24&amp;J24</f>
        <v>10</v>
      </c>
      <c r="V24" s="477"/>
      <c r="W24" s="477"/>
      <c r="X24" s="477"/>
      <c r="Y24" s="477"/>
      <c r="Z24" s="477"/>
      <c r="AA24" s="477"/>
      <c r="AB24" s="477"/>
      <c r="AC24" s="477"/>
      <c r="AD24" s="405">
        <f t="shared" si="0"/>
        <v>111</v>
      </c>
      <c r="AE24" s="406">
        <f>IFERROR(INDEX(V!$R:$R,MATCH(AF24,V!$L:$L,0)),"")</f>
        <v>104</v>
      </c>
      <c r="AF24" s="407" t="str">
        <f t="shared" si="1"/>
        <v>Andres Veski</v>
      </c>
      <c r="AG24" s="406">
        <f>IFERROR(INDEX(V!$R:$R,MATCH(AH24,V!$L:$L,0)),"")</f>
        <v>7</v>
      </c>
      <c r="AH24" s="407" t="str">
        <f t="shared" si="2"/>
        <v>Tõnis Anton</v>
      </c>
      <c r="AI24" s="406" t="str">
        <f>IFERROR(INDEX(V!$R:$R,MATCH(AJ24,V!$L:$L,0)),"")</f>
        <v/>
      </c>
      <c r="AJ24" s="407" t="str">
        <f t="shared" si="3"/>
        <v/>
      </c>
      <c r="AK24" s="406" t="str">
        <f>IFERROR(INDEX(V!$R:$R,MATCH(AL24,V!$L:$L,0)),"")</f>
        <v/>
      </c>
      <c r="AL24" s="407" t="str">
        <f t="shared" si="4"/>
        <v/>
      </c>
      <c r="AM24" s="406" t="str">
        <f>IFERROR(INDEX(V!$R:$R,MATCH(AN24,V!$L:$L,0)),"")</f>
        <v/>
      </c>
      <c r="AN24" s="407" t="str">
        <f t="shared" si="5"/>
        <v/>
      </c>
      <c r="AO24" s="406" t="str">
        <f>IFERROR(INDEX(V!$R:$R,MATCH(AP24,V!$L:$L,0)),"")</f>
        <v/>
      </c>
      <c r="AP24" s="407" t="str">
        <f t="shared" si="6"/>
        <v/>
      </c>
    </row>
    <row r="25" spans="1:42" hidden="1" x14ac:dyDescent="0.2">
      <c r="A25" s="316">
        <v>5</v>
      </c>
      <c r="B25" s="493"/>
      <c r="C25" s="318"/>
      <c r="D25" s="318"/>
      <c r="E25" s="318"/>
      <c r="F25" s="318"/>
      <c r="G25" s="319"/>
      <c r="H25" s="317" t="str">
        <f>(IF(C25-G21&gt;0,1)+IF(D25-G22&gt;0,1)+IF(E25-G23&gt;0,1)+IF(F25-G24&gt;0,1))&amp;"-"&amp;(IF(C25-G21&lt;0,1)+IF(D25-G22&lt;0,1)+IF(E25-G23&lt;0,1)+IF(F25-G24&lt;0,1))</f>
        <v>0-0</v>
      </c>
      <c r="I25" s="318" t="str">
        <f t="shared" si="7"/>
        <v xml:space="preserve"> </v>
      </c>
      <c r="J25" s="489">
        <f>IF(AND(Q25=1,Q21=1,C25&gt;G21),1)+IF(AND(Q25=1,Q22=1,D25&gt;G22),1)+IF(AND(Q25=1,Q23=1,E25&gt;G23),1)+IF(AND(Q25=1,Q24=1,F25&gt;G24),1)+IF(AND(Q25=2,Q21=2,C25&gt;G21),1)+IF(AND(Q25=2,Q22=2,D25&gt;G22),1)+IF(AND(Q25=2,Q23=2,E25&gt;G23),1)+IF(AND(Q25=2,Q24=2,F25&gt;G24),1)+IF(AND(Q25=3,Q21=3,C25&gt;G21),1)+IF(AND(Q25=3,Q22=3,D25&gt;G22),1)+IF(AND(Q25=3,Q23=3,E25&gt;G23),1)+IF(AND(Q25=3,Q24=3,F25&gt;G24),1)</f>
        <v>0</v>
      </c>
      <c r="K25" s="483">
        <f>SUM(AND(T25=T21,C25&gt;G21),AND(T25=T22,D25&gt;G22),AND(T25=T23,E25&gt;G23),AND(T25=T24,F25&gt;G24))</f>
        <v>0</v>
      </c>
      <c r="L25" s="490">
        <f>IF(AND(Q25=1,Q21=1),C25-G21)+IF(AND(Q25=1,Q22=1),D25-G22)+IF(AND(Q25=1,Q23=1),E25-G23)+IF(AND(Q25=1,Q24=1),F25-G24)+IF(AND(Q25=2,Q21=2),C25-G21)+IF(AND(Q25=2,Q22=2),D25-G22)+IF(AND(Q25=2,Q23=2),E25-G23)+IF(AND(Q25=2,Q24=2),F25-G24)+IF(AND(Q25=3,Q21=3),C25-G21)+IF(AND(Q25=3,Q22=3),D25-G22)+IF(AND(Q25=3,Q23=3),E25-G23)+IF(AND(Q25=3,Q24=3),F25-G24)+IF(AND(Q25=4,Q21=4),C25-G21)+IF(AND(Q25=4,Q22=4),D25-G22)+IF(AND(Q25=4,Q23=4),E25-G23)+IF(AND(Q25=4,Q24=4),F25-G24)</f>
        <v>0</v>
      </c>
      <c r="M25" s="483">
        <f>SUM(AND(R25=R21,C25&gt;G21),AND(R25=R22,D25&gt;G22),AND(R25=R23,E25&gt;G23),AND(R25=R24,F25&gt;G24))</f>
        <v>0</v>
      </c>
      <c r="N25" s="537" t="str">
        <f>SUM(C25:G25)&amp;"-"&amp;SUM(G21:G25)</f>
        <v>0-0</v>
      </c>
      <c r="O25" s="538">
        <f>C25+D25+E25+F25-G21-G22-G23-G24</f>
        <v>0</v>
      </c>
      <c r="P25" s="485" t="e">
        <f>SUM(C25:G25,G21:G25)/SUM(G21:G25)</f>
        <v>#DIV/0!</v>
      </c>
      <c r="Q25" s="491">
        <f>VALUE(LEFT(H25,1))</f>
        <v>0</v>
      </c>
      <c r="R25" s="321">
        <f>Q25*100000+J25*10000+K25*1000+100*L25</f>
        <v>0</v>
      </c>
      <c r="S25" s="486">
        <f>R25+M25*0.1+IF(ISNONTEXT(B25),0,0.01)+0.0001*O25</f>
        <v>0</v>
      </c>
      <c r="T25" s="487" t="str">
        <f>Q25&amp;J25</f>
        <v>00</v>
      </c>
      <c r="U25" s="477"/>
      <c r="V25" s="477"/>
      <c r="W25" s="477"/>
      <c r="X25" s="477"/>
      <c r="Y25" s="477"/>
      <c r="Z25" s="477"/>
      <c r="AA25" s="477"/>
      <c r="AB25" s="477"/>
      <c r="AC25" s="477"/>
      <c r="AD25" s="405">
        <f t="shared" si="0"/>
        <v>0</v>
      </c>
      <c r="AE25" s="406" t="str">
        <f>IFERROR(INDEX(V!$R:$R,MATCH(AF25,V!$L:$L,0)),"")</f>
        <v/>
      </c>
      <c r="AF25" s="407" t="str">
        <f t="shared" si="1"/>
        <v/>
      </c>
      <c r="AG25" s="406" t="str">
        <f>IFERROR(INDEX(V!$R:$R,MATCH(AH25,V!$L:$L,0)),"")</f>
        <v/>
      </c>
      <c r="AH25" s="407" t="str">
        <f t="shared" si="2"/>
        <v/>
      </c>
      <c r="AI25" s="406" t="str">
        <f>IFERROR(INDEX(V!$R:$R,MATCH(AJ25,V!$L:$L,0)),"")</f>
        <v/>
      </c>
      <c r="AJ25" s="407" t="str">
        <f t="shared" si="3"/>
        <v/>
      </c>
      <c r="AK25" s="406" t="str">
        <f>IFERROR(INDEX(V!$R:$R,MATCH(AL25,V!$L:$L,0)),"")</f>
        <v/>
      </c>
      <c r="AL25" s="407" t="str">
        <f t="shared" si="4"/>
        <v/>
      </c>
      <c r="AM25" s="406" t="str">
        <f>IFERROR(INDEX(V!$R:$R,MATCH(AN25,V!$L:$L,0)),"")</f>
        <v/>
      </c>
      <c r="AN25" s="407" t="str">
        <f t="shared" si="5"/>
        <v/>
      </c>
      <c r="AO25" s="406" t="str">
        <f>IFERROR(INDEX(V!$R:$R,MATCH(AP25,V!$L:$L,0)),"")</f>
        <v/>
      </c>
      <c r="AP25" s="407" t="str">
        <f t="shared" si="6"/>
        <v/>
      </c>
    </row>
    <row r="26" spans="1:42" x14ac:dyDescent="0.2">
      <c r="A26" s="513"/>
      <c r="B26" s="514"/>
      <c r="C26" s="499"/>
      <c r="D26" s="499"/>
      <c r="E26" s="499"/>
      <c r="F26" s="515"/>
      <c r="G26" s="515"/>
      <c r="H26" s="516"/>
      <c r="I26" s="517"/>
      <c r="J26" s="477"/>
      <c r="K26" s="477"/>
      <c r="L26" s="477"/>
      <c r="M26" s="477"/>
      <c r="N26" s="539"/>
      <c r="O26" s="539"/>
      <c r="P26" s="477"/>
      <c r="Q26" s="477"/>
      <c r="R26" s="502" t="s">
        <v>264</v>
      </c>
      <c r="S26" s="477"/>
      <c r="T26" s="477"/>
      <c r="U26" s="477"/>
      <c r="V26" s="477"/>
      <c r="W26" s="477"/>
      <c r="X26" s="477"/>
      <c r="Y26" s="477"/>
      <c r="Z26" s="477"/>
      <c r="AA26" s="477"/>
      <c r="AB26" s="477"/>
      <c r="AC26" s="477"/>
      <c r="AD26" s="405">
        <f t="shared" si="0"/>
        <v>0</v>
      </c>
      <c r="AE26" s="406" t="str">
        <f>IFERROR(INDEX(V!$R:$R,MATCH(AF26,V!$L:$L,0)),"")</f>
        <v/>
      </c>
      <c r="AF26" s="407" t="str">
        <f t="shared" si="1"/>
        <v/>
      </c>
      <c r="AG26" s="406" t="str">
        <f>IFERROR(INDEX(V!$R:$R,MATCH(AH26,V!$L:$L,0)),"")</f>
        <v/>
      </c>
      <c r="AH26" s="407" t="str">
        <f t="shared" si="2"/>
        <v/>
      </c>
      <c r="AI26" s="406" t="str">
        <f>IFERROR(INDEX(V!$R:$R,MATCH(AJ26,V!$L:$L,0)),"")</f>
        <v/>
      </c>
      <c r="AJ26" s="407" t="str">
        <f t="shared" si="3"/>
        <v/>
      </c>
      <c r="AK26" s="406" t="str">
        <f>IFERROR(INDEX(V!$R:$R,MATCH(AL26,V!$L:$L,0)),"")</f>
        <v/>
      </c>
      <c r="AL26" s="407" t="str">
        <f t="shared" si="4"/>
        <v/>
      </c>
      <c r="AM26" s="406" t="str">
        <f>IFERROR(INDEX(V!$R:$R,MATCH(AN26,V!$L:$L,0)),"")</f>
        <v/>
      </c>
      <c r="AN26" s="407" t="str">
        <f t="shared" si="5"/>
        <v/>
      </c>
      <c r="AO26" s="406" t="str">
        <f>IFERROR(INDEX(V!$R:$R,MATCH(AP26,V!$L:$L,0)),"")</f>
        <v/>
      </c>
      <c r="AP26" s="407" t="str">
        <f t="shared" si="6"/>
        <v/>
      </c>
    </row>
    <row r="27" spans="1:42" x14ac:dyDescent="0.2">
      <c r="A27" s="316" t="s">
        <v>3</v>
      </c>
      <c r="B27" s="503"/>
      <c r="C27" s="467">
        <v>1</v>
      </c>
      <c r="D27" s="467">
        <v>2</v>
      </c>
      <c r="E27" s="467">
        <v>3</v>
      </c>
      <c r="F27" s="467">
        <v>4</v>
      </c>
      <c r="G27" s="467"/>
      <c r="H27" s="468" t="s">
        <v>168</v>
      </c>
      <c r="I27" s="468" t="s">
        <v>169</v>
      </c>
      <c r="J27" s="504" t="s">
        <v>257</v>
      </c>
      <c r="K27" s="505" t="s">
        <v>258</v>
      </c>
      <c r="L27" s="506" t="s">
        <v>259</v>
      </c>
      <c r="M27" s="506" t="s">
        <v>260</v>
      </c>
      <c r="N27" s="472" t="s">
        <v>170</v>
      </c>
      <c r="O27" s="472" t="s">
        <v>170</v>
      </c>
      <c r="P27" s="473" t="s">
        <v>261</v>
      </c>
      <c r="Q27" s="507" t="s">
        <v>21</v>
      </c>
      <c r="R27" s="507" t="b">
        <f>OR(AND(COUNTA(B28:B32)=3,COUNTA(C28:G32)=6),AND(COUNTA(B28:B32)=4,COUNTA(C28:G32)=12),AND(COUNTA(B28:B32)=5,COUNTA(C28:G32)=20))</f>
        <v>1</v>
      </c>
      <c r="S27" s="508" t="s">
        <v>262</v>
      </c>
      <c r="T27" s="509" t="s">
        <v>263</v>
      </c>
      <c r="U27" s="477"/>
      <c r="V27" s="477"/>
      <c r="W27" s="477"/>
      <c r="X27" s="477"/>
      <c r="Y27" s="477"/>
      <c r="Z27" s="477"/>
      <c r="AA27" s="477"/>
      <c r="AB27" s="477"/>
      <c r="AC27" s="477"/>
      <c r="AD27" s="405">
        <f t="shared" si="0"/>
        <v>0</v>
      </c>
      <c r="AE27" s="406" t="str">
        <f>IFERROR(INDEX(V!$R:$R,MATCH(AF27,V!$L:$L,0)),"")</f>
        <v/>
      </c>
      <c r="AF27" s="407" t="str">
        <f t="shared" si="1"/>
        <v/>
      </c>
      <c r="AG27" s="406" t="str">
        <f>IFERROR(INDEX(V!$R:$R,MATCH(AH27,V!$L:$L,0)),"")</f>
        <v/>
      </c>
      <c r="AH27" s="407" t="str">
        <f t="shared" si="2"/>
        <v/>
      </c>
      <c r="AI27" s="406" t="str">
        <f>IFERROR(INDEX(V!$R:$R,MATCH(AJ27,V!$L:$L,0)),"")</f>
        <v/>
      </c>
      <c r="AJ27" s="407" t="str">
        <f t="shared" si="3"/>
        <v/>
      </c>
      <c r="AK27" s="406" t="str">
        <f>IFERROR(INDEX(V!$R:$R,MATCH(AL27,V!$L:$L,0)),"")</f>
        <v/>
      </c>
      <c r="AL27" s="407" t="str">
        <f t="shared" si="4"/>
        <v/>
      </c>
      <c r="AM27" s="406" t="str">
        <f>IFERROR(INDEX(V!$R:$R,MATCH(AN27,V!$L:$L,0)),"")</f>
        <v/>
      </c>
      <c r="AN27" s="407" t="str">
        <f t="shared" si="5"/>
        <v/>
      </c>
      <c r="AO27" s="406" t="str">
        <f>IFERROR(INDEX(V!$R:$R,MATCH(AP27,V!$L:$L,0)),"")</f>
        <v/>
      </c>
      <c r="AP27" s="407" t="str">
        <f t="shared" si="6"/>
        <v/>
      </c>
    </row>
    <row r="28" spans="1:42" x14ac:dyDescent="0.2">
      <c r="A28" s="316">
        <v>1</v>
      </c>
      <c r="B28" s="518" t="s">
        <v>273</v>
      </c>
      <c r="C28" s="319"/>
      <c r="D28" s="534">
        <v>13</v>
      </c>
      <c r="E28" s="318">
        <v>13</v>
      </c>
      <c r="F28" s="534">
        <v>9</v>
      </c>
      <c r="G28" s="318"/>
      <c r="H28" s="317" t="str">
        <f>(IF(D28-C29&gt;0,1)+IF(E28-C30&gt;0,1)+IF(F28-C31&gt;0,1)+IF(G28-C32&gt;0,1))&amp;"-"&amp;(IF(D28-C29&lt;0,1)+IF(E28-C30&lt;0,1)+IF(F28-C31&lt;0,1)+IF(G28-C32&lt;0,1))</f>
        <v>2-1</v>
      </c>
      <c r="I28" s="318" t="str">
        <f>IF(AND(B28&lt;&gt;"",R$27=TRUE),A$27&amp;RANK(S28,S$28:S$32,0)," ")</f>
        <v>D2</v>
      </c>
      <c r="J28" s="480">
        <f>IF(AND(Q28=1,Q29=1,D28&gt;C29),1)+IF(AND(Q28=1,Q30=1,E28&gt;C30),1)+IF(AND(Q28=1,Q31=1,F28&gt;C31),1)+IF(AND(Q28=1,Q32=1,G28&gt;C32),1)+IF(AND(Q28=2,Q29=2,D28&gt;C29),1)+IF(AND(Q28=2,Q30=2,E28&gt;C30),1)+IF(AND(Q28=2,Q31=2,F28&gt;C31),1)+IF(AND(Q28=2,Q32=2,G28&gt;C32),1)+IF(AND(Q28=3,Q29=3,D28&gt;C29),1)+IF(AND(Q28=3,Q30=3,E28&gt;C30),1)+IF(AND(Q28=3,Q31=3,F28&gt;C31),1)+IF(AND(Q28=3,Q32=3,G28&gt;C32),1)</f>
        <v>1</v>
      </c>
      <c r="K28" s="481">
        <f>SUM(AND(T28=T29,D28&gt;C29),AND(T28=T30,E28&gt;C30),AND(T28=T31,F28&gt;C31),AND(T28=T32,G28&gt;C32))</f>
        <v>1</v>
      </c>
      <c r="L28" s="482">
        <f>IF(AND(Q28=1,Q29=1),D28-C29)+IF(AND(Q28=1,Q30=1),E28-C30)+IF(AND(Q28=1,Q31=1),F28-C31)+IF(AND(Q28=1,Q32=1),G28-C32)+IF(AND(Q28=2,Q29=2),D28-C29)+IF(AND(Q28=2,Q30=2),E28-C30)+IF(AND(Q28=2,Q31=2),F28-C31)+IF(AND(Q28=2,Q32=2),G28-C32)+IF(AND(Q28=3,Q29=3),D28-C29)+IF(AND(Q28=3,Q30=3),E28-C30)+IF(AND(Q28=3,Q31=3),F28-C31)+IF(AND(Q28=3,Q32=3),G28-C32)+IF(AND(Q28=4,Q29=4),D28-C29)+IF(AND(Q28=4,Q30=4),E28-C30)+IF(AND(Q28=4,Q31=4),F28-C31)+IF(AND(Q28=4,Q32=4),G28-C32)</f>
        <v>-1</v>
      </c>
      <c r="M28" s="483">
        <f>SUM(AND(R28=R29,D28&gt;C29),AND(R28=R30,E28&gt;C30),AND(R28=R31,F28&gt;C31),AND(R28=R32,G28&gt;C32))</f>
        <v>0</v>
      </c>
      <c r="N28" s="537" t="str">
        <f>SUM(C28:G28)&amp;"-"&amp;SUM(C28:C32)</f>
        <v>35-28</v>
      </c>
      <c r="O28" s="538">
        <f>D28+E28+F28+G28-C29-C30-C31-C32</f>
        <v>7</v>
      </c>
      <c r="P28" s="485">
        <f>SUM(C28:G28,C28:C32)/SUM(C28:C32)</f>
        <v>2.25</v>
      </c>
      <c r="Q28" s="320">
        <f>VALUE(LEFT(H28,1))</f>
        <v>2</v>
      </c>
      <c r="R28" s="321">
        <f>Q28*100000+J28*10000+K28*1000+100*L28</f>
        <v>210900</v>
      </c>
      <c r="S28" s="486">
        <f>R28+M28*0.1+IF(ISNONTEXT(B28),0,0.01)+0.0001*O28</f>
        <v>210900.01070000001</v>
      </c>
      <c r="T28" s="487" t="str">
        <f>Q28&amp;J28</f>
        <v>21</v>
      </c>
      <c r="V28" s="477"/>
      <c r="W28" s="477"/>
      <c r="X28" s="477"/>
      <c r="Y28" s="477"/>
      <c r="Z28" s="477"/>
      <c r="AA28" s="477"/>
      <c r="AB28" s="477"/>
      <c r="AC28" s="477"/>
      <c r="AD28" s="405">
        <f t="shared" si="0"/>
        <v>233.5</v>
      </c>
      <c r="AE28" s="406">
        <f>IFERROR(INDEX(V!$R:$R,MATCH(AF28,V!$L:$L,0)),"")</f>
        <v>100</v>
      </c>
      <c r="AF28" s="407" t="str">
        <f t="shared" si="1"/>
        <v>Elmo Lageda</v>
      </c>
      <c r="AG28" s="406">
        <f>IFERROR(INDEX(V!$R:$R,MATCH(AH28,V!$L:$L,0)),"")</f>
        <v>133.5</v>
      </c>
      <c r="AH28" s="407" t="str">
        <f t="shared" si="2"/>
        <v>Tõnu Piik</v>
      </c>
      <c r="AI28" s="406" t="str">
        <f>IFERROR(INDEX(V!$R:$R,MATCH(AJ28,V!$L:$L,0)),"")</f>
        <v/>
      </c>
      <c r="AJ28" s="407" t="str">
        <f t="shared" si="3"/>
        <v/>
      </c>
      <c r="AK28" s="406" t="str">
        <f>IFERROR(INDEX(V!$R:$R,MATCH(AL28,V!$L:$L,0)),"")</f>
        <v/>
      </c>
      <c r="AL28" s="407" t="str">
        <f t="shared" si="4"/>
        <v/>
      </c>
      <c r="AM28" s="406" t="str">
        <f>IFERROR(INDEX(V!$R:$R,MATCH(AN28,V!$L:$L,0)),"")</f>
        <v/>
      </c>
      <c r="AN28" s="407" t="str">
        <f t="shared" si="5"/>
        <v/>
      </c>
      <c r="AO28" s="406" t="str">
        <f>IFERROR(INDEX(V!$R:$R,MATCH(AP28,V!$L:$L,0)),"")</f>
        <v/>
      </c>
      <c r="AP28" s="407" t="str">
        <f t="shared" si="6"/>
        <v/>
      </c>
    </row>
    <row r="29" spans="1:42" x14ac:dyDescent="0.2">
      <c r="A29" s="316">
        <v>2</v>
      </c>
      <c r="B29" s="488" t="s">
        <v>501</v>
      </c>
      <c r="C29" s="534">
        <v>10</v>
      </c>
      <c r="D29" s="319"/>
      <c r="E29" s="318">
        <v>13</v>
      </c>
      <c r="F29" s="534">
        <v>13</v>
      </c>
      <c r="G29" s="318"/>
      <c r="H29" s="317" t="str">
        <f>(IF(C29-D28&gt;0,1)+IF(E29-D30&gt;0,1)+IF(F29-D31&gt;0,1)+IF(G29-D32&gt;0,1))&amp;"-"&amp;(IF(C29-D28&lt;0,1)+IF(E29-D30&lt;0,1)+IF(F29-D31&lt;0,1)+IF(G29-D32&lt;0,1))</f>
        <v>2-1</v>
      </c>
      <c r="I29" s="318" t="str">
        <f t="shared" ref="I29:I32" si="8">IF(AND(B29&lt;&gt;"",R$27=TRUE),A$27&amp;RANK(S29,S$28:S$32,0)," ")</f>
        <v>D1</v>
      </c>
      <c r="J29" s="489">
        <f>IF(AND(Q29=1,Q28=1,C29&gt;D28),1)+IF(AND(Q29=1,Q30=1,E29&gt;D30),1)+IF(AND(Q29=1,Q31=1,F29&gt;D31),1)+IF(AND(Q29=1,Q32=1,G29&gt;D32),1)+IF(AND(Q29=2,Q28=2,C29&gt;D28),1)+IF(AND(Q29=2,Q30=2,E29&gt;D30),1)+IF(AND(Q29=2,Q31=2,F29&gt;D31),1)+IF(AND(Q29=2,Q32=2,G29&gt;D32),1)+IF(AND(Q29=3,Q28=3,C29&gt;D28),1)+IF(AND(Q29=3,Q30=3,E29&gt;D30),1)+IF(AND(Q29=3,Q31=3,F29&gt;D31),1)+IF(AND(Q29=3,Q32=3,G29&gt;D32),1)</f>
        <v>1</v>
      </c>
      <c r="K29" s="483">
        <f>SUM(AND(T29=T28,C29&gt;D28),AND(T29=T30,E29&gt;D30),AND(T29=T31,F29&gt;D31),AND(T29=T32,G29&gt;D32))</f>
        <v>1</v>
      </c>
      <c r="L29" s="490">
        <f>IF(AND(Q29=1,Q28=1),C29-D28)+IF(AND(Q29=1,Q30=1),E29-D30)+IF(AND(Q29=1,Q31=1),F29-D31)+IF(AND(Q29=1,Q32=1),G29-D32)+IF(AND(Q29=2,Q28=2),C29-D28)+IF(AND(Q29=2,Q30=2),E29-D30)+IF(AND(Q29=2,Q31=2),F29-D31)+IF(AND(Q29=2,Q32=2),G29-D32)+IF(AND(Q29=3,Q28=3),C29-D28)+IF(AND(Q29=3,Q30=3),E29-D30)+IF(AND(Q29=3,Q31=3),F29-D31)+IF(AND(Q29=3,Q32=3),G29-D32)+IF(AND(Q29=4,Q28=4),C29-D28)+IF(AND(Q29=4,Q30=4),E29-D30)+IF(AND(Q29=4,Q31=4),F29-D31)+IF(AND(Q29=4,Q32=4),G29-D32)</f>
        <v>3</v>
      </c>
      <c r="M29" s="483">
        <f>SUM(AND(R29=R28,C29&gt;D28),AND(R29=R30,E29&gt;D30),AND(R29=R31,F29&gt;D31),AND(R29=R32,G29&gt;D32))</f>
        <v>0</v>
      </c>
      <c r="N29" s="537" t="str">
        <f>SUM(C29:G29)&amp;"-"&amp;SUM(D28:D32)</f>
        <v>36-25</v>
      </c>
      <c r="O29" s="538">
        <f>C29+E29+F29+G29-D28-D30-D31-D32</f>
        <v>11</v>
      </c>
      <c r="P29" s="485">
        <f>SUM(C29:G29,D28:D32)/SUM(D28:D32)</f>
        <v>2.44</v>
      </c>
      <c r="Q29" s="491">
        <f>VALUE(LEFT(H29,1))</f>
        <v>2</v>
      </c>
      <c r="R29" s="321">
        <f>Q29*100000+J29*10000+K29*1000+100*L29</f>
        <v>211300</v>
      </c>
      <c r="S29" s="486">
        <f>R29+M29*0.1+IF(ISNONTEXT(B29),0,0.01)+0.0001*O29</f>
        <v>211300.0111</v>
      </c>
      <c r="T29" s="487" t="str">
        <f>Q29&amp;J29</f>
        <v>21</v>
      </c>
      <c r="U29" s="477"/>
      <c r="V29" s="477"/>
      <c r="W29" s="477"/>
      <c r="X29" s="477"/>
      <c r="Y29" s="477"/>
      <c r="Z29" s="477"/>
      <c r="AA29" s="477"/>
      <c r="AB29" s="477"/>
      <c r="AC29" s="477"/>
      <c r="AD29" s="405">
        <f t="shared" si="0"/>
        <v>274</v>
      </c>
      <c r="AE29" s="406">
        <f>IFERROR(INDEX(V!$R:$R,MATCH(AF29,V!$L:$L,0)),"")</f>
        <v>148</v>
      </c>
      <c r="AF29" s="407" t="str">
        <f t="shared" si="1"/>
        <v>Andrei Grintšak</v>
      </c>
      <c r="AG29" s="406">
        <f>IFERROR(INDEX(V!$R:$R,MATCH(AH29,V!$L:$L,0)),"")</f>
        <v>126</v>
      </c>
      <c r="AH29" s="407" t="str">
        <f t="shared" si="2"/>
        <v>Oleg Rõndenkov</v>
      </c>
      <c r="AI29" s="406" t="str">
        <f>IFERROR(INDEX(V!$R:$R,MATCH(AJ29,V!$L:$L,0)),"")</f>
        <v/>
      </c>
      <c r="AJ29" s="407" t="str">
        <f t="shared" si="3"/>
        <v/>
      </c>
      <c r="AK29" s="406" t="str">
        <f>IFERROR(INDEX(V!$R:$R,MATCH(AL29,V!$L:$L,0)),"")</f>
        <v/>
      </c>
      <c r="AL29" s="407" t="str">
        <f t="shared" si="4"/>
        <v/>
      </c>
      <c r="AM29" s="406" t="str">
        <f>IFERROR(INDEX(V!$R:$R,MATCH(AN29,V!$L:$L,0)),"")</f>
        <v/>
      </c>
      <c r="AN29" s="407" t="str">
        <f t="shared" si="5"/>
        <v/>
      </c>
      <c r="AO29" s="406" t="str">
        <f>IFERROR(INDEX(V!$R:$R,MATCH(AP29,V!$L:$L,0)),"")</f>
        <v/>
      </c>
      <c r="AP29" s="407" t="str">
        <f t="shared" si="6"/>
        <v/>
      </c>
    </row>
    <row r="30" spans="1:42" x14ac:dyDescent="0.2">
      <c r="A30" s="316">
        <v>3</v>
      </c>
      <c r="B30" s="488" t="s">
        <v>503</v>
      </c>
      <c r="C30" s="318">
        <v>5</v>
      </c>
      <c r="D30" s="492">
        <v>5</v>
      </c>
      <c r="E30" s="319"/>
      <c r="F30" s="318">
        <v>5</v>
      </c>
      <c r="G30" s="318"/>
      <c r="H30" s="317" t="str">
        <f>(IF(C30-E28&gt;0,1)+IF(D30-E29&gt;0,1)+IF(F30-E31&gt;0,1)+IF(G30-E32&gt;0,1))&amp;"-"&amp;(IF(C30-E28&lt;0,1)+IF(D30-E29&lt;0,1)+IF(F30-E31&lt;0,1)+IF(G30-E32&lt;0,1))</f>
        <v>0-3</v>
      </c>
      <c r="I30" s="318" t="str">
        <f t="shared" si="8"/>
        <v>D4</v>
      </c>
      <c r="J30" s="489">
        <f>IF(AND(Q30=1,Q28=1,C30&gt;E28),1)+IF(AND(Q30=1,Q29=1,D30&gt;E29),1)+IF(AND(Q30=1,Q31=1,F30&gt;E31),1)+IF(AND(Q30=1,Q32=1,G30&gt;E32),1)+IF(AND(Q30=2,Q28=2,C30&gt;E28),1)+IF(AND(Q30=2,Q29=2,D30&gt;E29),1)+IF(AND(Q30=2,Q31=2,F30&gt;E31),1)+IF(AND(Q30=2,Q32=2,G30&gt;E32),1)+IF(AND(Q30=3,Q28=3,C30&gt;E28),1)+IF(AND(Q30=3,Q29=3,D30&gt;E29),1)+IF(AND(Q30=3,Q31=3,F30&gt;E31),1)+IF(AND(Q30=3,Q32=3,G30&gt;E32),1)</f>
        <v>0</v>
      </c>
      <c r="K30" s="483">
        <f>SUM(AND(T30=T28,C30&gt;E28),AND(T30=T29,D30&gt;E29),AND(T30=T31,F30&gt;E31),AND(T30=T32,G30&gt;E32))</f>
        <v>0</v>
      </c>
      <c r="L30" s="490">
        <f>IF(AND(Q30=1,Q28=1),C30-E28)+IF(AND(Q30=1,Q29=1),D30-E29)+IF(AND(Q30=1,Q31=1),F30-E31)+IF(AND(Q30=1,Q32=1),G30-E32)+IF(AND(Q30=2,Q28=2),C30-E28)+IF(AND(Q30=2,Q29=2),D30-E29)+IF(AND(Q30=2,Q31=2),F30-E31)+IF(AND(Q30=2,Q32=2),G30-E32)+IF(AND(Q30=3,Q28=3),C30-E28)+IF(AND(Q30=3,Q29=3),D30-E29)+IF(AND(Q30=3,Q31=3),F30-E31)+IF(AND(Q30=3,Q32=3),G30-E32)+IF(AND(Q30=4,Q28=4),C30-E28)+IF(AND(Q30=4,Q29=4),D30-E29)+IF(AND(Q30=4,Q31=4),F30-E31)+IF(AND(Q30=4,Q32=4),G30-E32)</f>
        <v>0</v>
      </c>
      <c r="M30" s="483">
        <f>SUM(AND(R30=R28,C30&gt;E28),AND(R30=R29,D30&gt;E29),AND(R30=R31,F30&gt;E31),AND(R30=R32,G30&gt;E32))</f>
        <v>0</v>
      </c>
      <c r="N30" s="537" t="str">
        <f>SUM(C30:G30)&amp;"-"&amp;SUM(E28:E32)</f>
        <v>15-39</v>
      </c>
      <c r="O30" s="538">
        <f>C30+D30+F30+G30-E28-E29-E31-E32</f>
        <v>-24</v>
      </c>
      <c r="P30" s="485">
        <f>SUM(C30:G30,E28:E32)/SUM(E28:E32)</f>
        <v>1.3846153846153846</v>
      </c>
      <c r="Q30" s="491">
        <f>VALUE(LEFT(H30,1))</f>
        <v>0</v>
      </c>
      <c r="R30" s="321">
        <f>Q30*100000+J30*10000+K30*1000+100*L30</f>
        <v>0</v>
      </c>
      <c r="S30" s="486">
        <f>R30+M30*0.1+IF(ISNONTEXT(B30),0,0.01)+0.0001*O30</f>
        <v>7.6E-3</v>
      </c>
      <c r="T30" s="487" t="str">
        <f>Q30&amp;J30</f>
        <v>00</v>
      </c>
      <c r="V30" s="477"/>
      <c r="W30" s="477"/>
      <c r="X30" s="477"/>
      <c r="Y30" s="477"/>
      <c r="Z30" s="477"/>
      <c r="AA30" s="477"/>
      <c r="AB30" s="477"/>
      <c r="AC30" s="477"/>
      <c r="AD30" s="405">
        <f t="shared" si="0"/>
        <v>136</v>
      </c>
      <c r="AE30" s="406">
        <f>IFERROR(INDEX(V!$R:$R,MATCH(AF30,V!$L:$L,0)),"")</f>
        <v>124</v>
      </c>
      <c r="AF30" s="407" t="str">
        <f t="shared" si="1"/>
        <v>Boriss Klubov</v>
      </c>
      <c r="AG30" s="406">
        <f>IFERROR(INDEX(V!$R:$R,MATCH(AH30,V!$L:$L,0)),"")</f>
        <v>12</v>
      </c>
      <c r="AH30" s="407" t="str">
        <f t="shared" si="2"/>
        <v>Emil Murzajev</v>
      </c>
      <c r="AI30" s="406" t="str">
        <f>IFERROR(INDEX(V!$R:$R,MATCH(AJ30,V!$L:$L,0)),"")</f>
        <v/>
      </c>
      <c r="AJ30" s="407" t="str">
        <f t="shared" si="3"/>
        <v/>
      </c>
      <c r="AK30" s="406" t="str">
        <f>IFERROR(INDEX(V!$R:$R,MATCH(AL30,V!$L:$L,0)),"")</f>
        <v/>
      </c>
      <c r="AL30" s="407" t="str">
        <f t="shared" si="4"/>
        <v/>
      </c>
      <c r="AM30" s="406" t="str">
        <f>IFERROR(INDEX(V!$R:$R,MATCH(AN30,V!$L:$L,0)),"")</f>
        <v/>
      </c>
      <c r="AN30" s="407" t="str">
        <f t="shared" si="5"/>
        <v/>
      </c>
      <c r="AO30" s="406" t="str">
        <f>IFERROR(INDEX(V!$R:$R,MATCH(AP30,V!$L:$L,0)),"")</f>
        <v/>
      </c>
      <c r="AP30" s="407" t="str">
        <f t="shared" si="6"/>
        <v/>
      </c>
    </row>
    <row r="31" spans="1:42" x14ac:dyDescent="0.2">
      <c r="A31" s="316">
        <v>4</v>
      </c>
      <c r="B31" s="493" t="s">
        <v>309</v>
      </c>
      <c r="C31" s="534">
        <v>13</v>
      </c>
      <c r="D31" s="535">
        <v>7</v>
      </c>
      <c r="E31" s="318">
        <v>13</v>
      </c>
      <c r="F31" s="319"/>
      <c r="G31" s="511"/>
      <c r="H31" s="317" t="str">
        <f>(IF(C31-F28&gt;0,1)+IF(D31-F29&gt;0,1)+IF(E31-F30&gt;0,1)+IF(G31-F32&gt;0,1))&amp;"-"&amp;(IF(C31-F28&lt;0,1)+IF(D31-F29&lt;0,1)+IF(E31-F30&lt;0,1)+IF(G31-F32&lt;0,1))</f>
        <v>2-1</v>
      </c>
      <c r="I31" s="318" t="str">
        <f t="shared" si="8"/>
        <v>D3</v>
      </c>
      <c r="J31" s="489">
        <f>IF(AND(Q31=1,Q28=1,C31&gt;F28),1)+IF(AND(Q31=1,Q29=1,D31&gt;F29),1)+IF(AND(Q31=1,Q30=1,E31&gt;F30),1)+IF(AND(Q31=1,Q32=1,G31&gt;F32),1)+IF(AND(Q31=2,Q28=2,C31&gt;F28),1)+IF(AND(Q31=2,Q29=2,D31&gt;F29),1)+IF(AND(Q31=2,Q30=2,E31&gt;F30),1)+IF(AND(Q31=2,Q32=2,G31&gt;F32),1)+IF(AND(Q31=3,Q28=3,C31&gt;F28),1)+IF(AND(Q31=3,Q29=3,D31&gt;F29),1)+IF(AND(Q31=3,Q30=3,E31&gt;F30),1)+IF(AND(Q31=3,Q32=3,G31&gt;F32),1)</f>
        <v>1</v>
      </c>
      <c r="K31" s="483">
        <f>SUM(AND(T31=T28,C31&gt;F28),AND(T31=T29,D31&gt;F29),AND(T31=T30,E31&gt;F30),AND(T31=T32,G31&gt;F32))</f>
        <v>1</v>
      </c>
      <c r="L31" s="490">
        <f>IF(AND(Q31=1,Q28=1),C31-F28)+IF(AND(Q31=1,Q29=1),D31-F29)+IF(AND(Q31=1,Q30=1),E31-F30)+IF(AND(Q31=1,Q32=1),G31-F32)+IF(AND(Q31=2,Q28=2),C31-F28)+IF(AND(Q31=2,Q29=2),D31-F29)+IF(AND(Q31=2,Q30=2),E31-F30)+IF(AND(Q31=2,Q32=2),G31-F32)+IF(AND(Q31=3,Q28=3),C31-F28)+IF(AND(Q31=3,Q29=3),D31-F29)+IF(AND(Q31=3,Q30=3),E31-F30)+IF(AND(Q31=3,Q32=3),G31-F32)+IF(AND(Q31=4,Q28=4),C31-F28)+IF(AND(Q31=4,Q29=4),D31-F29)+IF(AND(Q31=4,Q30=4),E31-F30)+IF(AND(Q31=4,Q32=4),G31-F32)</f>
        <v>-2</v>
      </c>
      <c r="M31" s="483">
        <f>SUM(AND(R31=R28,C31&gt;F28),AND(R31=R29,D31&gt;F29),AND(R31=R30,E31&gt;F30),AND(R31=R32,G31&gt;F32))</f>
        <v>0</v>
      </c>
      <c r="N31" s="537" t="str">
        <f>SUM(C31:G31)&amp;"-"&amp;SUM(F28:F32)</f>
        <v>33-27</v>
      </c>
      <c r="O31" s="538">
        <f>C31+D31+E31+G31-F28-F29-F30-F32</f>
        <v>6</v>
      </c>
      <c r="P31" s="485">
        <f>SUM(C31:G31,F28:F32)/SUM(F28:F32)</f>
        <v>2.2222222222222223</v>
      </c>
      <c r="Q31" s="491">
        <f>VALUE(LEFT(H31,1))</f>
        <v>2</v>
      </c>
      <c r="R31" s="321">
        <f>Q31*100000+J31*10000+K31*1000+100*L31</f>
        <v>210800</v>
      </c>
      <c r="S31" s="486">
        <f>R31+M31*0.1+IF(ISNONTEXT(B31),0,0.01)+0.0001*O31</f>
        <v>210800.01060000001</v>
      </c>
      <c r="T31" s="487" t="str">
        <f>Q31&amp;J31</f>
        <v>21</v>
      </c>
      <c r="U31" s="477"/>
      <c r="V31" s="477"/>
      <c r="W31" s="477"/>
      <c r="X31" s="477"/>
      <c r="Y31" s="477"/>
      <c r="Z31" s="477"/>
      <c r="AA31" s="477"/>
      <c r="AB31" s="477"/>
      <c r="AC31" s="477"/>
      <c r="AD31" s="405">
        <f t="shared" si="0"/>
        <v>224</v>
      </c>
      <c r="AE31" s="406">
        <f>IFERROR(INDEX(V!$R:$R,MATCH(AF31,V!$L:$L,0)),"")</f>
        <v>112</v>
      </c>
      <c r="AF31" s="407" t="str">
        <f t="shared" si="1"/>
        <v>Ljudmila Varendi</v>
      </c>
      <c r="AG31" s="406">
        <f>IFERROR(INDEX(V!$R:$R,MATCH(AH31,V!$L:$L,0)),"")</f>
        <v>112</v>
      </c>
      <c r="AH31" s="407" t="str">
        <f t="shared" si="2"/>
        <v>Viktor Švarõgin</v>
      </c>
      <c r="AI31" s="406" t="str">
        <f>IFERROR(INDEX(V!$R:$R,MATCH(AJ31,V!$L:$L,0)),"")</f>
        <v/>
      </c>
      <c r="AJ31" s="407" t="str">
        <f t="shared" si="3"/>
        <v/>
      </c>
      <c r="AK31" s="406" t="str">
        <f>IFERROR(INDEX(V!$R:$R,MATCH(AL31,V!$L:$L,0)),"")</f>
        <v/>
      </c>
      <c r="AL31" s="407" t="str">
        <f t="shared" si="4"/>
        <v/>
      </c>
      <c r="AM31" s="406" t="str">
        <f>IFERROR(INDEX(V!$R:$R,MATCH(AN31,V!$L:$L,0)),"")</f>
        <v/>
      </c>
      <c r="AN31" s="407" t="str">
        <f t="shared" si="5"/>
        <v/>
      </c>
      <c r="AO31" s="406" t="str">
        <f>IFERROR(INDEX(V!$R:$R,MATCH(AP31,V!$L:$L,0)),"")</f>
        <v/>
      </c>
      <c r="AP31" s="407" t="str">
        <f t="shared" si="6"/>
        <v/>
      </c>
    </row>
    <row r="32" spans="1:42" hidden="1" x14ac:dyDescent="0.2">
      <c r="A32" s="316">
        <v>5</v>
      </c>
      <c r="B32" s="493"/>
      <c r="C32" s="318"/>
      <c r="D32" s="318"/>
      <c r="E32" s="318"/>
      <c r="F32" s="318"/>
      <c r="G32" s="319"/>
      <c r="H32" s="317" t="str">
        <f>(IF(C32-G28&gt;0,1)+IF(D32-G29&gt;0,1)+IF(E32-G30&gt;0,1)+IF(F32-G31&gt;0,1))&amp;"-"&amp;(IF(C32-G28&lt;0,1)+IF(D32-G29&lt;0,1)+IF(E32-G30&lt;0,1)+IF(F32-G31&lt;0,1))</f>
        <v>0-0</v>
      </c>
      <c r="I32" s="318" t="str">
        <f t="shared" si="8"/>
        <v xml:space="preserve"> </v>
      </c>
      <c r="J32" s="489">
        <f>IF(AND(Q32=1,Q28=1,C32&gt;G28),1)+IF(AND(Q32=1,Q29=1,D32&gt;G29),1)+IF(AND(Q32=1,Q30=1,E32&gt;G30),1)+IF(AND(Q32=1,Q31=1,F32&gt;G31),1)+IF(AND(Q32=2,Q28=2,C32&gt;G28),1)+IF(AND(Q32=2,Q29=2,D32&gt;G29),1)+IF(AND(Q32=2,Q30=2,E32&gt;G30),1)+IF(AND(Q32=2,Q31=2,F32&gt;G31),1)+IF(AND(Q32=3,Q28=3,C32&gt;G28),1)+IF(AND(Q32=3,Q29=3,D32&gt;G29),1)+IF(AND(Q32=3,Q30=3,E32&gt;G30),1)+IF(AND(Q32=3,Q31=3,F32&gt;G31),1)</f>
        <v>0</v>
      </c>
      <c r="K32" s="483">
        <f>SUM(AND(T32=T28,C32&gt;G28),AND(T32=T29,D32&gt;G29),AND(T32=T30,E32&gt;G30),AND(T32=T31,F32&gt;G31))</f>
        <v>0</v>
      </c>
      <c r="L32" s="490">
        <f>IF(AND(Q32=1,Q28=1),C32-G28)+IF(AND(Q32=1,Q29=1),D32-G29)+IF(AND(Q32=1,Q30=1),E32-G30)+IF(AND(Q32=1,Q31=1),F32-G31)+IF(AND(Q32=2,Q28=2),C32-G28)+IF(AND(Q32=2,Q29=2),D32-G29)+IF(AND(Q32=2,Q30=2),E32-G30)+IF(AND(Q32=2,Q31=2),F32-G31)+IF(AND(Q32=3,Q28=3),C32-G28)+IF(AND(Q32=3,Q29=3),D32-G29)+IF(AND(Q32=3,Q30=3),E32-G30)+IF(AND(Q32=3,Q31=3),F32-G31)+IF(AND(Q32=4,Q28=4),C32-G28)+IF(AND(Q32=4,Q29=4),D32-G29)+IF(AND(Q32=4,Q30=4),E32-G30)+IF(AND(Q32=4,Q31=4),F32-G31)</f>
        <v>0</v>
      </c>
      <c r="M32" s="483">
        <f>SUM(AND(R32=R28,C32&gt;G28),AND(R32=R29,D32&gt;G29),AND(R32=R30,E32&gt;G30),AND(R32=R31,F32&gt;G31))</f>
        <v>0</v>
      </c>
      <c r="N32" s="537" t="str">
        <f>SUM(C32:G32)&amp;"-"&amp;SUM(G28:G32)</f>
        <v>0-0</v>
      </c>
      <c r="O32" s="538">
        <f>C32+D32+E32+F32-G28-G29-G30-G31</f>
        <v>0</v>
      </c>
      <c r="P32" s="485" t="e">
        <f>SUM(C32:G32,G28:G32)/SUM(G28:G32)</f>
        <v>#DIV/0!</v>
      </c>
      <c r="Q32" s="491">
        <f>VALUE(LEFT(H32,1))</f>
        <v>0</v>
      </c>
      <c r="R32" s="321">
        <f>Q32*100000+J32*10000+K32*1000+100*L32</f>
        <v>0</v>
      </c>
      <c r="S32" s="486">
        <f>R32+M32*0.1+IF(ISNONTEXT(B32),0,0.01)+0.0001*O32</f>
        <v>0</v>
      </c>
      <c r="T32" s="487" t="str">
        <f>Q32&amp;J32</f>
        <v>00</v>
      </c>
      <c r="U32" s="477"/>
      <c r="V32" s="477"/>
      <c r="W32" s="477"/>
      <c r="X32" s="477"/>
      <c r="Y32" s="477"/>
      <c r="Z32" s="477"/>
      <c r="AA32" s="477"/>
      <c r="AB32" s="477"/>
      <c r="AC32" s="477"/>
      <c r="AH32" s="407" t="str">
        <f t="shared" si="2"/>
        <v/>
      </c>
    </row>
    <row r="33" spans="1:34" hidden="1" x14ac:dyDescent="0.2">
      <c r="A33" s="494"/>
      <c r="B33" s="519"/>
      <c r="C33" s="499"/>
      <c r="D33" s="499"/>
      <c r="E33" s="499"/>
      <c r="F33" s="496"/>
      <c r="G33" s="499"/>
      <c r="H33" s="520"/>
      <c r="I33" s="521"/>
      <c r="J33" s="477"/>
      <c r="K33" s="477"/>
      <c r="L33" s="477"/>
      <c r="M33" s="477"/>
      <c r="N33" s="539"/>
      <c r="O33" s="539"/>
      <c r="P33" s="477"/>
      <c r="Q33" s="477"/>
      <c r="R33" s="502" t="s">
        <v>264</v>
      </c>
      <c r="S33" s="477"/>
      <c r="T33" s="477"/>
      <c r="U33" s="477"/>
      <c r="V33" s="477"/>
      <c r="W33" s="477"/>
      <c r="X33" s="477"/>
      <c r="Y33" s="477"/>
      <c r="Z33" s="477"/>
      <c r="AA33" s="477"/>
      <c r="AB33" s="477"/>
      <c r="AC33" s="477"/>
      <c r="AH33" s="407" t="str">
        <f t="shared" si="2"/>
        <v/>
      </c>
    </row>
    <row r="34" spans="1:34" hidden="1" x14ac:dyDescent="0.2">
      <c r="A34" s="477"/>
      <c r="B34" s="477"/>
      <c r="C34" s="477"/>
      <c r="D34" s="477"/>
      <c r="E34" s="477"/>
      <c r="F34" s="477"/>
      <c r="G34" s="477"/>
      <c r="H34" s="477"/>
      <c r="I34" s="477"/>
      <c r="J34" s="477"/>
      <c r="K34" s="477"/>
      <c r="L34" s="477"/>
      <c r="M34" s="477"/>
      <c r="N34" s="477"/>
      <c r="O34" s="477"/>
      <c r="P34" s="477"/>
      <c r="Q34" s="477"/>
      <c r="R34" s="477"/>
      <c r="S34" s="477"/>
      <c r="T34" s="477"/>
      <c r="U34" s="477"/>
      <c r="V34" s="477"/>
      <c r="W34" s="477"/>
      <c r="X34" s="477"/>
      <c r="Y34" s="477"/>
      <c r="Z34" s="477"/>
      <c r="AA34" s="477"/>
      <c r="AB34" s="477"/>
      <c r="AC34" s="477"/>
      <c r="AH34" s="407" t="str">
        <f t="shared" si="2"/>
        <v/>
      </c>
    </row>
    <row r="35" spans="1:34" hidden="1" x14ac:dyDescent="0.2">
      <c r="A35" s="477"/>
      <c r="B35" s="477"/>
      <c r="C35" s="477"/>
      <c r="D35" s="477"/>
      <c r="E35" s="477"/>
      <c r="F35" s="477"/>
      <c r="G35" s="477"/>
      <c r="H35" s="477"/>
      <c r="I35" s="477"/>
      <c r="J35" s="477"/>
      <c r="K35" s="477"/>
      <c r="L35" s="477"/>
      <c r="M35" s="477"/>
      <c r="N35" s="477"/>
      <c r="O35" s="477"/>
      <c r="P35" s="477"/>
      <c r="Q35" s="477"/>
      <c r="R35" s="477"/>
      <c r="S35" s="477"/>
      <c r="T35" s="477"/>
      <c r="U35" s="477"/>
      <c r="V35" s="477"/>
      <c r="W35" s="477"/>
      <c r="X35" s="477"/>
      <c r="Y35" s="477"/>
      <c r="Z35" s="477"/>
      <c r="AA35" s="477"/>
      <c r="AB35" s="477"/>
      <c r="AC35" s="477"/>
      <c r="AH35" s="407" t="str">
        <f t="shared" si="2"/>
        <v/>
      </c>
    </row>
    <row r="36" spans="1:34" hidden="1" x14ac:dyDescent="0.2">
      <c r="A36" s="477"/>
      <c r="B36" s="477"/>
      <c r="C36" s="477"/>
      <c r="D36" s="477"/>
      <c r="E36" s="477"/>
      <c r="F36" s="477"/>
      <c r="G36" s="477"/>
      <c r="H36" s="477"/>
      <c r="I36" s="477"/>
      <c r="J36" s="477"/>
      <c r="K36" s="477"/>
      <c r="L36" s="477"/>
      <c r="M36" s="477"/>
      <c r="N36" s="477"/>
      <c r="O36" s="477"/>
      <c r="P36" s="477"/>
      <c r="Q36" s="477"/>
      <c r="R36" s="477"/>
      <c r="S36" s="477"/>
      <c r="T36" s="477"/>
      <c r="U36" s="477"/>
      <c r="V36" s="477"/>
      <c r="W36" s="477"/>
      <c r="X36" s="477"/>
      <c r="Y36" s="477"/>
      <c r="Z36" s="477"/>
      <c r="AA36" s="477"/>
      <c r="AB36" s="477"/>
      <c r="AC36" s="477"/>
      <c r="AH36" s="407" t="str">
        <f t="shared" si="2"/>
        <v/>
      </c>
    </row>
    <row r="37" spans="1:34" hidden="1" x14ac:dyDescent="0.2">
      <c r="A37" s="477"/>
      <c r="B37" s="477"/>
      <c r="C37" s="477"/>
      <c r="D37" s="477"/>
      <c r="E37" s="477"/>
      <c r="F37" s="477"/>
      <c r="G37" s="477"/>
      <c r="H37" s="477"/>
      <c r="I37" s="477"/>
      <c r="J37" s="477"/>
      <c r="K37" s="477"/>
      <c r="L37" s="477"/>
      <c r="M37" s="477"/>
      <c r="N37" s="477"/>
      <c r="O37" s="477"/>
      <c r="P37" s="477"/>
      <c r="Q37" s="477"/>
      <c r="R37" s="477"/>
      <c r="S37" s="477"/>
      <c r="T37" s="477"/>
      <c r="U37" s="477"/>
      <c r="V37" s="477"/>
      <c r="W37" s="477"/>
      <c r="X37" s="477"/>
      <c r="Y37" s="477"/>
      <c r="Z37" s="477"/>
      <c r="AA37" s="477"/>
      <c r="AB37" s="477"/>
      <c r="AC37" s="477"/>
      <c r="AH37" s="407" t="str">
        <f t="shared" si="2"/>
        <v/>
      </c>
    </row>
    <row r="38" spans="1:34" hidden="1" x14ac:dyDescent="0.2">
      <c r="A38" s="477"/>
      <c r="B38" s="477"/>
      <c r="C38" s="477"/>
      <c r="D38" s="477"/>
      <c r="E38" s="477"/>
      <c r="F38" s="477"/>
      <c r="G38" s="477"/>
      <c r="H38" s="477"/>
      <c r="I38" s="477"/>
      <c r="J38" s="477"/>
      <c r="K38" s="477"/>
      <c r="L38" s="477"/>
      <c r="M38" s="477"/>
      <c r="N38" s="477"/>
      <c r="O38" s="477"/>
      <c r="P38" s="477"/>
      <c r="Q38" s="477"/>
      <c r="R38" s="477"/>
      <c r="S38" s="477"/>
      <c r="T38" s="477"/>
      <c r="U38" s="477"/>
      <c r="V38" s="477"/>
      <c r="W38" s="477"/>
      <c r="X38" s="477"/>
      <c r="Y38" s="477"/>
      <c r="Z38" s="477"/>
      <c r="AA38" s="477"/>
      <c r="AB38" s="477"/>
      <c r="AC38" s="477"/>
      <c r="AH38" s="407" t="str">
        <f t="shared" si="2"/>
        <v/>
      </c>
    </row>
    <row r="39" spans="1:34" hidden="1" x14ac:dyDescent="0.2">
      <c r="A39" s="477"/>
      <c r="B39" s="477"/>
      <c r="C39" s="477"/>
      <c r="D39" s="477"/>
      <c r="E39" s="477"/>
      <c r="F39" s="477"/>
      <c r="G39" s="477"/>
      <c r="H39" s="477"/>
      <c r="I39" s="477"/>
      <c r="J39" s="477"/>
      <c r="K39" s="477"/>
      <c r="L39" s="477"/>
      <c r="M39" s="477"/>
      <c r="N39" s="477"/>
      <c r="O39" s="477"/>
      <c r="P39" s="477"/>
      <c r="Q39" s="477"/>
      <c r="R39" s="477"/>
      <c r="S39" s="477"/>
      <c r="T39" s="477"/>
      <c r="U39" s="477"/>
      <c r="V39" s="477"/>
      <c r="W39" s="477"/>
      <c r="X39" s="477"/>
      <c r="Y39" s="477"/>
      <c r="Z39" s="477"/>
      <c r="AA39" s="477"/>
      <c r="AB39" s="477"/>
      <c r="AC39" s="477"/>
      <c r="AH39" s="407" t="str">
        <f t="shared" si="2"/>
        <v/>
      </c>
    </row>
    <row r="40" spans="1:34" hidden="1" x14ac:dyDescent="0.2">
      <c r="A40" s="477"/>
      <c r="B40" s="477"/>
      <c r="C40" s="477"/>
      <c r="D40" s="477"/>
      <c r="E40" s="477"/>
      <c r="F40" s="477"/>
      <c r="G40" s="477"/>
      <c r="H40" s="477"/>
      <c r="I40" s="477"/>
      <c r="J40" s="477"/>
      <c r="K40" s="477"/>
      <c r="L40" s="477"/>
      <c r="M40" s="477"/>
      <c r="N40" s="477"/>
      <c r="O40" s="477"/>
      <c r="P40" s="477"/>
      <c r="Q40" s="477"/>
      <c r="R40" s="477"/>
      <c r="S40" s="477"/>
      <c r="T40" s="477"/>
      <c r="U40" s="477"/>
      <c r="V40" s="477"/>
      <c r="W40" s="477"/>
      <c r="X40" s="477"/>
      <c r="Y40" s="477"/>
      <c r="Z40" s="477"/>
      <c r="AA40" s="477"/>
      <c r="AB40" s="477"/>
      <c r="AC40" s="477"/>
      <c r="AH40" s="407" t="str">
        <f t="shared" si="2"/>
        <v/>
      </c>
    </row>
    <row r="41" spans="1:34" hidden="1" x14ac:dyDescent="0.2">
      <c r="A41" s="477"/>
      <c r="B41" s="477"/>
      <c r="C41" s="477"/>
      <c r="D41" s="477"/>
      <c r="E41" s="477"/>
      <c r="F41" s="477"/>
      <c r="G41" s="477"/>
      <c r="H41" s="477"/>
      <c r="I41" s="477"/>
      <c r="J41" s="477"/>
      <c r="K41" s="477"/>
      <c r="L41" s="477"/>
      <c r="M41" s="477"/>
      <c r="N41" s="477"/>
      <c r="O41" s="477"/>
      <c r="P41" s="477"/>
      <c r="Q41" s="477"/>
      <c r="R41" s="477"/>
      <c r="S41" s="477"/>
      <c r="T41" s="477"/>
      <c r="U41" s="477"/>
      <c r="V41" s="477"/>
      <c r="W41" s="477"/>
      <c r="X41" s="477"/>
      <c r="Y41" s="477"/>
      <c r="Z41" s="477"/>
      <c r="AA41" s="477"/>
      <c r="AB41" s="477"/>
      <c r="AC41" s="477"/>
      <c r="AH41" s="407" t="str">
        <f t="shared" si="2"/>
        <v/>
      </c>
    </row>
    <row r="42" spans="1:34" hidden="1" x14ac:dyDescent="0.2">
      <c r="A42" s="477"/>
      <c r="B42" s="477"/>
      <c r="C42" s="477"/>
      <c r="D42" s="477"/>
      <c r="E42" s="477"/>
      <c r="F42" s="477"/>
      <c r="G42" s="477"/>
      <c r="H42" s="477"/>
      <c r="I42" s="477"/>
      <c r="J42" s="477"/>
      <c r="K42" s="477"/>
      <c r="L42" s="477"/>
      <c r="M42" s="477"/>
      <c r="N42" s="477"/>
      <c r="O42" s="477"/>
      <c r="P42" s="477"/>
      <c r="Q42" s="477"/>
      <c r="R42" s="477"/>
      <c r="S42" s="477"/>
      <c r="T42" s="477"/>
      <c r="U42" s="477"/>
      <c r="V42" s="477"/>
      <c r="W42" s="477"/>
      <c r="X42" s="477"/>
      <c r="Y42" s="477"/>
      <c r="Z42" s="477"/>
      <c r="AA42" s="477"/>
      <c r="AB42" s="477"/>
      <c r="AC42" s="477"/>
      <c r="AH42" s="407" t="str">
        <f t="shared" si="2"/>
        <v/>
      </c>
    </row>
    <row r="43" spans="1:34" hidden="1" x14ac:dyDescent="0.2">
      <c r="A43" s="477"/>
      <c r="B43" s="477"/>
      <c r="C43" s="477"/>
      <c r="D43" s="477"/>
      <c r="E43" s="477"/>
      <c r="F43" s="477"/>
      <c r="G43" s="477"/>
      <c r="H43" s="477"/>
      <c r="I43" s="477"/>
      <c r="J43" s="477"/>
      <c r="K43" s="477"/>
      <c r="L43" s="477"/>
      <c r="M43" s="477"/>
      <c r="N43" s="477"/>
      <c r="O43" s="477"/>
      <c r="P43" s="477"/>
      <c r="Q43" s="477"/>
      <c r="R43" s="477"/>
      <c r="S43" s="477"/>
      <c r="T43" s="477"/>
      <c r="U43" s="477"/>
      <c r="V43" s="477"/>
      <c r="W43" s="477"/>
      <c r="X43" s="477"/>
      <c r="Y43" s="477"/>
      <c r="Z43" s="477"/>
      <c r="AA43" s="477"/>
      <c r="AB43" s="477"/>
      <c r="AC43" s="477"/>
      <c r="AH43" s="407" t="str">
        <f t="shared" si="2"/>
        <v/>
      </c>
    </row>
    <row r="44" spans="1:34" hidden="1" x14ac:dyDescent="0.2">
      <c r="A44" s="477"/>
      <c r="B44" s="477"/>
      <c r="C44" s="477"/>
      <c r="D44" s="477"/>
      <c r="E44" s="477"/>
      <c r="F44" s="477"/>
      <c r="G44" s="477"/>
      <c r="H44" s="477"/>
      <c r="I44" s="477"/>
      <c r="J44" s="477"/>
      <c r="K44" s="477"/>
      <c r="L44" s="477"/>
      <c r="M44" s="477"/>
      <c r="N44" s="477"/>
      <c r="O44" s="477"/>
      <c r="P44" s="477"/>
      <c r="Q44" s="477"/>
      <c r="R44" s="477"/>
      <c r="S44" s="477"/>
      <c r="T44" s="477"/>
      <c r="U44" s="477"/>
      <c r="V44" s="477"/>
      <c r="W44" s="477"/>
      <c r="X44" s="477"/>
      <c r="Y44" s="477"/>
      <c r="Z44" s="477"/>
      <c r="AA44" s="477"/>
      <c r="AB44" s="477"/>
      <c r="AC44" s="477"/>
      <c r="AH44" s="407" t="str">
        <f t="shared" si="2"/>
        <v/>
      </c>
    </row>
    <row r="45" spans="1:34" hidden="1" x14ac:dyDescent="0.2">
      <c r="A45" s="477"/>
      <c r="B45" s="477"/>
      <c r="C45" s="477"/>
      <c r="D45" s="477"/>
      <c r="E45" s="477"/>
      <c r="F45" s="477"/>
      <c r="G45" s="477"/>
      <c r="H45" s="477"/>
      <c r="I45" s="477"/>
      <c r="J45" s="477"/>
      <c r="K45" s="477"/>
      <c r="L45" s="477"/>
      <c r="M45" s="477"/>
      <c r="N45" s="477"/>
      <c r="O45" s="477"/>
      <c r="P45" s="477"/>
      <c r="Q45" s="477"/>
      <c r="R45" s="477"/>
      <c r="S45" s="477"/>
      <c r="T45" s="477"/>
      <c r="U45" s="477"/>
      <c r="V45" s="477"/>
      <c r="W45" s="477"/>
      <c r="X45" s="477"/>
      <c r="Y45" s="477"/>
      <c r="Z45" s="477"/>
      <c r="AA45" s="477"/>
      <c r="AB45" s="477"/>
      <c r="AC45" s="477"/>
      <c r="AH45" s="407" t="str">
        <f t="shared" si="2"/>
        <v/>
      </c>
    </row>
    <row r="46" spans="1:34" hidden="1" x14ac:dyDescent="0.2">
      <c r="A46" s="477"/>
      <c r="B46" s="477"/>
      <c r="C46" s="477"/>
      <c r="D46" s="477"/>
      <c r="E46" s="477"/>
      <c r="F46" s="477"/>
      <c r="G46" s="477"/>
      <c r="H46" s="477"/>
      <c r="I46" s="477"/>
      <c r="J46" s="477"/>
      <c r="K46" s="477"/>
      <c r="L46" s="477"/>
      <c r="M46" s="477"/>
      <c r="N46" s="477"/>
      <c r="O46" s="477"/>
      <c r="P46" s="477"/>
      <c r="Q46" s="477"/>
      <c r="R46" s="477"/>
      <c r="S46" s="477"/>
      <c r="T46" s="477"/>
      <c r="U46" s="477"/>
      <c r="V46" s="477"/>
      <c r="W46" s="477"/>
      <c r="X46" s="477"/>
      <c r="Y46" s="477"/>
      <c r="Z46" s="477"/>
      <c r="AA46" s="477"/>
      <c r="AB46" s="477"/>
      <c r="AC46" s="477"/>
      <c r="AH46" s="407" t="str">
        <f t="shared" si="2"/>
        <v/>
      </c>
    </row>
    <row r="47" spans="1:34" hidden="1" x14ac:dyDescent="0.2">
      <c r="A47" s="477"/>
      <c r="B47" s="477"/>
      <c r="C47" s="477"/>
      <c r="D47" s="477"/>
      <c r="E47" s="477"/>
      <c r="F47" s="477"/>
      <c r="G47" s="477"/>
      <c r="H47" s="477"/>
      <c r="I47" s="477"/>
      <c r="J47" s="477"/>
      <c r="K47" s="477"/>
      <c r="L47" s="477"/>
      <c r="M47" s="477"/>
      <c r="N47" s="477"/>
      <c r="O47" s="477"/>
      <c r="P47" s="477"/>
      <c r="Q47" s="477"/>
      <c r="R47" s="477"/>
      <c r="S47" s="477"/>
      <c r="T47" s="477"/>
      <c r="U47" s="477"/>
      <c r="V47" s="477"/>
      <c r="W47" s="477"/>
      <c r="X47" s="477"/>
      <c r="Y47" s="477"/>
      <c r="Z47" s="477"/>
      <c r="AA47" s="477"/>
      <c r="AB47" s="477"/>
      <c r="AC47" s="477"/>
      <c r="AH47" s="407" t="str">
        <f t="shared" si="2"/>
        <v/>
      </c>
    </row>
    <row r="48" spans="1:34" hidden="1" x14ac:dyDescent="0.2">
      <c r="A48" s="477"/>
      <c r="B48" s="477"/>
      <c r="C48" s="477"/>
      <c r="D48" s="477"/>
      <c r="E48" s="477"/>
      <c r="F48" s="477"/>
      <c r="G48" s="477"/>
      <c r="H48" s="477"/>
      <c r="I48" s="477"/>
      <c r="J48" s="477"/>
      <c r="K48" s="477"/>
      <c r="L48" s="477"/>
      <c r="M48" s="477"/>
      <c r="N48" s="477"/>
      <c r="O48" s="477"/>
      <c r="P48" s="477"/>
      <c r="Q48" s="477"/>
      <c r="R48" s="477"/>
      <c r="S48" s="477"/>
      <c r="T48" s="477"/>
      <c r="U48" s="477"/>
      <c r="V48" s="477"/>
      <c r="W48" s="477"/>
      <c r="X48" s="477"/>
      <c r="Y48" s="477"/>
      <c r="Z48" s="477"/>
      <c r="AA48" s="477"/>
      <c r="AB48" s="477"/>
      <c r="AC48" s="477"/>
      <c r="AH48" s="407" t="str">
        <f t="shared" si="2"/>
        <v/>
      </c>
    </row>
    <row r="49" spans="1:34" hidden="1" x14ac:dyDescent="0.2">
      <c r="A49" s="477"/>
      <c r="B49" s="477"/>
      <c r="C49" s="477"/>
      <c r="D49" s="477"/>
      <c r="E49" s="477"/>
      <c r="F49" s="477"/>
      <c r="G49" s="477"/>
      <c r="H49" s="477"/>
      <c r="I49" s="477"/>
      <c r="J49" s="477"/>
      <c r="K49" s="477"/>
      <c r="L49" s="477"/>
      <c r="M49" s="477"/>
      <c r="N49" s="477"/>
      <c r="O49" s="477"/>
      <c r="P49" s="477"/>
      <c r="Q49" s="477"/>
      <c r="R49" s="477"/>
      <c r="S49" s="477"/>
      <c r="T49" s="477"/>
      <c r="U49" s="477"/>
      <c r="V49" s="477"/>
      <c r="W49" s="477"/>
      <c r="X49" s="477"/>
      <c r="Y49" s="477"/>
      <c r="Z49" s="477"/>
      <c r="AA49" s="477"/>
      <c r="AB49" s="477"/>
      <c r="AC49" s="477"/>
      <c r="AH49" s="407" t="str">
        <f t="shared" si="2"/>
        <v/>
      </c>
    </row>
    <row r="50" spans="1:34" hidden="1" x14ac:dyDescent="0.2">
      <c r="A50" s="477"/>
      <c r="B50" s="477"/>
      <c r="C50" s="477"/>
      <c r="D50" s="477"/>
      <c r="E50" s="477"/>
      <c r="F50" s="477"/>
      <c r="G50" s="477"/>
      <c r="H50" s="477"/>
      <c r="I50" s="477"/>
      <c r="J50" s="477"/>
      <c r="K50" s="477"/>
      <c r="L50" s="477"/>
      <c r="M50" s="477"/>
      <c r="N50" s="477"/>
      <c r="O50" s="477"/>
      <c r="P50" s="477"/>
      <c r="Q50" s="477"/>
      <c r="R50" s="477"/>
      <c r="S50" s="477"/>
      <c r="T50" s="477"/>
      <c r="U50" s="477"/>
      <c r="V50" s="477"/>
      <c r="W50" s="477"/>
      <c r="X50" s="477"/>
      <c r="Y50" s="477"/>
      <c r="Z50" s="477"/>
      <c r="AA50" s="477"/>
      <c r="AB50" s="477"/>
      <c r="AC50" s="477"/>
      <c r="AH50" s="407" t="str">
        <f t="shared" si="2"/>
        <v/>
      </c>
    </row>
    <row r="51" spans="1:34" hidden="1" x14ac:dyDescent="0.2">
      <c r="A51" s="477"/>
      <c r="B51" s="477"/>
      <c r="C51" s="477"/>
      <c r="D51" s="477"/>
      <c r="E51" s="477"/>
      <c r="F51" s="477"/>
      <c r="G51" s="477"/>
      <c r="H51" s="477"/>
      <c r="I51" s="477"/>
      <c r="J51" s="477"/>
      <c r="K51" s="477"/>
      <c r="L51" s="477"/>
      <c r="M51" s="477"/>
      <c r="N51" s="477"/>
      <c r="O51" s="477"/>
      <c r="P51" s="477"/>
      <c r="Q51" s="477"/>
      <c r="R51" s="477"/>
      <c r="S51" s="477"/>
      <c r="T51" s="477"/>
      <c r="U51" s="477"/>
      <c r="V51" s="477"/>
      <c r="W51" s="477"/>
      <c r="X51" s="477"/>
      <c r="Y51" s="477"/>
      <c r="Z51" s="477"/>
      <c r="AA51" s="477"/>
      <c r="AB51" s="477"/>
      <c r="AC51" s="477"/>
      <c r="AH51" s="407" t="str">
        <f t="shared" si="2"/>
        <v/>
      </c>
    </row>
    <row r="52" spans="1:34" hidden="1" x14ac:dyDescent="0.2">
      <c r="A52" s="477"/>
      <c r="B52" s="477"/>
      <c r="C52" s="477"/>
      <c r="D52" s="477"/>
      <c r="E52" s="477"/>
      <c r="F52" s="477"/>
      <c r="G52" s="477"/>
      <c r="H52" s="477"/>
      <c r="I52" s="477"/>
      <c r="J52" s="477"/>
      <c r="K52" s="477"/>
      <c r="L52" s="477"/>
      <c r="M52" s="477"/>
      <c r="N52" s="477"/>
      <c r="O52" s="477"/>
      <c r="P52" s="477"/>
      <c r="Q52" s="477"/>
      <c r="R52" s="477"/>
      <c r="S52" s="477"/>
      <c r="T52" s="477"/>
      <c r="U52" s="477"/>
      <c r="V52" s="477"/>
      <c r="W52" s="477"/>
      <c r="X52" s="477"/>
      <c r="Y52" s="477"/>
      <c r="Z52" s="477"/>
      <c r="AA52" s="477"/>
      <c r="AB52" s="477"/>
      <c r="AC52" s="477"/>
      <c r="AH52" s="407" t="str">
        <f t="shared" si="2"/>
        <v/>
      </c>
    </row>
    <row r="53" spans="1:34" hidden="1" x14ac:dyDescent="0.2">
      <c r="A53" s="477"/>
      <c r="B53" s="477"/>
      <c r="C53" s="477"/>
      <c r="D53" s="477"/>
      <c r="E53" s="477"/>
      <c r="F53" s="477"/>
      <c r="G53" s="477"/>
      <c r="H53" s="477"/>
      <c r="I53" s="477"/>
      <c r="J53" s="477"/>
      <c r="K53" s="477"/>
      <c r="L53" s="477"/>
      <c r="M53" s="477"/>
      <c r="N53" s="477"/>
      <c r="O53" s="477"/>
      <c r="P53" s="477"/>
      <c r="Q53" s="477"/>
      <c r="R53" s="477"/>
      <c r="S53" s="477"/>
      <c r="T53" s="477"/>
      <c r="U53" s="477"/>
      <c r="V53" s="477"/>
      <c r="W53" s="477"/>
      <c r="X53" s="477"/>
      <c r="Y53" s="477"/>
      <c r="Z53" s="477"/>
      <c r="AA53" s="477"/>
      <c r="AB53" s="477"/>
      <c r="AC53" s="477"/>
      <c r="AH53" s="407" t="str">
        <f t="shared" si="2"/>
        <v/>
      </c>
    </row>
    <row r="54" spans="1:34" hidden="1" x14ac:dyDescent="0.2">
      <c r="A54" s="477"/>
      <c r="B54" s="477"/>
      <c r="C54" s="477"/>
      <c r="D54" s="477"/>
      <c r="E54" s="477"/>
      <c r="F54" s="477"/>
      <c r="G54" s="477"/>
      <c r="H54" s="477"/>
      <c r="I54" s="477"/>
      <c r="J54" s="477"/>
      <c r="K54" s="477"/>
      <c r="L54" s="477"/>
      <c r="M54" s="477"/>
      <c r="N54" s="477"/>
      <c r="O54" s="477"/>
      <c r="P54" s="477"/>
      <c r="Q54" s="477"/>
      <c r="R54" s="477"/>
      <c r="S54" s="477"/>
      <c r="T54" s="477"/>
      <c r="U54" s="477"/>
      <c r="V54" s="477"/>
      <c r="W54" s="477"/>
      <c r="X54" s="477"/>
      <c r="Y54" s="477"/>
      <c r="Z54" s="477"/>
      <c r="AA54" s="477"/>
      <c r="AB54" s="477"/>
      <c r="AC54" s="477"/>
      <c r="AH54" s="407" t="str">
        <f t="shared" si="2"/>
        <v/>
      </c>
    </row>
    <row r="55" spans="1:34" hidden="1" x14ac:dyDescent="0.2">
      <c r="A55" s="477"/>
      <c r="B55" s="477"/>
      <c r="C55" s="477"/>
      <c r="D55" s="477"/>
      <c r="E55" s="477"/>
      <c r="F55" s="477"/>
      <c r="G55" s="477"/>
      <c r="H55" s="477"/>
      <c r="I55" s="477"/>
      <c r="J55" s="477"/>
      <c r="K55" s="477"/>
      <c r="L55" s="477"/>
      <c r="M55" s="477"/>
      <c r="N55" s="477"/>
      <c r="O55" s="477"/>
      <c r="P55" s="477"/>
      <c r="Q55" s="477"/>
      <c r="R55" s="477"/>
      <c r="S55" s="477"/>
      <c r="T55" s="477"/>
      <c r="U55" s="477"/>
      <c r="V55" s="477"/>
      <c r="W55" s="477"/>
      <c r="X55" s="477"/>
      <c r="Y55" s="477"/>
      <c r="Z55" s="477"/>
      <c r="AA55" s="477"/>
      <c r="AB55" s="477"/>
      <c r="AC55" s="477"/>
      <c r="AH55" s="407" t="str">
        <f t="shared" si="2"/>
        <v/>
      </c>
    </row>
    <row r="56" spans="1:34" hidden="1" x14ac:dyDescent="0.2">
      <c r="A56" s="477"/>
      <c r="B56" s="477"/>
      <c r="C56" s="477"/>
      <c r="D56" s="477"/>
      <c r="E56" s="477"/>
      <c r="F56" s="477"/>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H56" s="407" t="str">
        <f t="shared" si="2"/>
        <v/>
      </c>
    </row>
    <row r="57" spans="1:34" hidden="1" x14ac:dyDescent="0.2">
      <c r="A57" s="477"/>
      <c r="B57" s="477"/>
      <c r="C57" s="477"/>
      <c r="D57" s="477"/>
      <c r="E57" s="477"/>
      <c r="F57" s="477"/>
      <c r="G57" s="477"/>
      <c r="H57" s="477"/>
      <c r="I57" s="477"/>
      <c r="J57" s="477"/>
      <c r="K57" s="477"/>
      <c r="L57" s="477"/>
      <c r="M57" s="477"/>
      <c r="N57" s="477"/>
      <c r="O57" s="477"/>
      <c r="P57" s="477"/>
      <c r="Q57" s="477"/>
      <c r="R57" s="477"/>
      <c r="S57" s="477"/>
      <c r="T57" s="477"/>
      <c r="U57" s="477"/>
      <c r="V57" s="477"/>
      <c r="W57" s="477"/>
      <c r="X57" s="477"/>
      <c r="Y57" s="477"/>
      <c r="Z57" s="477"/>
      <c r="AA57" s="477"/>
      <c r="AB57" s="477"/>
      <c r="AC57" s="477"/>
      <c r="AH57" s="407" t="str">
        <f t="shared" si="2"/>
        <v/>
      </c>
    </row>
    <row r="58" spans="1:34" hidden="1" x14ac:dyDescent="0.2">
      <c r="A58" s="477"/>
      <c r="B58" s="477"/>
      <c r="C58" s="477"/>
      <c r="D58" s="477"/>
      <c r="E58" s="477"/>
      <c r="F58" s="477"/>
      <c r="G58" s="477"/>
      <c r="H58" s="477"/>
      <c r="I58" s="477"/>
      <c r="J58" s="477"/>
      <c r="K58" s="477"/>
      <c r="L58" s="477"/>
      <c r="M58" s="477"/>
      <c r="N58" s="477"/>
      <c r="O58" s="477"/>
      <c r="P58" s="477"/>
      <c r="Q58" s="477"/>
      <c r="R58" s="477"/>
      <c r="S58" s="477"/>
      <c r="T58" s="477"/>
      <c r="U58" s="477"/>
      <c r="V58" s="477"/>
      <c r="W58" s="477"/>
      <c r="X58" s="477"/>
      <c r="Y58" s="477"/>
      <c r="Z58" s="477"/>
      <c r="AA58" s="477"/>
      <c r="AB58" s="477"/>
      <c r="AC58" s="477"/>
      <c r="AH58" s="407" t="str">
        <f t="shared" si="2"/>
        <v/>
      </c>
    </row>
    <row r="59" spans="1:34" hidden="1" x14ac:dyDescent="0.2">
      <c r="A59" s="477"/>
      <c r="B59" s="477"/>
      <c r="C59" s="477"/>
      <c r="D59" s="477"/>
      <c r="E59" s="477"/>
      <c r="F59" s="477"/>
      <c r="G59" s="477"/>
      <c r="H59" s="477"/>
      <c r="I59" s="477"/>
      <c r="J59" s="477"/>
      <c r="K59" s="477"/>
      <c r="L59" s="477"/>
      <c r="M59" s="477"/>
      <c r="N59" s="477"/>
      <c r="O59" s="477"/>
      <c r="P59" s="477"/>
      <c r="Q59" s="477"/>
      <c r="R59" s="477"/>
      <c r="S59" s="477"/>
      <c r="T59" s="477"/>
      <c r="U59" s="477"/>
      <c r="V59" s="477"/>
      <c r="W59" s="477"/>
      <c r="X59" s="477"/>
      <c r="Y59" s="477"/>
      <c r="Z59" s="477"/>
      <c r="AA59" s="477"/>
      <c r="AB59" s="477"/>
      <c r="AC59" s="477"/>
      <c r="AH59" s="407" t="str">
        <f t="shared" si="2"/>
        <v/>
      </c>
    </row>
    <row r="60" spans="1:34" hidden="1" x14ac:dyDescent="0.2">
      <c r="A60" s="477"/>
      <c r="B60" s="477"/>
      <c r="C60" s="477"/>
      <c r="D60" s="477"/>
      <c r="E60" s="477"/>
      <c r="F60" s="477"/>
      <c r="G60" s="477"/>
      <c r="H60" s="477"/>
      <c r="I60" s="477"/>
      <c r="J60" s="477"/>
      <c r="K60" s="477"/>
      <c r="L60" s="477"/>
      <c r="M60" s="477"/>
      <c r="N60" s="477"/>
      <c r="O60" s="477"/>
      <c r="P60" s="477"/>
      <c r="Q60" s="477"/>
      <c r="R60" s="477"/>
      <c r="S60" s="477"/>
      <c r="T60" s="477"/>
      <c r="U60" s="477"/>
      <c r="V60" s="477"/>
      <c r="W60" s="477"/>
      <c r="X60" s="477"/>
      <c r="Y60" s="477"/>
      <c r="Z60" s="477"/>
      <c r="AA60" s="477"/>
      <c r="AB60" s="477"/>
      <c r="AC60" s="477"/>
      <c r="AH60" s="407" t="str">
        <f t="shared" si="2"/>
        <v/>
      </c>
    </row>
    <row r="61" spans="1:34" hidden="1" x14ac:dyDescent="0.2">
      <c r="A61" s="79"/>
      <c r="B61" s="79"/>
      <c r="C61" s="79"/>
      <c r="D61" s="79"/>
      <c r="E61" s="79"/>
      <c r="F61" s="79"/>
      <c r="G61" s="79"/>
      <c r="H61" s="79"/>
      <c r="I61" s="79"/>
      <c r="J61" s="79"/>
      <c r="K61" s="62"/>
      <c r="L61" s="79"/>
      <c r="M61" s="62"/>
      <c r="N61" s="540"/>
      <c r="O61" s="541"/>
      <c r="P61" s="62"/>
      <c r="Q61" s="62"/>
      <c r="R61" s="62"/>
      <c r="S61" s="62"/>
      <c r="T61" s="62"/>
      <c r="U61" s="62"/>
      <c r="AH61" s="407" t="str">
        <f t="shared" si="2"/>
        <v/>
      </c>
    </row>
    <row r="62" spans="1:34" hidden="1" x14ac:dyDescent="0.2">
      <c r="A62" s="79"/>
      <c r="B62" s="322" t="s">
        <v>171</v>
      </c>
      <c r="C62" s="283" t="s">
        <v>175</v>
      </c>
      <c r="D62" s="445"/>
      <c r="E62" s="79"/>
      <c r="F62" s="62"/>
      <c r="G62" s="79"/>
      <c r="H62" s="79"/>
      <c r="I62" s="79"/>
      <c r="J62" s="79"/>
      <c r="K62" s="62"/>
      <c r="L62" s="79"/>
      <c r="M62" s="62"/>
      <c r="N62" s="79"/>
      <c r="O62" s="299"/>
      <c r="P62" s="62"/>
      <c r="Q62" s="62"/>
      <c r="R62" s="62"/>
      <c r="S62" s="62"/>
      <c r="T62" s="62"/>
      <c r="U62" s="62"/>
      <c r="AH62" s="407" t="str">
        <f t="shared" si="2"/>
        <v/>
      </c>
    </row>
    <row r="63" spans="1:34" hidden="1" x14ac:dyDescent="0.2">
      <c r="A63" s="79"/>
      <c r="B63" s="322" t="s">
        <v>174</v>
      </c>
      <c r="C63" s="283" t="s">
        <v>191</v>
      </c>
      <c r="D63" s="79"/>
      <c r="E63" s="79"/>
      <c r="F63" s="62"/>
      <c r="G63" s="79"/>
      <c r="H63" s="79"/>
      <c r="I63" s="79"/>
      <c r="J63" s="79"/>
      <c r="K63" s="62"/>
      <c r="L63" s="79"/>
      <c r="M63" s="62"/>
      <c r="N63" s="79"/>
      <c r="O63" s="299"/>
      <c r="P63" s="62"/>
      <c r="Q63" s="62"/>
      <c r="R63" s="62"/>
      <c r="S63" s="62"/>
      <c r="T63" s="62"/>
      <c r="U63" s="62"/>
      <c r="AH63" s="407" t="str">
        <f t="shared" si="2"/>
        <v/>
      </c>
    </row>
    <row r="64" spans="1:34" hidden="1" x14ac:dyDescent="0.2">
      <c r="A64" s="79"/>
      <c r="B64" s="322" t="s">
        <v>177</v>
      </c>
      <c r="C64" s="283" t="s">
        <v>183</v>
      </c>
      <c r="D64" s="79"/>
      <c r="E64" s="79"/>
      <c r="F64" s="62"/>
      <c r="G64" s="79"/>
      <c r="H64" s="79"/>
      <c r="I64" s="79"/>
      <c r="J64" s="79"/>
      <c r="K64" s="62"/>
      <c r="L64" s="79"/>
      <c r="M64" s="62"/>
      <c r="N64" s="79"/>
      <c r="O64" s="299"/>
      <c r="P64" s="62"/>
      <c r="Q64" s="62"/>
      <c r="R64" s="62"/>
      <c r="S64" s="62"/>
      <c r="T64" s="62"/>
      <c r="U64" s="62"/>
      <c r="AH64" s="407" t="str">
        <f t="shared" si="2"/>
        <v/>
      </c>
    </row>
    <row r="65" spans="1:21" x14ac:dyDescent="0.2">
      <c r="A65" s="79"/>
      <c r="B65" s="79"/>
      <c r="C65" s="79"/>
      <c r="D65" s="79"/>
      <c r="E65" s="79"/>
      <c r="F65" s="79"/>
      <c r="G65" s="79"/>
      <c r="H65" s="79"/>
      <c r="I65" s="79"/>
      <c r="J65" s="79"/>
      <c r="K65" s="62"/>
      <c r="L65" s="79"/>
      <c r="M65" s="62"/>
      <c r="N65" s="79"/>
      <c r="O65" s="299"/>
      <c r="P65" s="62"/>
      <c r="Q65" s="62"/>
      <c r="R65" s="62"/>
      <c r="S65" s="62"/>
      <c r="T65" s="62"/>
      <c r="U65" s="62"/>
    </row>
    <row r="66" spans="1:21" x14ac:dyDescent="0.2">
      <c r="A66" s="79"/>
      <c r="B66" s="322" t="s">
        <v>171</v>
      </c>
      <c r="C66" s="283" t="s">
        <v>184</v>
      </c>
      <c r="D66" s="283" t="s">
        <v>183</v>
      </c>
      <c r="E66" s="79"/>
      <c r="F66" s="79"/>
      <c r="G66" s="79"/>
      <c r="H66" s="79"/>
      <c r="I66" s="79"/>
      <c r="J66" s="79"/>
      <c r="K66" s="62"/>
      <c r="L66" s="79"/>
      <c r="M66" s="62"/>
      <c r="N66" s="79"/>
      <c r="P66" s="62"/>
      <c r="Q66" s="62"/>
      <c r="R66" s="62"/>
      <c r="S66" s="62"/>
      <c r="T66" s="62"/>
    </row>
    <row r="67" spans="1:21" x14ac:dyDescent="0.2">
      <c r="A67" s="79"/>
      <c r="B67" s="322" t="s">
        <v>174</v>
      </c>
      <c r="C67" s="283" t="s">
        <v>175</v>
      </c>
      <c r="D67" s="283" t="s">
        <v>173</v>
      </c>
      <c r="E67" s="79"/>
      <c r="F67" s="79"/>
      <c r="G67" s="79"/>
      <c r="H67" s="79"/>
      <c r="I67" s="79"/>
      <c r="J67" s="79"/>
      <c r="K67" s="62"/>
      <c r="L67" s="79"/>
      <c r="M67" s="62"/>
      <c r="N67" s="79"/>
      <c r="P67" s="62"/>
      <c r="Q67" s="62"/>
      <c r="R67" s="62"/>
      <c r="S67" s="62"/>
      <c r="T67" s="62"/>
    </row>
    <row r="68" spans="1:21" x14ac:dyDescent="0.2">
      <c r="A68" s="79"/>
      <c r="B68" s="322" t="s">
        <v>177</v>
      </c>
      <c r="C68" s="283" t="s">
        <v>191</v>
      </c>
      <c r="D68" s="283" t="s">
        <v>179</v>
      </c>
      <c r="E68" s="79"/>
      <c r="F68" s="79"/>
      <c r="G68" s="79"/>
      <c r="H68" s="79"/>
      <c r="I68" s="79"/>
      <c r="J68" s="79"/>
      <c r="K68" s="62"/>
      <c r="L68" s="79"/>
      <c r="M68" s="62"/>
      <c r="N68" s="79"/>
      <c r="P68" s="62"/>
      <c r="Q68" s="62"/>
      <c r="R68" s="62"/>
      <c r="S68" s="62"/>
      <c r="T68" s="62"/>
    </row>
    <row r="69" spans="1:21" hidden="1" x14ac:dyDescent="0.2">
      <c r="A69" s="79"/>
      <c r="B69" s="330"/>
      <c r="C69" s="140"/>
      <c r="D69" s="140"/>
      <c r="E69" s="79"/>
      <c r="F69" s="79"/>
      <c r="G69" s="79"/>
      <c r="H69" s="79"/>
      <c r="I69" s="79"/>
      <c r="J69" s="79"/>
      <c r="K69" s="62"/>
      <c r="L69" s="79"/>
      <c r="M69" s="62"/>
      <c r="N69" s="79"/>
      <c r="O69" s="299"/>
      <c r="P69" s="62"/>
      <c r="Q69" s="62"/>
      <c r="R69" s="62"/>
      <c r="S69" s="62"/>
      <c r="T69" s="62"/>
      <c r="U69" s="62"/>
    </row>
    <row r="70" spans="1:21" hidden="1" x14ac:dyDescent="0.2">
      <c r="A70" s="79"/>
      <c r="B70" s="322" t="s">
        <v>171</v>
      </c>
      <c r="C70" s="283" t="s">
        <v>172</v>
      </c>
      <c r="D70" s="283" t="s">
        <v>173</v>
      </c>
      <c r="E70" s="79"/>
      <c r="F70" s="62"/>
      <c r="G70" s="62"/>
      <c r="H70" s="79"/>
      <c r="I70" s="79"/>
      <c r="J70" s="79"/>
      <c r="K70" s="62"/>
      <c r="L70" s="79"/>
      <c r="M70" s="62"/>
      <c r="N70" s="79"/>
      <c r="O70" s="299"/>
      <c r="P70" s="62"/>
      <c r="Q70" s="62"/>
      <c r="R70" s="62"/>
      <c r="S70" s="62"/>
      <c r="T70" s="62"/>
      <c r="U70" s="62"/>
    </row>
    <row r="71" spans="1:21" hidden="1" x14ac:dyDescent="0.2">
      <c r="A71" s="79"/>
      <c r="B71" s="322" t="s">
        <v>174</v>
      </c>
      <c r="C71" s="283" t="s">
        <v>184</v>
      </c>
      <c r="D71" s="283" t="s">
        <v>183</v>
      </c>
      <c r="E71" s="79"/>
      <c r="F71" s="62"/>
      <c r="G71" s="62"/>
      <c r="H71" s="62"/>
      <c r="I71" s="79"/>
      <c r="J71" s="79"/>
      <c r="K71" s="62"/>
      <c r="L71" s="79"/>
      <c r="M71" s="62"/>
      <c r="N71" s="79"/>
      <c r="O71" s="299"/>
      <c r="P71" s="62"/>
      <c r="Q71" s="62"/>
      <c r="R71" s="62"/>
      <c r="S71" s="62"/>
      <c r="T71" s="62"/>
      <c r="U71" s="62"/>
    </row>
    <row r="72" spans="1:21" hidden="1" x14ac:dyDescent="0.2">
      <c r="A72" s="79"/>
      <c r="B72" s="322" t="s">
        <v>177</v>
      </c>
      <c r="C72" s="283" t="s">
        <v>175</v>
      </c>
      <c r="D72" s="283" t="s">
        <v>176</v>
      </c>
      <c r="E72" s="79"/>
      <c r="F72" s="62"/>
      <c r="G72" s="62"/>
      <c r="H72" s="79"/>
      <c r="I72" s="79"/>
      <c r="J72" s="79"/>
      <c r="K72" s="62"/>
      <c r="L72" s="79"/>
      <c r="M72" s="62"/>
      <c r="N72" s="79"/>
      <c r="O72" s="299"/>
      <c r="P72" s="62"/>
      <c r="Q72" s="62"/>
      <c r="R72" s="62"/>
      <c r="S72" s="62"/>
      <c r="T72" s="62"/>
      <c r="U72" s="62"/>
    </row>
    <row r="73" spans="1:21" hidden="1" x14ac:dyDescent="0.2">
      <c r="A73" s="79"/>
      <c r="B73" s="322" t="s">
        <v>180</v>
      </c>
      <c r="C73" s="446" t="s">
        <v>191</v>
      </c>
      <c r="D73" s="283" t="s">
        <v>181</v>
      </c>
      <c r="E73" s="79"/>
      <c r="F73" s="62"/>
      <c r="G73" s="62"/>
      <c r="H73" s="79"/>
      <c r="I73" s="79"/>
      <c r="J73" s="79"/>
      <c r="K73" s="62"/>
      <c r="L73" s="79"/>
      <c r="M73" s="62"/>
      <c r="N73" s="79"/>
      <c r="O73" s="299"/>
      <c r="P73" s="62"/>
      <c r="Q73" s="62"/>
      <c r="R73" s="62"/>
      <c r="S73" s="62"/>
      <c r="T73" s="62"/>
      <c r="U73" s="62"/>
    </row>
    <row r="74" spans="1:21" hidden="1" x14ac:dyDescent="0.2">
      <c r="A74" s="79"/>
      <c r="B74" s="322" t="s">
        <v>182</v>
      </c>
      <c r="C74" s="283" t="s">
        <v>178</v>
      </c>
      <c r="D74" s="283" t="s">
        <v>179</v>
      </c>
      <c r="E74" s="79"/>
      <c r="F74" s="62"/>
      <c r="G74" s="62"/>
      <c r="H74" s="79"/>
      <c r="I74" s="79"/>
      <c r="J74" s="79"/>
      <c r="K74" s="62"/>
      <c r="L74" s="79"/>
      <c r="M74" s="62"/>
      <c r="N74" s="79"/>
      <c r="O74" s="299"/>
      <c r="P74" s="62"/>
      <c r="Q74" s="62"/>
      <c r="R74" s="62"/>
      <c r="S74" s="62"/>
      <c r="T74" s="62"/>
      <c r="U74" s="62"/>
    </row>
    <row r="75" spans="1:21" hidden="1" x14ac:dyDescent="0.2"/>
    <row r="76" spans="1:21" hidden="1" x14ac:dyDescent="0.2"/>
    <row r="77" spans="1:21" hidden="1" x14ac:dyDescent="0.2"/>
    <row r="78" spans="1:21" hidden="1" x14ac:dyDescent="0.2"/>
    <row r="79" spans="1:21" hidden="1" x14ac:dyDescent="0.2"/>
    <row r="80" spans="1:21"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spans="1:9" hidden="1" x14ac:dyDescent="0.2"/>
    <row r="98" spans="1:9" hidden="1" x14ac:dyDescent="0.2"/>
    <row r="100" spans="1:9" x14ac:dyDescent="0.2">
      <c r="A100" s="286" t="s">
        <v>192</v>
      </c>
      <c r="B100" s="287"/>
      <c r="C100" s="288"/>
      <c r="D100" s="288"/>
      <c r="E100" s="288"/>
      <c r="F100" s="285"/>
      <c r="G100" s="283"/>
      <c r="H100" s="269"/>
      <c r="I100" s="151"/>
    </row>
    <row r="101" spans="1:9" x14ac:dyDescent="0.2">
      <c r="A101" s="269"/>
      <c r="B101" s="269"/>
      <c r="C101" s="269"/>
      <c r="D101" s="269"/>
      <c r="E101" s="269"/>
      <c r="F101" s="269"/>
      <c r="G101" s="269"/>
      <c r="H101" s="269"/>
      <c r="I101" s="151"/>
    </row>
    <row r="102" spans="1:9" x14ac:dyDescent="0.2">
      <c r="A102" s="300" t="s">
        <v>193</v>
      </c>
      <c r="B102" s="289" t="str">
        <f>IFERROR(INDEX(B$1:B$100,MATCH(A102,I$1:I$100,0)),"")</f>
        <v>Kenneth Muusikus, Mait Metsla</v>
      </c>
      <c r="C102" s="301">
        <v>13</v>
      </c>
      <c r="D102" s="269"/>
      <c r="E102" s="269"/>
      <c r="F102" s="269"/>
      <c r="G102" s="269"/>
      <c r="H102" s="269"/>
      <c r="I102" s="151"/>
    </row>
    <row r="103" spans="1:9" x14ac:dyDescent="0.2">
      <c r="A103" s="302"/>
      <c r="B103" s="449"/>
      <c r="C103" s="303" t="str">
        <f>IF(COUNT(C102,C104)=2,IF(C102&gt;C104,B102,B104),"")</f>
        <v>Kenneth Muusikus, Mait Metsla</v>
      </c>
      <c r="D103" s="269"/>
      <c r="E103" s="301">
        <v>13</v>
      </c>
      <c r="F103" s="269"/>
      <c r="G103" s="269"/>
      <c r="H103" s="269"/>
      <c r="I103" s="269"/>
    </row>
    <row r="104" spans="1:9" x14ac:dyDescent="0.2">
      <c r="A104" s="302" t="s">
        <v>194</v>
      </c>
      <c r="B104" s="450" t="str">
        <f>IFERROR(INDEX(B$1:B$100,MATCH(A104,I$1:I$100,0)),"")</f>
        <v>Elmo Lageda, Tõnu Piik</v>
      </c>
      <c r="C104" s="304">
        <v>7</v>
      </c>
      <c r="D104" s="336"/>
      <c r="E104" s="269"/>
      <c r="F104" s="269"/>
      <c r="G104" s="269"/>
      <c r="H104" s="269"/>
      <c r="I104" s="269"/>
    </row>
    <row r="105" spans="1:9" x14ac:dyDescent="0.2">
      <c r="A105" s="302"/>
      <c r="B105" s="292"/>
      <c r="C105" s="269"/>
      <c r="D105" s="305"/>
      <c r="E105" s="303" t="str">
        <f>IF(COUNT(E103,E107)=2,IF(E103&gt;E107,C103,C107),"")</f>
        <v>Kenneth Muusikus, Mait Metsla</v>
      </c>
      <c r="F105" s="269"/>
      <c r="G105" s="301">
        <v>1</v>
      </c>
      <c r="H105" s="269"/>
      <c r="I105" s="269"/>
    </row>
    <row r="106" spans="1:9" x14ac:dyDescent="0.2">
      <c r="A106" s="302" t="s">
        <v>195</v>
      </c>
      <c r="B106" s="289" t="str">
        <f>IFERROR(INDEX(B$1:B$100,MATCH(A106,I$1:I$100,0)),"")</f>
        <v>Jaan Sepp, Oskar Sepp</v>
      </c>
      <c r="C106" s="301">
        <v>13</v>
      </c>
      <c r="D106" s="305"/>
      <c r="E106" s="306"/>
      <c r="F106" s="336"/>
      <c r="G106" s="269"/>
      <c r="H106" s="269"/>
      <c r="I106" s="269"/>
    </row>
    <row r="107" spans="1:9" x14ac:dyDescent="0.2">
      <c r="A107" s="302"/>
      <c r="B107" s="449"/>
      <c r="C107" s="303" t="str">
        <f>IF(COUNT(C106,C108)=2,IF(C106&gt;C108,B106,B108),"")</f>
        <v>Jaan Sepp, Oskar Sepp</v>
      </c>
      <c r="D107" s="451"/>
      <c r="E107" s="304">
        <v>8</v>
      </c>
      <c r="F107" s="305"/>
      <c r="G107" s="269"/>
      <c r="H107" s="269"/>
      <c r="I107" s="269"/>
    </row>
    <row r="108" spans="1:9" x14ac:dyDescent="0.2">
      <c r="A108" s="302" t="s">
        <v>196</v>
      </c>
      <c r="B108" s="450" t="str">
        <f>IFERROR(INDEX(B$1:B$100,MATCH(A108,I$1:I$100,0)),"")</f>
        <v>Aigi Orro, Kalle Orro</v>
      </c>
      <c r="C108" s="304">
        <v>6</v>
      </c>
      <c r="D108" s="269"/>
      <c r="E108" s="287"/>
      <c r="F108" s="305"/>
      <c r="G108" s="269"/>
      <c r="H108" s="269"/>
      <c r="I108" s="269"/>
    </row>
    <row r="109" spans="1:9" ht="13.5" thickBot="1" x14ac:dyDescent="0.25">
      <c r="A109" s="268"/>
      <c r="B109" s="292"/>
      <c r="C109" s="269"/>
      <c r="D109" s="269"/>
      <c r="E109" s="287"/>
      <c r="F109" s="305"/>
      <c r="G109" s="269"/>
      <c r="H109" s="452" t="str">
        <f>IF(COUNT(G105,G113)=2,IF(G105&gt;G113,E105,E113),"")</f>
        <v>Aarne Välja, Janek Tarto</v>
      </c>
      <c r="I109" s="269"/>
    </row>
    <row r="110" spans="1:9" x14ac:dyDescent="0.2">
      <c r="A110" s="300" t="s">
        <v>197</v>
      </c>
      <c r="B110" s="289" t="str">
        <f>IFERROR(INDEX(B$1:B$100,MATCH(A110,I$1:I$100,0)),"")</f>
        <v>Aarne Välja, Janek Tarto</v>
      </c>
      <c r="C110" s="301">
        <v>13</v>
      </c>
      <c r="D110" s="269"/>
      <c r="E110" s="269"/>
      <c r="F110" s="305"/>
      <c r="G110" s="307"/>
      <c r="H110" s="290" t="s">
        <v>185</v>
      </c>
      <c r="I110" s="453"/>
    </row>
    <row r="111" spans="1:9" x14ac:dyDescent="0.2">
      <c r="A111" s="302"/>
      <c r="B111" s="449"/>
      <c r="C111" s="303" t="str">
        <f>IF(COUNT(C110,C112)=2,IF(C110&gt;C112,B110,B112),"")</f>
        <v>Aarne Välja, Janek Tarto</v>
      </c>
      <c r="D111" s="269"/>
      <c r="E111" s="301">
        <v>13</v>
      </c>
      <c r="F111" s="305"/>
      <c r="G111" s="287"/>
      <c r="H111" s="269"/>
      <c r="I111" s="269"/>
    </row>
    <row r="112" spans="1:9" x14ac:dyDescent="0.2">
      <c r="A112" s="302" t="s">
        <v>198</v>
      </c>
      <c r="B112" s="450" t="str">
        <f>IFERROR(INDEX(B$1:B$100,MATCH(A112,I$1:I$100,0)),"")</f>
        <v>Aurelia Meldre, Karla Purgats</v>
      </c>
      <c r="C112" s="304">
        <v>4</v>
      </c>
      <c r="D112" s="336"/>
      <c r="E112" s="269"/>
      <c r="F112" s="305"/>
      <c r="G112" s="287"/>
      <c r="H112" s="269"/>
      <c r="I112" s="269"/>
    </row>
    <row r="113" spans="1:9" x14ac:dyDescent="0.2">
      <c r="A113" s="302"/>
      <c r="B113" s="292"/>
      <c r="C113" s="269"/>
      <c r="D113" s="305"/>
      <c r="E113" s="303" t="str">
        <f>IF(COUNT(E111,E115)=2,IF(E111&gt;E115,C111,C115),"")</f>
        <v>Aarne Välja, Janek Tarto</v>
      </c>
      <c r="F113" s="451"/>
      <c r="G113" s="304">
        <v>13</v>
      </c>
      <c r="H113" s="269"/>
      <c r="I113" s="269"/>
    </row>
    <row r="114" spans="1:9" ht="13.5" thickBot="1" x14ac:dyDescent="0.25">
      <c r="A114" s="302" t="s">
        <v>200</v>
      </c>
      <c r="B114" s="289" t="str">
        <f>IFERROR(INDEX(B$1:B$100,MATCH(A114,I$1:I$100,0)),"")</f>
        <v>Andrei Grintšak, Oleg Rõndenkov</v>
      </c>
      <c r="C114" s="301">
        <v>13</v>
      </c>
      <c r="D114" s="305"/>
      <c r="E114" s="306"/>
      <c r="F114" s="287"/>
      <c r="G114" s="287"/>
      <c r="H114" s="452" t="str">
        <f>IF(COUNT(G105,G113)=2,IF(G105&lt;G113,E105,E113),"")</f>
        <v>Kenneth Muusikus, Mait Metsla</v>
      </c>
      <c r="I114" s="454"/>
    </row>
    <row r="115" spans="1:9" x14ac:dyDescent="0.2">
      <c r="A115" s="302"/>
      <c r="B115" s="449"/>
      <c r="C115" s="303" t="str">
        <f>IF(COUNT(C114,C116)=2,IF(C114&gt;C116,B114,B116),"")</f>
        <v>Andrei Grintšak, Oleg Rõndenkov</v>
      </c>
      <c r="D115" s="451"/>
      <c r="E115" s="304">
        <v>9</v>
      </c>
      <c r="F115" s="269"/>
      <c r="G115" s="287"/>
      <c r="H115" s="290" t="s">
        <v>186</v>
      </c>
      <c r="I115" s="287"/>
    </row>
    <row r="116" spans="1:9" x14ac:dyDescent="0.2">
      <c r="A116" s="302" t="s">
        <v>199</v>
      </c>
      <c r="B116" s="450" t="str">
        <f>IFERROR(INDEX(B$1:B$100,MATCH(A116,I$1:I$100,0)),"")</f>
        <v>Enn Tokman, Tarmo Bombe</v>
      </c>
      <c r="C116" s="304">
        <v>9</v>
      </c>
      <c r="D116" s="269"/>
      <c r="E116" s="287"/>
      <c r="F116" s="287"/>
      <c r="G116" s="287"/>
      <c r="H116" s="269"/>
      <c r="I116" s="269"/>
    </row>
    <row r="117" spans="1:9" x14ac:dyDescent="0.2">
      <c r="A117" s="268"/>
      <c r="B117" s="292"/>
      <c r="C117" s="269"/>
      <c r="D117" s="269"/>
      <c r="E117" s="284" t="str">
        <f>IF(COUNT(E103,E107)=2,IF(E103&lt;E107,C103,C107),"")</f>
        <v>Jaan Sepp, Oskar Sepp</v>
      </c>
      <c r="F117" s="269"/>
      <c r="G117" s="301">
        <v>13</v>
      </c>
      <c r="H117" s="269"/>
      <c r="I117" s="269"/>
    </row>
    <row r="118" spans="1:9" ht="13.5" thickBot="1" x14ac:dyDescent="0.25">
      <c r="A118" s="269"/>
      <c r="B118" s="269"/>
      <c r="C118" s="269"/>
      <c r="D118" s="269"/>
      <c r="E118" s="455"/>
      <c r="F118" s="336"/>
      <c r="G118" s="454"/>
      <c r="H118" s="452" t="str">
        <f>IF(COUNT(G117,G119)=2,IF(G117&gt;G119,E117,E119),"")</f>
        <v>Jaan Sepp, Oskar Sepp</v>
      </c>
      <c r="I118" s="454"/>
    </row>
    <row r="119" spans="1:9" x14ac:dyDescent="0.2">
      <c r="A119" s="269"/>
      <c r="B119" s="269"/>
      <c r="C119" s="269"/>
      <c r="D119" s="269"/>
      <c r="E119" s="456" t="str">
        <f>IF(COUNT(E111,E115)=2,IF(E111&lt;E115,C111,C115),"")</f>
        <v>Andrei Grintšak, Oleg Rõndenkov</v>
      </c>
      <c r="F119" s="451"/>
      <c r="G119" s="304">
        <v>2</v>
      </c>
      <c r="H119" s="296" t="s">
        <v>187</v>
      </c>
      <c r="I119" s="287"/>
    </row>
    <row r="120" spans="1:9" x14ac:dyDescent="0.2">
      <c r="A120" s="269"/>
      <c r="B120" s="269"/>
      <c r="C120" s="269"/>
      <c r="D120" s="269"/>
      <c r="E120" s="269"/>
      <c r="F120" s="269"/>
      <c r="G120" s="269"/>
      <c r="H120" s="287"/>
      <c r="I120" s="287"/>
    </row>
    <row r="121" spans="1:9" ht="13.5" thickBot="1" x14ac:dyDescent="0.25">
      <c r="A121" s="269"/>
      <c r="B121" s="269"/>
      <c r="C121" s="269"/>
      <c r="D121" s="269"/>
      <c r="E121" s="287"/>
      <c r="F121" s="287"/>
      <c r="G121" s="269"/>
      <c r="H121" s="452" t="str">
        <f>IF(COUNT(G117,G119)=2,IF(G117&lt;G119,E117,E119),"")</f>
        <v>Andrei Grintšak, Oleg Rõndenkov</v>
      </c>
      <c r="I121" s="454"/>
    </row>
    <row r="122" spans="1:9" x14ac:dyDescent="0.2">
      <c r="A122" s="269"/>
      <c r="B122" s="269"/>
      <c r="C122" s="269"/>
      <c r="D122" s="269"/>
      <c r="E122" s="269"/>
      <c r="F122" s="269"/>
      <c r="G122" s="269"/>
      <c r="H122" s="268" t="s">
        <v>188</v>
      </c>
      <c r="I122" s="269"/>
    </row>
    <row r="123" spans="1:9" x14ac:dyDescent="0.2">
      <c r="A123" s="269"/>
      <c r="B123" s="269"/>
      <c r="C123" s="456" t="str">
        <f>IF(COUNT(C102,C104)=2,IF(C102&lt;C104,B102,B104),"")</f>
        <v>Elmo Lageda, Tõnu Piik</v>
      </c>
      <c r="D123" s="269"/>
      <c r="E123" s="301">
        <v>8</v>
      </c>
      <c r="F123" s="301"/>
      <c r="G123" s="301"/>
      <c r="H123" s="269"/>
      <c r="I123" s="269"/>
    </row>
    <row r="124" spans="1:9" x14ac:dyDescent="0.2">
      <c r="A124" s="269"/>
      <c r="B124" s="269"/>
      <c r="C124" s="457"/>
      <c r="D124" s="337"/>
      <c r="E124" s="303" t="str">
        <f>IF(COUNT(E123,E125)=2,IF(E123&gt;E125,C123,C125),"")</f>
        <v>Aigi Orro, Kalle Orro</v>
      </c>
      <c r="F124" s="269"/>
      <c r="G124" s="301">
        <v>13</v>
      </c>
      <c r="H124" s="269"/>
      <c r="I124" s="269"/>
    </row>
    <row r="125" spans="1:9" x14ac:dyDescent="0.2">
      <c r="A125" s="269"/>
      <c r="B125" s="269"/>
      <c r="C125" s="456" t="str">
        <f>IF(COUNT(C106,C108)=2,IF(C106&lt;C108,B106,B108),"")</f>
        <v>Aigi Orro, Kalle Orro</v>
      </c>
      <c r="D125" s="458"/>
      <c r="E125" s="304">
        <v>13</v>
      </c>
      <c r="F125" s="337"/>
      <c r="G125" s="301"/>
      <c r="H125" s="269"/>
      <c r="I125" s="269"/>
    </row>
    <row r="126" spans="1:9" ht="13.5" thickBot="1" x14ac:dyDescent="0.25">
      <c r="A126" s="269"/>
      <c r="B126" s="269"/>
      <c r="C126" s="301"/>
      <c r="D126" s="301"/>
      <c r="E126" s="269"/>
      <c r="F126" s="309"/>
      <c r="G126" s="301"/>
      <c r="H126" s="452" t="str">
        <f>IF(COUNT(G124,G128)=2,IF(G124&gt;G128,E124,E128),"")</f>
        <v>Aigi Orro, Kalle Orro</v>
      </c>
      <c r="I126" s="269"/>
    </row>
    <row r="127" spans="1:9" x14ac:dyDescent="0.2">
      <c r="A127" s="269"/>
      <c r="B127" s="269"/>
      <c r="C127" s="456" t="str">
        <f>IF(COUNT(C110,C112)=2,IF(C110&lt;C112,B110,B112),"")</f>
        <v>Aurelia Meldre, Karla Purgats</v>
      </c>
      <c r="D127" s="301"/>
      <c r="E127" s="301">
        <v>4</v>
      </c>
      <c r="F127" s="309"/>
      <c r="G127" s="310"/>
      <c r="H127" s="290" t="s">
        <v>189</v>
      </c>
      <c r="I127" s="453"/>
    </row>
    <row r="128" spans="1:9" x14ac:dyDescent="0.2">
      <c r="A128" s="269"/>
      <c r="B128" s="269"/>
      <c r="C128" s="457"/>
      <c r="D128" s="337"/>
      <c r="E128" s="303" t="str">
        <f>IF(COUNT(E127,E129)=2,IF(E127&gt;E129,C127,C129),"")</f>
        <v>Enn Tokman, Tarmo Bombe</v>
      </c>
      <c r="F128" s="451"/>
      <c r="G128" s="304">
        <v>3</v>
      </c>
      <c r="H128" s="269"/>
      <c r="I128" s="269"/>
    </row>
    <row r="129" spans="1:14" ht="13.5" thickBot="1" x14ac:dyDescent="0.25">
      <c r="A129" s="269"/>
      <c r="B129" s="269"/>
      <c r="C129" s="456" t="str">
        <f>IF(COUNT(C114,C116)=2,IF(C114&lt;C116,B114,B116),"")</f>
        <v>Enn Tokman, Tarmo Bombe</v>
      </c>
      <c r="D129" s="458"/>
      <c r="E129" s="304">
        <v>13</v>
      </c>
      <c r="F129" s="301"/>
      <c r="G129" s="308"/>
      <c r="H129" s="452" t="str">
        <f>IF(COUNT(G124,G128)=2,IF(G124&lt;G128,E124,E128),"")</f>
        <v>Enn Tokman, Tarmo Bombe</v>
      </c>
      <c r="I129" s="454"/>
    </row>
    <row r="130" spans="1:14" x14ac:dyDescent="0.2">
      <c r="A130" s="269"/>
      <c r="B130" s="269"/>
      <c r="C130" s="301"/>
      <c r="D130" s="301"/>
      <c r="E130" s="301"/>
      <c r="F130" s="301"/>
      <c r="G130" s="308"/>
      <c r="H130" s="290" t="s">
        <v>190</v>
      </c>
      <c r="I130" s="287"/>
    </row>
    <row r="131" spans="1:14" x14ac:dyDescent="0.2">
      <c r="A131" s="269"/>
      <c r="B131" s="269"/>
      <c r="C131" s="301"/>
      <c r="D131" s="308"/>
      <c r="E131" s="284" t="str">
        <f>IF(COUNT(E123,E125)=2,IF(E123&lt;E125,C123,C125),"")</f>
        <v>Elmo Lageda, Tõnu Piik</v>
      </c>
      <c r="F131" s="269"/>
      <c r="G131" s="301">
        <v>13</v>
      </c>
      <c r="H131" s="287"/>
      <c r="I131" s="287"/>
    </row>
    <row r="132" spans="1:14" ht="13.5" thickBot="1" x14ac:dyDescent="0.25">
      <c r="A132" s="269"/>
      <c r="B132" s="269"/>
      <c r="C132" s="301"/>
      <c r="D132" s="308"/>
      <c r="E132" s="455"/>
      <c r="F132" s="336"/>
      <c r="G132" s="454"/>
      <c r="H132" s="452" t="str">
        <f>IF(COUNT(G131,G133)=2,IF(G131&gt;G133,E131,E133),"")</f>
        <v>Elmo Lageda, Tõnu Piik</v>
      </c>
      <c r="I132" s="454"/>
    </row>
    <row r="133" spans="1:14" x14ac:dyDescent="0.2">
      <c r="A133" s="269"/>
      <c r="B133" s="269"/>
      <c r="C133" s="301"/>
      <c r="D133" s="308"/>
      <c r="E133" s="456" t="str">
        <f>IF(COUNT(E127,E129)=2,IF(E127&lt;E129,C127,C129),"")</f>
        <v>Aurelia Meldre, Karla Purgats</v>
      </c>
      <c r="F133" s="451"/>
      <c r="G133" s="304">
        <v>2</v>
      </c>
      <c r="H133" s="290" t="s">
        <v>201</v>
      </c>
      <c r="I133" s="287"/>
    </row>
    <row r="134" spans="1:14" x14ac:dyDescent="0.2">
      <c r="A134" s="269"/>
      <c r="B134" s="269"/>
      <c r="C134" s="269"/>
      <c r="D134" s="287"/>
      <c r="E134" s="269"/>
      <c r="F134" s="269"/>
      <c r="G134" s="269"/>
      <c r="H134" s="287"/>
      <c r="I134" s="287"/>
    </row>
    <row r="135" spans="1:14" ht="13.5" thickBot="1" x14ac:dyDescent="0.25">
      <c r="A135" s="269"/>
      <c r="B135" s="269"/>
      <c r="C135" s="269"/>
      <c r="D135" s="269"/>
      <c r="E135" s="287"/>
      <c r="F135" s="287"/>
      <c r="G135" s="269"/>
      <c r="H135" s="454" t="str">
        <f>IF(COUNT(G131,G133)=2,IF(G131&lt;G133,E131,E133),"")</f>
        <v>Aurelia Meldre, Karla Purgats</v>
      </c>
      <c r="I135" s="454"/>
    </row>
    <row r="136" spans="1:14" x14ac:dyDescent="0.2">
      <c r="A136" s="80"/>
      <c r="B136" s="140"/>
      <c r="C136" s="285"/>
      <c r="D136" s="285"/>
      <c r="E136" s="285"/>
      <c r="F136" s="285"/>
      <c r="G136" s="323"/>
      <c r="H136" s="290" t="s">
        <v>202</v>
      </c>
      <c r="I136" s="79"/>
    </row>
    <row r="138" spans="1:14" x14ac:dyDescent="0.2">
      <c r="A138" s="286" t="s">
        <v>215</v>
      </c>
      <c r="B138" s="287"/>
      <c r="C138" s="288"/>
      <c r="D138" s="288"/>
      <c r="E138" s="288"/>
      <c r="F138" s="285"/>
      <c r="G138" s="283"/>
      <c r="H138" s="269"/>
      <c r="I138" s="151"/>
    </row>
    <row r="139" spans="1:14" x14ac:dyDescent="0.2">
      <c r="A139" s="269"/>
      <c r="B139" s="269"/>
      <c r="C139" s="269"/>
      <c r="D139" s="269"/>
      <c r="E139" s="269"/>
      <c r="F139" s="269"/>
      <c r="G139" s="269"/>
      <c r="H139" s="269"/>
      <c r="I139" s="151"/>
    </row>
    <row r="140" spans="1:14" x14ac:dyDescent="0.2">
      <c r="A140" s="300" t="s">
        <v>203</v>
      </c>
      <c r="B140" s="289" t="str">
        <f>IFERROR(INDEX(B$1:B$100,MATCH(A140,I$1:I$100,0)),"")</f>
        <v>Jaan Saar, Liidia Põllu</v>
      </c>
      <c r="C140" s="301">
        <v>4</v>
      </c>
      <c r="D140" s="269"/>
      <c r="E140" s="269"/>
      <c r="F140" s="269"/>
      <c r="G140" s="269"/>
      <c r="H140" s="269"/>
      <c r="I140" s="151"/>
      <c r="N140" s="52"/>
    </row>
    <row r="141" spans="1:14" x14ac:dyDescent="0.2">
      <c r="A141" s="302"/>
      <c r="B141" s="449"/>
      <c r="C141" s="303" t="str">
        <f>IF(COUNT(C140,C142)=2,IF(C140&gt;C142,B140,B142),"")</f>
        <v>Boriss Klubov, Emil Murzajev</v>
      </c>
      <c r="D141" s="269"/>
      <c r="E141" s="301">
        <v>13</v>
      </c>
      <c r="F141" s="269"/>
      <c r="G141" s="269"/>
      <c r="H141" s="269"/>
      <c r="I141" s="269"/>
    </row>
    <row r="142" spans="1:14" x14ac:dyDescent="0.2">
      <c r="A142" s="302" t="s">
        <v>266</v>
      </c>
      <c r="B142" s="450" t="str">
        <f>IFERROR(INDEX(B$1:B$100,MATCH(A142,I$1:I$100,0)),"")</f>
        <v>Boriss Klubov, Emil Murzajev</v>
      </c>
      <c r="C142" s="304">
        <v>13</v>
      </c>
      <c r="D142" s="336"/>
      <c r="E142" s="269"/>
      <c r="F142" s="269"/>
      <c r="G142" s="269"/>
      <c r="H142" s="269"/>
      <c r="I142" s="269"/>
    </row>
    <row r="143" spans="1:14" x14ac:dyDescent="0.2">
      <c r="A143" s="302"/>
      <c r="B143" s="292"/>
      <c r="C143" s="269"/>
      <c r="D143" s="305"/>
      <c r="E143" s="303" t="str">
        <f>IF(COUNT(E141,E145)=2,IF(E141&gt;E145,C141,C145),"")</f>
        <v>Boriss Klubov, Emil Murzajev</v>
      </c>
      <c r="F143" s="269"/>
      <c r="G143" s="301">
        <v>13</v>
      </c>
      <c r="H143" s="269"/>
      <c r="I143" s="269"/>
    </row>
    <row r="144" spans="1:14" x14ac:dyDescent="0.2">
      <c r="A144" s="302" t="s">
        <v>204</v>
      </c>
      <c r="B144" s="289" t="str">
        <f>IFERROR(INDEX(B$1:B$100,MATCH(A144,I$1:I$100,0)),"")</f>
        <v>Illar Tõnurist, Urmas Jõeäär</v>
      </c>
      <c r="C144" s="301">
        <v>8</v>
      </c>
      <c r="D144" s="305"/>
      <c r="E144" s="306"/>
      <c r="F144" s="336"/>
      <c r="G144" s="269"/>
      <c r="H144" s="269"/>
      <c r="I144" s="269"/>
    </row>
    <row r="145" spans="1:9" x14ac:dyDescent="0.2">
      <c r="A145" s="302"/>
      <c r="B145" s="449"/>
      <c r="C145" s="303" t="str">
        <f>IF(COUNT(C144,C146)=2,IF(C144&gt;C146,B144,B146),"")</f>
        <v>Johannes Neiland, Kaspar Mänd, Urmas Randlaine</v>
      </c>
      <c r="D145" s="451"/>
      <c r="E145" s="304">
        <v>12</v>
      </c>
      <c r="F145" s="305"/>
      <c r="G145" s="269"/>
      <c r="H145" s="269"/>
      <c r="I145" s="269"/>
    </row>
    <row r="146" spans="1:9" x14ac:dyDescent="0.2">
      <c r="A146" s="302" t="s">
        <v>267</v>
      </c>
      <c r="B146" s="450" t="str">
        <f>IFERROR(INDEX(B$1:B$100,MATCH(A146,I$1:I$100,0)),"")</f>
        <v>Johannes Neiland, Kaspar Mänd, Urmas Randlaine</v>
      </c>
      <c r="C146" s="304">
        <v>13</v>
      </c>
      <c r="D146" s="269"/>
      <c r="E146" s="287"/>
      <c r="F146" s="305"/>
      <c r="G146" s="269"/>
      <c r="H146" s="269"/>
      <c r="I146" s="269"/>
    </row>
    <row r="147" spans="1:9" ht="13.5" thickBot="1" x14ac:dyDescent="0.25">
      <c r="A147" s="268"/>
      <c r="B147" s="292"/>
      <c r="C147" s="269"/>
      <c r="D147" s="269"/>
      <c r="E147" s="287"/>
      <c r="F147" s="305"/>
      <c r="G147" s="269"/>
      <c r="H147" s="452" t="str">
        <f>IF(COUNT(G143,G151)=2,IF(G143&gt;G151,E143,E151),"")</f>
        <v>Boriss Klubov, Emil Murzajev</v>
      </c>
      <c r="I147" s="269"/>
    </row>
    <row r="148" spans="1:9" x14ac:dyDescent="0.2">
      <c r="A148" s="300" t="s">
        <v>206</v>
      </c>
      <c r="B148" s="289" t="str">
        <f>IFERROR(INDEX(B$1:B$100,MATCH(A148,I$1:I$100,0)),"")</f>
        <v>Andres Veski, Tõnis Anton</v>
      </c>
      <c r="C148" s="301">
        <v>3</v>
      </c>
      <c r="D148" s="269"/>
      <c r="E148" s="269"/>
      <c r="F148" s="305"/>
      <c r="G148" s="307"/>
      <c r="H148" s="290" t="s">
        <v>207</v>
      </c>
      <c r="I148" s="453"/>
    </row>
    <row r="149" spans="1:9" x14ac:dyDescent="0.2">
      <c r="A149" s="302"/>
      <c r="B149" s="449"/>
      <c r="C149" s="303" t="str">
        <f>IF(COUNT(C148,C150)=2,IF(C148&gt;C150,B148,B150),"")</f>
        <v>Tõnu Kapper, Vladimir Ogneštšikov</v>
      </c>
      <c r="D149" s="269"/>
      <c r="E149" s="301">
        <v>9</v>
      </c>
      <c r="F149" s="305"/>
      <c r="G149" s="287"/>
      <c r="H149" s="269"/>
      <c r="I149" s="269"/>
    </row>
    <row r="150" spans="1:9" x14ac:dyDescent="0.2">
      <c r="A150" s="302" t="s">
        <v>268</v>
      </c>
      <c r="B150" s="450" t="str">
        <f>IFERROR(INDEX(B$1:B$100,MATCH(A150,I$1:I$100,0)),"")</f>
        <v>Tõnu Kapper, Vladimir Ogneštšikov</v>
      </c>
      <c r="C150" s="304">
        <v>13</v>
      </c>
      <c r="D150" s="336"/>
      <c r="E150" s="269"/>
      <c r="F150" s="305"/>
      <c r="G150" s="287"/>
      <c r="H150" s="269"/>
      <c r="I150" s="269"/>
    </row>
    <row r="151" spans="1:9" x14ac:dyDescent="0.2">
      <c r="A151" s="302"/>
      <c r="B151" s="292"/>
      <c r="C151" s="269"/>
      <c r="D151" s="305"/>
      <c r="E151" s="303" t="str">
        <f>IF(COUNT(E149,E153)=2,IF(E149&gt;E153,C149,C153),"")</f>
        <v>Ljudmila Varendi, Viktor Švarõgin</v>
      </c>
      <c r="F151" s="451"/>
      <c r="G151" s="304">
        <v>5</v>
      </c>
      <c r="H151" s="269"/>
      <c r="I151" s="269"/>
    </row>
    <row r="152" spans="1:9" ht="13.5" thickBot="1" x14ac:dyDescent="0.25">
      <c r="A152" s="302" t="s">
        <v>208</v>
      </c>
      <c r="B152" s="289" t="str">
        <f>IFERROR(INDEX(B$1:B$100,MATCH(A152,I$1:I$100,0)),"")</f>
        <v>Ljudmila Varendi, Viktor Švarõgin</v>
      </c>
      <c r="C152" s="301">
        <v>13</v>
      </c>
      <c r="D152" s="305"/>
      <c r="E152" s="306"/>
      <c r="F152" s="287"/>
      <c r="G152" s="287"/>
      <c r="H152" s="452" t="str">
        <f>IF(COUNT(G143,G151)=2,IF(G143&lt;G151,E143,E151),"")</f>
        <v>Ljudmila Varendi, Viktor Švarõgin</v>
      </c>
      <c r="I152" s="454"/>
    </row>
    <row r="153" spans="1:9" x14ac:dyDescent="0.2">
      <c r="A153" s="302"/>
      <c r="B153" s="449"/>
      <c r="C153" s="303" t="str">
        <f>IF(COUNT(C152,C154)=2,IF(C152&gt;C154,B152,B154),"")</f>
        <v>Ljudmila Varendi, Viktor Švarõgin</v>
      </c>
      <c r="D153" s="451"/>
      <c r="E153" s="304">
        <v>13</v>
      </c>
      <c r="F153" s="269"/>
      <c r="G153" s="287"/>
      <c r="H153" s="290" t="s">
        <v>209</v>
      </c>
      <c r="I153" s="287"/>
    </row>
    <row r="154" spans="1:9" x14ac:dyDescent="0.2">
      <c r="A154" s="302" t="s">
        <v>269</v>
      </c>
      <c r="B154" s="450" t="str">
        <f>IFERROR(INDEX(B$1:B$100,MATCH(A154,I$1:I$100,0)),"")</f>
        <v>Daniel Lehtsaar, Roland Põld</v>
      </c>
      <c r="C154" s="304">
        <v>3</v>
      </c>
      <c r="D154" s="269"/>
      <c r="E154" s="287"/>
      <c r="F154" s="287"/>
      <c r="G154" s="287"/>
      <c r="H154" s="269"/>
      <c r="I154" s="269"/>
    </row>
    <row r="155" spans="1:9" x14ac:dyDescent="0.2">
      <c r="A155" s="268"/>
      <c r="B155" s="292"/>
      <c r="C155" s="269"/>
      <c r="D155" s="269"/>
      <c r="E155" s="284" t="str">
        <f>IF(COUNT(E141,E145)=2,IF(E141&lt;E145,C141,C145),"")</f>
        <v>Johannes Neiland, Kaspar Mänd, Urmas Randlaine</v>
      </c>
      <c r="F155" s="269"/>
      <c r="G155" s="301">
        <v>13</v>
      </c>
      <c r="H155" s="269"/>
      <c r="I155" s="269"/>
    </row>
    <row r="156" spans="1:9" ht="13.5" thickBot="1" x14ac:dyDescent="0.25">
      <c r="A156" s="269"/>
      <c r="B156" s="269"/>
      <c r="C156" s="269"/>
      <c r="D156" s="269"/>
      <c r="E156" s="455"/>
      <c r="F156" s="336"/>
      <c r="G156" s="454"/>
      <c r="H156" s="452" t="str">
        <f>IF(COUNT(G155,G157)=2,IF(G155&gt;G157,E155,E157),"")</f>
        <v>Johannes Neiland, Kaspar Mänd, Urmas Randlaine</v>
      </c>
      <c r="I156" s="454"/>
    </row>
    <row r="157" spans="1:9" x14ac:dyDescent="0.2">
      <c r="A157" s="269"/>
      <c r="B157" s="269"/>
      <c r="C157" s="269"/>
      <c r="D157" s="269"/>
      <c r="E157" s="456" t="str">
        <f>IF(COUNT(E149,E153)=2,IF(E149&lt;E153,C149,C153),"")</f>
        <v>Tõnu Kapper, Vladimir Ogneštšikov</v>
      </c>
      <c r="F157" s="451"/>
      <c r="G157" s="304">
        <v>3</v>
      </c>
      <c r="H157" s="296" t="s">
        <v>210</v>
      </c>
      <c r="I157" s="287"/>
    </row>
    <row r="158" spans="1:9" x14ac:dyDescent="0.2">
      <c r="A158" s="269"/>
      <c r="B158" s="269"/>
      <c r="C158" s="269"/>
      <c r="D158" s="269"/>
      <c r="E158" s="269"/>
      <c r="F158" s="269"/>
      <c r="G158" s="269"/>
      <c r="H158" s="287"/>
      <c r="I158" s="287"/>
    </row>
    <row r="159" spans="1:9" ht="13.5" thickBot="1" x14ac:dyDescent="0.25">
      <c r="A159" s="269"/>
      <c r="B159" s="269"/>
      <c r="C159" s="269"/>
      <c r="D159" s="269"/>
      <c r="E159" s="287"/>
      <c r="F159" s="287"/>
      <c r="G159" s="269"/>
      <c r="H159" s="452" t="str">
        <f>IF(COUNT(G155,G157)=2,IF(G155&lt;G157,E155,E157),"")</f>
        <v>Tõnu Kapper, Vladimir Ogneštšikov</v>
      </c>
      <c r="I159" s="454"/>
    </row>
    <row r="160" spans="1:9" x14ac:dyDescent="0.2">
      <c r="A160" s="269"/>
      <c r="B160" s="269"/>
      <c r="C160" s="269"/>
      <c r="D160" s="269"/>
      <c r="E160" s="269"/>
      <c r="F160" s="269"/>
      <c r="G160" s="269"/>
      <c r="H160" s="268" t="s">
        <v>211</v>
      </c>
      <c r="I160" s="269"/>
    </row>
    <row r="161" spans="1:9" x14ac:dyDescent="0.2">
      <c r="A161" s="269"/>
      <c r="B161" s="269"/>
      <c r="C161" s="456" t="str">
        <f>IF(COUNT(C140,C142)=2,IF(C140&lt;C142,B140,B142),"")</f>
        <v>Jaan Saar, Liidia Põllu</v>
      </c>
      <c r="D161" s="269"/>
      <c r="E161" s="301">
        <v>8</v>
      </c>
      <c r="F161" s="301"/>
      <c r="G161" s="301"/>
      <c r="H161" s="269"/>
      <c r="I161" s="269"/>
    </row>
    <row r="162" spans="1:9" x14ac:dyDescent="0.2">
      <c r="A162" s="269"/>
      <c r="B162" s="269"/>
      <c r="C162" s="457"/>
      <c r="D162" s="337"/>
      <c r="E162" s="303" t="str">
        <f>IF(COUNT(E161,E163)=2,IF(E161&gt;E163,C161,C163),"")</f>
        <v>Illar Tõnurist, Urmas Jõeäär</v>
      </c>
      <c r="F162" s="269"/>
      <c r="G162" s="301">
        <v>13</v>
      </c>
      <c r="H162" s="269"/>
      <c r="I162" s="269"/>
    </row>
    <row r="163" spans="1:9" x14ac:dyDescent="0.2">
      <c r="A163" s="269"/>
      <c r="B163" s="269"/>
      <c r="C163" s="456" t="str">
        <f>IF(COUNT(C144,C146)=2,IF(C144&lt;C146,B144,B146),"")</f>
        <v>Illar Tõnurist, Urmas Jõeäär</v>
      </c>
      <c r="D163" s="458"/>
      <c r="E163" s="304">
        <v>13</v>
      </c>
      <c r="F163" s="337"/>
      <c r="G163" s="301"/>
      <c r="H163" s="269"/>
      <c r="I163" s="269"/>
    </row>
    <row r="164" spans="1:9" ht="13.5" thickBot="1" x14ac:dyDescent="0.25">
      <c r="A164" s="269"/>
      <c r="B164" s="269"/>
      <c r="C164" s="301"/>
      <c r="D164" s="301"/>
      <c r="E164" s="269"/>
      <c r="F164" s="309"/>
      <c r="G164" s="301"/>
      <c r="H164" s="452" t="str">
        <f>IF(COUNT(G162,G166)=2,IF(G162&gt;G166,E162,E166),"")</f>
        <v>Illar Tõnurist, Urmas Jõeäär</v>
      </c>
      <c r="I164" s="269"/>
    </row>
    <row r="165" spans="1:9" x14ac:dyDescent="0.2">
      <c r="A165" s="269"/>
      <c r="B165" s="269"/>
      <c r="C165" s="456" t="str">
        <f>IF(COUNT(C148,C150)=2,IF(C148&lt;C150,B148,B150),"")</f>
        <v>Andres Veski, Tõnis Anton</v>
      </c>
      <c r="D165" s="301"/>
      <c r="E165" s="301">
        <v>13</v>
      </c>
      <c r="F165" s="309"/>
      <c r="G165" s="310"/>
      <c r="H165" s="290" t="s">
        <v>212</v>
      </c>
      <c r="I165" s="453"/>
    </row>
    <row r="166" spans="1:9" x14ac:dyDescent="0.2">
      <c r="A166" s="269"/>
      <c r="B166" s="269"/>
      <c r="C166" s="457"/>
      <c r="D166" s="337"/>
      <c r="E166" s="303" t="str">
        <f>IF(COUNT(E165,E167)=2,IF(E165&gt;E167,C165,C167),"")</f>
        <v>Andres Veski, Tõnis Anton</v>
      </c>
      <c r="F166" s="451"/>
      <c r="G166" s="304">
        <v>6</v>
      </c>
      <c r="H166" s="269"/>
      <c r="I166" s="269"/>
    </row>
    <row r="167" spans="1:9" ht="13.5" thickBot="1" x14ac:dyDescent="0.25">
      <c r="A167" s="269"/>
      <c r="B167" s="269"/>
      <c r="C167" s="456" t="str">
        <f>IF(COUNT(C152,C154)=2,IF(C152&lt;C154,B152,B154),"")</f>
        <v>Daniel Lehtsaar, Roland Põld</v>
      </c>
      <c r="D167" s="458"/>
      <c r="E167" s="304">
        <v>8</v>
      </c>
      <c r="F167" s="301"/>
      <c r="G167" s="308"/>
      <c r="H167" s="452" t="str">
        <f>IF(COUNT(G162,G166)=2,IF(G162&lt;G166,E162,E166),"")</f>
        <v>Andres Veski, Tõnis Anton</v>
      </c>
      <c r="I167" s="454"/>
    </row>
    <row r="168" spans="1:9" x14ac:dyDescent="0.2">
      <c r="A168" s="269"/>
      <c r="B168" s="269"/>
      <c r="C168" s="301"/>
      <c r="D168" s="301"/>
      <c r="E168" s="301"/>
      <c r="F168" s="301"/>
      <c r="G168" s="308"/>
      <c r="H168" s="290" t="s">
        <v>213</v>
      </c>
      <c r="I168" s="287"/>
    </row>
    <row r="169" spans="1:9" x14ac:dyDescent="0.2">
      <c r="A169" s="269"/>
      <c r="B169" s="269"/>
      <c r="C169" s="301"/>
      <c r="D169" s="308"/>
      <c r="E169" s="284" t="str">
        <f>IF(COUNT(E161,E163)=2,IF(E161&lt;E163,C161,C163),"")</f>
        <v>Jaan Saar, Liidia Põllu</v>
      </c>
      <c r="F169" s="269"/>
      <c r="G169" s="301">
        <v>13</v>
      </c>
      <c r="H169" s="287"/>
      <c r="I169" s="287"/>
    </row>
    <row r="170" spans="1:9" ht="13.5" thickBot="1" x14ac:dyDescent="0.25">
      <c r="A170" s="269"/>
      <c r="B170" s="269"/>
      <c r="C170" s="301"/>
      <c r="D170" s="308"/>
      <c r="E170" s="455"/>
      <c r="F170" s="336"/>
      <c r="G170" s="454"/>
      <c r="H170" s="452" t="str">
        <f>IF(COUNT(G169,G171)=2,IF(G169&gt;G171,E169,E171),"")</f>
        <v>Jaan Saar, Liidia Põllu</v>
      </c>
      <c r="I170" s="454"/>
    </row>
    <row r="171" spans="1:9" x14ac:dyDescent="0.2">
      <c r="A171" s="269"/>
      <c r="B171" s="269"/>
      <c r="C171" s="301"/>
      <c r="D171" s="308"/>
      <c r="E171" s="456" t="str">
        <f>IF(COUNT(E165,E167)=2,IF(E165&lt;E167,C165,C167),"")</f>
        <v>Daniel Lehtsaar, Roland Põld</v>
      </c>
      <c r="F171" s="451"/>
      <c r="G171" s="304">
        <v>1</v>
      </c>
      <c r="H171" s="290" t="s">
        <v>216</v>
      </c>
      <c r="I171" s="287"/>
    </row>
    <row r="172" spans="1:9" x14ac:dyDescent="0.2">
      <c r="A172" s="269"/>
      <c r="B172" s="269"/>
      <c r="C172" s="269"/>
      <c r="D172" s="287"/>
      <c r="E172" s="269"/>
      <c r="F172" s="269"/>
      <c r="G172" s="269"/>
      <c r="H172" s="287"/>
      <c r="I172" s="287"/>
    </row>
    <row r="173" spans="1:9" ht="13.5" thickBot="1" x14ac:dyDescent="0.25">
      <c r="A173" s="269"/>
      <c r="B173" s="269"/>
      <c r="C173" s="269"/>
      <c r="D173" s="269"/>
      <c r="E173" s="287"/>
      <c r="F173" s="287"/>
      <c r="G173" s="269"/>
      <c r="H173" s="454" t="str">
        <f>IF(COUNT(G169,G171)=2,IF(G169&lt;G171,E169,E171),"")</f>
        <v>Daniel Lehtsaar, Roland Põld</v>
      </c>
      <c r="I173" s="454"/>
    </row>
    <row r="174" spans="1:9" x14ac:dyDescent="0.2">
      <c r="A174" s="80"/>
      <c r="B174" s="140"/>
      <c r="C174" s="285"/>
      <c r="D174" s="285"/>
      <c r="E174" s="285"/>
      <c r="F174" s="285"/>
      <c r="G174" s="323"/>
      <c r="H174" s="290" t="s">
        <v>217</v>
      </c>
      <c r="I174" s="79"/>
    </row>
    <row r="175" spans="1:9" hidden="1" x14ac:dyDescent="0.2">
      <c r="A175" s="151"/>
    </row>
    <row r="176" spans="1:9" hidden="1" x14ac:dyDescent="0.2">
      <c r="A176" s="52"/>
    </row>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5" hidden="1" x14ac:dyDescent="0.2"/>
    <row r="290" spans="1:5" hidden="1" x14ac:dyDescent="0.2"/>
    <row r="291" spans="1:5" hidden="1" x14ac:dyDescent="0.2"/>
    <row r="292" spans="1:5" hidden="1" x14ac:dyDescent="0.2"/>
    <row r="293" spans="1:5" hidden="1" x14ac:dyDescent="0.2"/>
    <row r="294" spans="1:5" hidden="1" x14ac:dyDescent="0.2"/>
    <row r="295" spans="1:5" hidden="1" x14ac:dyDescent="0.2"/>
    <row r="296" spans="1:5" hidden="1" x14ac:dyDescent="0.2"/>
    <row r="297" spans="1:5" hidden="1" x14ac:dyDescent="0.2"/>
    <row r="299" spans="1:5" x14ac:dyDescent="0.2">
      <c r="A299" s="271"/>
      <c r="B299" s="271"/>
      <c r="C299" s="401" t="s">
        <v>248</v>
      </c>
    </row>
    <row r="300" spans="1:5" x14ac:dyDescent="0.2">
      <c r="A300" s="530">
        <v>1</v>
      </c>
      <c r="B300" s="529" t="str">
        <f t="shared" ref="B300:B315" si="9">IFERROR(INDEX(H$100:H$300,MATCH(A300&amp;". koht",H$101:H$301,0)),"")</f>
        <v>Aarne Välja, Janek Tarto</v>
      </c>
      <c r="C300" s="499">
        <f t="shared" ref="C300:C315" si="10">IF(21-A300&gt;0,21-A300,1)</f>
        <v>20</v>
      </c>
      <c r="E300" s="477"/>
    </row>
    <row r="301" spans="1:5" x14ac:dyDescent="0.2">
      <c r="A301" s="530">
        <v>2</v>
      </c>
      <c r="B301" s="529" t="str">
        <f t="shared" si="9"/>
        <v>Kenneth Muusikus, Mait Metsla</v>
      </c>
      <c r="C301" s="499">
        <f t="shared" si="10"/>
        <v>19</v>
      </c>
      <c r="E301" s="477"/>
    </row>
    <row r="302" spans="1:5" x14ac:dyDescent="0.2">
      <c r="A302" s="530">
        <v>3</v>
      </c>
      <c r="B302" s="529" t="str">
        <f t="shared" si="9"/>
        <v>Jaan Sepp, Oskar Sepp</v>
      </c>
      <c r="C302" s="499">
        <f t="shared" si="10"/>
        <v>18</v>
      </c>
      <c r="E302" s="477"/>
    </row>
    <row r="303" spans="1:5" x14ac:dyDescent="0.2">
      <c r="A303" s="530">
        <v>4</v>
      </c>
      <c r="B303" s="529" t="str">
        <f t="shared" si="9"/>
        <v>Andrei Grintšak, Oleg Rõndenkov</v>
      </c>
      <c r="C303" s="499">
        <f t="shared" si="10"/>
        <v>17</v>
      </c>
      <c r="E303" s="477"/>
    </row>
    <row r="304" spans="1:5" x14ac:dyDescent="0.2">
      <c r="A304" s="530">
        <v>5</v>
      </c>
      <c r="B304" s="529" t="str">
        <f t="shared" si="9"/>
        <v>Aigi Orro, Kalle Orro</v>
      </c>
      <c r="C304" s="499">
        <f t="shared" si="10"/>
        <v>16</v>
      </c>
      <c r="E304" s="477"/>
    </row>
    <row r="305" spans="1:5" x14ac:dyDescent="0.2">
      <c r="A305" s="530">
        <v>6</v>
      </c>
      <c r="B305" s="529" t="str">
        <f t="shared" si="9"/>
        <v>Enn Tokman, Tarmo Bombe</v>
      </c>
      <c r="C305" s="499">
        <f t="shared" si="10"/>
        <v>15</v>
      </c>
      <c r="E305" s="477"/>
    </row>
    <row r="306" spans="1:5" x14ac:dyDescent="0.2">
      <c r="A306" s="530">
        <v>7</v>
      </c>
      <c r="B306" s="529" t="str">
        <f t="shared" si="9"/>
        <v>Elmo Lageda, Tõnu Piik</v>
      </c>
      <c r="C306" s="499">
        <f t="shared" si="10"/>
        <v>14</v>
      </c>
      <c r="E306" s="477"/>
    </row>
    <row r="307" spans="1:5" x14ac:dyDescent="0.2">
      <c r="A307" s="530">
        <v>8</v>
      </c>
      <c r="B307" s="529" t="str">
        <f t="shared" si="9"/>
        <v>Aurelia Meldre, Karla Purgats</v>
      </c>
      <c r="C307" s="499">
        <f t="shared" si="10"/>
        <v>13</v>
      </c>
      <c r="E307" s="477"/>
    </row>
    <row r="308" spans="1:5" x14ac:dyDescent="0.2">
      <c r="A308" s="530">
        <v>9</v>
      </c>
      <c r="B308" s="529" t="str">
        <f t="shared" si="9"/>
        <v>Boriss Klubov, Emil Murzajev</v>
      </c>
      <c r="C308" s="499">
        <f t="shared" si="10"/>
        <v>12</v>
      </c>
      <c r="E308" s="477"/>
    </row>
    <row r="309" spans="1:5" x14ac:dyDescent="0.2">
      <c r="A309" s="530">
        <v>10</v>
      </c>
      <c r="B309" s="529" t="str">
        <f t="shared" si="9"/>
        <v>Ljudmila Varendi, Viktor Švarõgin</v>
      </c>
      <c r="C309" s="499">
        <f t="shared" si="10"/>
        <v>11</v>
      </c>
      <c r="E309" s="477"/>
    </row>
    <row r="310" spans="1:5" x14ac:dyDescent="0.2">
      <c r="A310" s="530">
        <v>11</v>
      </c>
      <c r="B310" s="529" t="str">
        <f t="shared" si="9"/>
        <v>Johannes Neiland, Kaspar Mänd, Urmas Randlaine</v>
      </c>
      <c r="C310" s="499">
        <f t="shared" si="10"/>
        <v>10</v>
      </c>
      <c r="E310" s="477"/>
    </row>
    <row r="311" spans="1:5" x14ac:dyDescent="0.2">
      <c r="A311" s="530">
        <v>12</v>
      </c>
      <c r="B311" s="529" t="str">
        <f t="shared" si="9"/>
        <v>Tõnu Kapper, Vladimir Ogneštšikov</v>
      </c>
      <c r="C311" s="499">
        <f t="shared" si="10"/>
        <v>9</v>
      </c>
      <c r="E311" s="477"/>
    </row>
    <row r="312" spans="1:5" x14ac:dyDescent="0.2">
      <c r="A312" s="530">
        <v>13</v>
      </c>
      <c r="B312" s="529" t="str">
        <f t="shared" si="9"/>
        <v>Illar Tõnurist, Urmas Jõeäär</v>
      </c>
      <c r="C312" s="499">
        <f t="shared" si="10"/>
        <v>8</v>
      </c>
    </row>
    <row r="313" spans="1:5" x14ac:dyDescent="0.2">
      <c r="A313" s="530">
        <v>14</v>
      </c>
      <c r="B313" s="529" t="str">
        <f t="shared" si="9"/>
        <v>Andres Veski, Tõnis Anton</v>
      </c>
      <c r="C313" s="499">
        <f t="shared" si="10"/>
        <v>7</v>
      </c>
      <c r="E313" s="477"/>
    </row>
    <row r="314" spans="1:5" x14ac:dyDescent="0.2">
      <c r="A314" s="530">
        <v>15</v>
      </c>
      <c r="B314" s="529" t="str">
        <f t="shared" si="9"/>
        <v>Jaan Saar, Liidia Põllu</v>
      </c>
      <c r="C314" s="499">
        <f t="shared" si="10"/>
        <v>6</v>
      </c>
      <c r="E314" s="477"/>
    </row>
    <row r="315" spans="1:5" x14ac:dyDescent="0.2">
      <c r="A315" s="530">
        <v>16</v>
      </c>
      <c r="B315" s="529" t="str">
        <f t="shared" si="9"/>
        <v>Daniel Lehtsaar, Roland Põld</v>
      </c>
      <c r="C315" s="499">
        <f t="shared" si="10"/>
        <v>5</v>
      </c>
      <c r="E315" s="1026"/>
    </row>
  </sheetData>
  <conditionalFormatting sqref="D7 C8">
    <cfRule type="aboveAverage" dxfId="1898" priority="274"/>
  </conditionalFormatting>
  <conditionalFormatting sqref="E7 C9">
    <cfRule type="aboveAverage" dxfId="1897" priority="273"/>
  </conditionalFormatting>
  <conditionalFormatting sqref="F7 C10">
    <cfRule type="aboveAverage" dxfId="1896" priority="272"/>
  </conditionalFormatting>
  <conditionalFormatting sqref="E8 D9">
    <cfRule type="aboveAverage" dxfId="1895" priority="271"/>
  </conditionalFormatting>
  <conditionalFormatting sqref="G7 C11">
    <cfRule type="aboveAverage" dxfId="1894" priority="270"/>
  </conditionalFormatting>
  <conditionalFormatting sqref="F8 D10">
    <cfRule type="aboveAverage" dxfId="1893" priority="269"/>
  </conditionalFormatting>
  <conditionalFormatting sqref="G8 D11">
    <cfRule type="aboveAverage" dxfId="1892" priority="268"/>
  </conditionalFormatting>
  <conditionalFormatting sqref="F9 E10">
    <cfRule type="aboveAverage" dxfId="1891" priority="267"/>
  </conditionalFormatting>
  <conditionalFormatting sqref="G9 E11">
    <cfRule type="aboveAverage" dxfId="1890" priority="266"/>
  </conditionalFormatting>
  <conditionalFormatting sqref="F11 G10">
    <cfRule type="aboveAverage" dxfId="1889" priority="265"/>
  </conditionalFormatting>
  <conditionalFormatting sqref="D14 C15">
    <cfRule type="aboveAverage" dxfId="1888" priority="264"/>
  </conditionalFormatting>
  <conditionalFormatting sqref="E14 C16">
    <cfRule type="aboveAverage" dxfId="1887" priority="263"/>
  </conditionalFormatting>
  <conditionalFormatting sqref="F14 C17">
    <cfRule type="aboveAverage" dxfId="1886" priority="262"/>
  </conditionalFormatting>
  <conditionalFormatting sqref="E15 D16">
    <cfRule type="aboveAverage" dxfId="1885" priority="261"/>
  </conditionalFormatting>
  <conditionalFormatting sqref="G14 C18">
    <cfRule type="aboveAverage" dxfId="1884" priority="260"/>
  </conditionalFormatting>
  <conditionalFormatting sqref="F15 D17">
    <cfRule type="aboveAverage" dxfId="1883" priority="259"/>
  </conditionalFormatting>
  <conditionalFormatting sqref="G15 D18">
    <cfRule type="aboveAverage" dxfId="1882" priority="258"/>
  </conditionalFormatting>
  <conditionalFormatting sqref="F16 E17">
    <cfRule type="aboveAverage" dxfId="1881" priority="257"/>
  </conditionalFormatting>
  <conditionalFormatting sqref="G16 E18">
    <cfRule type="aboveAverage" dxfId="1880" priority="256"/>
  </conditionalFormatting>
  <conditionalFormatting sqref="F18 G17">
    <cfRule type="aboveAverage" dxfId="1879" priority="255"/>
  </conditionalFormatting>
  <conditionalFormatting sqref="D21 C22">
    <cfRule type="aboveAverage" dxfId="1878" priority="254"/>
  </conditionalFormatting>
  <conditionalFormatting sqref="E21 C23">
    <cfRule type="aboveAverage" dxfId="1877" priority="253"/>
  </conditionalFormatting>
  <conditionalFormatting sqref="F21 C24">
    <cfRule type="aboveAverage" dxfId="1876" priority="252"/>
  </conditionalFormatting>
  <conditionalFormatting sqref="E22 D23">
    <cfRule type="aboveAverage" dxfId="1875" priority="251"/>
  </conditionalFormatting>
  <conditionalFormatting sqref="G21 C25">
    <cfRule type="aboveAverage" dxfId="1874" priority="250"/>
  </conditionalFormatting>
  <conditionalFormatting sqref="F22 D24">
    <cfRule type="aboveAverage" dxfId="1873" priority="249"/>
  </conditionalFormatting>
  <conditionalFormatting sqref="G22 D25">
    <cfRule type="aboveAverage" dxfId="1872" priority="248"/>
  </conditionalFormatting>
  <conditionalFormatting sqref="F23 E24">
    <cfRule type="aboveAverage" dxfId="1871" priority="247"/>
  </conditionalFormatting>
  <conditionalFormatting sqref="G23 E25">
    <cfRule type="aboveAverage" dxfId="1870" priority="246"/>
  </conditionalFormatting>
  <conditionalFormatting sqref="F25 G24">
    <cfRule type="aboveAverage" dxfId="1869" priority="245"/>
  </conditionalFormatting>
  <conditionalFormatting sqref="D28 C29">
    <cfRule type="aboveAverage" dxfId="1868" priority="244"/>
  </conditionalFormatting>
  <conditionalFormatting sqref="E28 C30">
    <cfRule type="aboveAverage" dxfId="1867" priority="243"/>
  </conditionalFormatting>
  <conditionalFormatting sqref="F28 C31">
    <cfRule type="aboveAverage" dxfId="1866" priority="242"/>
  </conditionalFormatting>
  <conditionalFormatting sqref="E29 D30">
    <cfRule type="aboveAverage" dxfId="1865" priority="241"/>
  </conditionalFormatting>
  <conditionalFormatting sqref="G28 C32">
    <cfRule type="aboveAverage" dxfId="1864" priority="240"/>
  </conditionalFormatting>
  <conditionalFormatting sqref="F29 D31">
    <cfRule type="aboveAverage" dxfId="1863" priority="239"/>
  </conditionalFormatting>
  <conditionalFormatting sqref="G29 D32">
    <cfRule type="aboveAverage" dxfId="1862" priority="238"/>
  </conditionalFormatting>
  <conditionalFormatting sqref="F30 E31">
    <cfRule type="aboveAverage" dxfId="1861" priority="237"/>
  </conditionalFormatting>
  <conditionalFormatting sqref="G30 E32">
    <cfRule type="aboveAverage" dxfId="1860" priority="236"/>
  </conditionalFormatting>
  <conditionalFormatting sqref="F32 G31">
    <cfRule type="aboveAverage" dxfId="1859" priority="235"/>
  </conditionalFormatting>
  <conditionalFormatting sqref="H14:H18">
    <cfRule type="expression" dxfId="1858" priority="181">
      <formula>AND(Q14=4,IF(COUNTIF(Q$14:Q$18,"=4")&gt;=2,TRUE))</formula>
    </cfRule>
    <cfRule type="expression" dxfId="1857" priority="275">
      <formula>AND(Q14=3,IF(COUNTIF(Q$14:Q$18,"=3")&gt;=2,TRUE))</formula>
    </cfRule>
    <cfRule type="expression" dxfId="1856" priority="276">
      <formula>AND(Q14=2,IF(COUNTIF(Q$14:Q$18,"=2")&gt;=2,TRUE))</formula>
    </cfRule>
    <cfRule type="expression" dxfId="1855" priority="277">
      <formula>AND(Q14=1,IF(COUNTIF(Q$14:Q$18,"=1")&gt;=2,TRUE))</formula>
    </cfRule>
  </conditionalFormatting>
  <conditionalFormatting sqref="B7:B33">
    <cfRule type="duplicateValues" dxfId="1854" priority="234"/>
  </conditionalFormatting>
  <conditionalFormatting sqref="L7:L11">
    <cfRule type="expression" dxfId="1853" priority="217">
      <formula>K7=0</formula>
    </cfRule>
    <cfRule type="expression" dxfId="1852" priority="226">
      <formula>IF(COUNTIF(J$7:J$11,"=2")=2,TRUE)</formula>
    </cfRule>
    <cfRule type="expression" dxfId="1851" priority="227">
      <formula>IF(COUNTIF(J$7:J$11,"=1")=2,TRUE)</formula>
    </cfRule>
    <cfRule type="expression" dxfId="1850" priority="228">
      <formula>AND(IF(COUNTIF(Q$7:Q$11,"=1")=2,TRUE),IF(COUNTIF(Q$7:Q$11,"=2")=2,TRUE))</formula>
    </cfRule>
    <cfRule type="expression" dxfId="1849" priority="229">
      <formula>AND(Q7=4,IF(COUNTIF(Q$7:Q$11,"=4")=1,TRUE))</formula>
    </cfRule>
    <cfRule type="expression" dxfId="1848" priority="230">
      <formula>AND(Q7=3,IF(COUNTIF(Q$7:Q$11,"=3")=1,TRUE))</formula>
    </cfRule>
    <cfRule type="expression" dxfId="1847" priority="231">
      <formula>AND(Q7=2,IF(COUNTIF(Q$7:Q$11,"=2")=1,TRUE))</formula>
    </cfRule>
    <cfRule type="expression" dxfId="1846" priority="232">
      <formula>AND(Q7=1,IF(COUNTIF(Q$7:Q$11,"=1")=1,TRUE))</formula>
    </cfRule>
    <cfRule type="expression" dxfId="1845" priority="233">
      <formula>OR(Q7=0,Q7=5)</formula>
    </cfRule>
  </conditionalFormatting>
  <conditionalFormatting sqref="O7:O11">
    <cfRule type="expression" dxfId="1844" priority="225">
      <formula>OR(AND(J7=1,K7=1,L7=0,M7=1),AND(J7=2,K7=2,L7=0,M7=2))</formula>
    </cfRule>
  </conditionalFormatting>
  <conditionalFormatting sqref="M7:M11">
    <cfRule type="expression" dxfId="1843" priority="218">
      <formula>AND(L7&gt;0,IF(COUNTIF(L$7:L$11,L7)&gt;1,TRUE,FALSE))</formula>
    </cfRule>
    <cfRule type="expression" dxfId="1842" priority="219">
      <formula>AND(IF(COUNTIF(R$7:R$11,"=1")=2,TRUE),IF(COUNTIF(R$7:R$11,"=2")=2,TRUE))</formula>
    </cfRule>
    <cfRule type="expression" dxfId="1841" priority="220">
      <formula>AND(R7=4,IF(COUNTIF(R$7:R$11,"=4")=1,TRUE))</formula>
    </cfRule>
    <cfRule type="expression" dxfId="1840" priority="221">
      <formula>AND(R7=3,IF(COUNTIF(R$7:R$11,"=3")=1,TRUE))</formula>
    </cfRule>
    <cfRule type="expression" dxfId="1839" priority="222">
      <formula>AND(R7=2,IF(COUNTIF(R$7:R$11,"=2")=1,TRUE))</formula>
    </cfRule>
    <cfRule type="expression" dxfId="1838" priority="223">
      <formula>AND(R7=1,IF(COUNTIF(R$7:R$11,"=1")=1,TRUE))</formula>
    </cfRule>
    <cfRule type="expression" dxfId="1837" priority="224">
      <formula>OR(R7=0,R7=5)</formula>
    </cfRule>
  </conditionalFormatting>
  <conditionalFormatting sqref="J7:J11">
    <cfRule type="expression" dxfId="1836" priority="213">
      <formula>AND(Q7=4,IF(COUNTIF(Q$7:Q$11,"=4")&gt;=2,TRUE))</formula>
    </cfRule>
    <cfRule type="expression" dxfId="1835" priority="214">
      <formula>AND(Q7=3,IF(COUNTIF(Q$7:Q$11,"=3")&gt;=2,TRUE))</formula>
    </cfRule>
    <cfRule type="expression" dxfId="1834" priority="215">
      <formula>AND(Q7=2,IF(COUNTIF(Q$7:Q$11,"=2")&gt;=2,TRUE))</formula>
    </cfRule>
    <cfRule type="expression" dxfId="1833" priority="216">
      <formula>AND(Q7=1,IF(COUNTIF(Q$7:Q$11,"=1")&gt;=2,TRUE))</formula>
    </cfRule>
  </conditionalFormatting>
  <conditionalFormatting sqref="H7:H11">
    <cfRule type="expression" dxfId="1832" priority="182">
      <formula>AND(Q7=4,IF(COUNTIF(Q$7:Q$11,"=4")&gt;=2,TRUE))</formula>
    </cfRule>
    <cfRule type="expression" dxfId="1831" priority="278">
      <formula>AND(Q7=3,IF(COUNTIF(Q$7:Q$11,"=3")&gt;=2,TRUE))</formula>
    </cfRule>
    <cfRule type="expression" dxfId="1830" priority="279">
      <formula>AND(Q7=2,IF(COUNTIF(Q$7:Q$11,"=2")&gt;=2,TRUE))</formula>
    </cfRule>
    <cfRule type="expression" dxfId="1829" priority="280">
      <formula>AND(Q7=1,IF(COUNTIF(Q$7:Q$11,"=1")&gt;=2,TRUE))</formula>
    </cfRule>
  </conditionalFormatting>
  <conditionalFormatting sqref="K7:K11">
    <cfRule type="expression" dxfId="1828" priority="281">
      <formula>AND(J7&gt;0,IF(COUNTIF(J$7:J$11,"=1")=2,TRUE),IF(COUNTIF(J$7:J$11,"=2")=2,TRUE))</formula>
    </cfRule>
    <cfRule type="expression" dxfId="1827" priority="282">
      <formula>IF(COUNTIF(L$7:L$11,"=2")=2,TRUE)</formula>
    </cfRule>
    <cfRule type="expression" dxfId="1826" priority="283">
      <formula>IF(COUNTIF(L$7:L$11,"=1")=2,TRUE)</formula>
    </cfRule>
    <cfRule type="expression" dxfId="1825" priority="284">
      <formula>AND(IF(COUNTIF(R$7:R$11,"=1")=2,TRUE),IF(COUNTIF(S$7:S$11,"=2")=2,TRUE))</formula>
    </cfRule>
    <cfRule type="expression" dxfId="1824" priority="285">
      <formula>AND(R7=4,IF(COUNTIF(R$7:R$11,"=4")=1,TRUE))</formula>
    </cfRule>
    <cfRule type="expression" dxfId="1823" priority="286">
      <formula>AND(R7=3,IF(COUNTIF(R$7:R$11,"=3")=1,TRUE))</formula>
    </cfRule>
    <cfRule type="expression" dxfId="1822" priority="287">
      <formula>AND(R7=2,IF(COUNTIF(R$7:R$11,"=2")=1,TRUE))</formula>
    </cfRule>
    <cfRule type="expression" dxfId="1821" priority="288">
      <formula>AND(R7=1,IF(COUNTIF(R$7:R$11,"=1")=1,TRUE))</formula>
    </cfRule>
    <cfRule type="expression" dxfId="1820" priority="289">
      <formula>OR(R7=0,R7=5)</formula>
    </cfRule>
  </conditionalFormatting>
  <conditionalFormatting sqref="L14:L18">
    <cfRule type="expression" dxfId="1819" priority="187">
      <formula>K14=0</formula>
    </cfRule>
    <cfRule type="expression" dxfId="1818" priority="196">
      <formula>IF(COUNTIF(J$14:J$18,"=2")=2,TRUE)</formula>
    </cfRule>
    <cfRule type="expression" dxfId="1817" priority="197">
      <formula>IF(COUNTIF(J$14:J$18,"=1")=2,TRUE)</formula>
    </cfRule>
    <cfRule type="expression" dxfId="1816" priority="198">
      <formula>AND(IF(COUNTIF(Q$14:Q$18,"=1")=2,TRUE),IF(COUNTIF(Q$14:Q$18,"=2")=2,TRUE))</formula>
    </cfRule>
    <cfRule type="expression" dxfId="1815" priority="199">
      <formula>AND(Q14=4,IF(COUNTIF(Q$14:Q$18,"=4")=1,TRUE))</formula>
    </cfRule>
    <cfRule type="expression" dxfId="1814" priority="200">
      <formula>AND(Q14=3,IF(COUNTIF(Q$14:Q$18,"=3")=1,TRUE))</formula>
    </cfRule>
    <cfRule type="expression" dxfId="1813" priority="201">
      <formula>AND(Q14=2,IF(COUNTIF(Q$14:Q$18,"=2")=1,TRUE))</formula>
    </cfRule>
    <cfRule type="expression" dxfId="1812" priority="202">
      <formula>AND(Q14=1,IF(COUNTIF(Q$14:Q$18,"=1")=1,TRUE))</formula>
    </cfRule>
    <cfRule type="expression" dxfId="1811" priority="203">
      <formula>OR(Q14=0,Q14=5)</formula>
    </cfRule>
  </conditionalFormatting>
  <conditionalFormatting sqref="O14:O18">
    <cfRule type="expression" dxfId="1810" priority="195">
      <formula>OR(AND(J14=1,K14=1,L14=0,M14=1),AND(J14=2,K14=2,L14=0,M14=2))</formula>
    </cfRule>
  </conditionalFormatting>
  <conditionalFormatting sqref="M14:M18">
    <cfRule type="expression" dxfId="1809" priority="188">
      <formula>AND(L14&gt;0,IF(COUNTIF(L$14:L$18,L14)&gt;1,TRUE,FALSE))</formula>
    </cfRule>
    <cfRule type="expression" dxfId="1808" priority="189">
      <formula>AND(IF(COUNTIF(R$14:R$18,"=1")=2,TRUE),IF(COUNTIF(R$14:R$18,"=2")=2,TRUE))</formula>
    </cfRule>
    <cfRule type="expression" dxfId="1807" priority="190">
      <formula>AND(R14=4,IF(COUNTIF(R$14:R$18,"=4")=1,TRUE))</formula>
    </cfRule>
    <cfRule type="expression" dxfId="1806" priority="191">
      <formula>AND(R14=3,IF(COUNTIF(R$14:R$18,"=3")=1,TRUE))</formula>
    </cfRule>
    <cfRule type="expression" dxfId="1805" priority="192">
      <formula>AND(R14=2,IF(COUNTIF(R$14:R$18,"=2")=1,TRUE))</formula>
    </cfRule>
    <cfRule type="expression" dxfId="1804" priority="193">
      <formula>AND(R14=1,IF(COUNTIF(R$14:R$18,"=1")=1,TRUE))</formula>
    </cfRule>
    <cfRule type="expression" dxfId="1803" priority="194">
      <formula>OR(R14=0,R14=5)</formula>
    </cfRule>
  </conditionalFormatting>
  <conditionalFormatting sqref="J14:J18">
    <cfRule type="expression" dxfId="1802" priority="183">
      <formula>AND(Q14=4,IF(COUNTIF(Q$14:Q$18,"=4")&gt;=2,TRUE))</formula>
    </cfRule>
    <cfRule type="expression" dxfId="1801" priority="184">
      <formula>AND(Q14=3,IF(COUNTIF(Q$14:Q$18,"=3")&gt;=2,TRUE))</formula>
    </cfRule>
    <cfRule type="expression" dxfId="1800" priority="185">
      <formula>AND(Q14=2,IF(COUNTIF(Q$14:Q$18,"=2")&gt;=2,TRUE))</formula>
    </cfRule>
    <cfRule type="expression" dxfId="1799" priority="186">
      <formula>AND(Q14=1,IF(COUNTIF(Q$14:Q$18,"=1")&gt;=2,TRUE))</formula>
    </cfRule>
  </conditionalFormatting>
  <conditionalFormatting sqref="K14:K18">
    <cfRule type="expression" dxfId="1798" priority="204">
      <formula>AND(J14&gt;0,IF(COUNTIF(J$14:J$18,"=1")=2,TRUE),IF(COUNTIF(J$14:J$18,"=2")=2,TRUE))</formula>
    </cfRule>
    <cfRule type="expression" dxfId="1797" priority="205">
      <formula>IF(COUNTIF(L$14:L$18,"=2")=2,TRUE)</formula>
    </cfRule>
    <cfRule type="expression" dxfId="1796" priority="206">
      <formula>IF(COUNTIF(L$14:L$18,"=1")=2,TRUE)</formula>
    </cfRule>
    <cfRule type="expression" dxfId="1795" priority="207">
      <formula>AND(IF(COUNTIF(R$14:R$18,"=1")=2,TRUE),IF(COUNTIF(S$14:S$18,"=2")=2,TRUE))</formula>
    </cfRule>
    <cfRule type="expression" dxfId="1794" priority="208">
      <formula>AND(R14=4,IF(COUNTIF(R$14:R$18,"=4")=1,TRUE))</formula>
    </cfRule>
    <cfRule type="expression" dxfId="1793" priority="209">
      <formula>AND(R14=3,IF(COUNTIF(R$14:R$18,"=3")=1,TRUE))</formula>
    </cfRule>
    <cfRule type="expression" dxfId="1792" priority="210">
      <formula>AND(R14=2,IF(COUNTIF(R$14:R$18,"=2")=1,TRUE))</formula>
    </cfRule>
    <cfRule type="expression" dxfId="1791" priority="211">
      <formula>AND(R14=1,IF(COUNTIF(R$14:R$18,"=1")=1,TRUE))</formula>
    </cfRule>
    <cfRule type="expression" dxfId="1790" priority="212">
      <formula>OR(R14=0,R14=5)</formula>
    </cfRule>
  </conditionalFormatting>
  <conditionalFormatting sqref="L21:L25">
    <cfRule type="expression" dxfId="1789" priority="155">
      <formula>K21=0</formula>
    </cfRule>
    <cfRule type="expression" dxfId="1788" priority="164">
      <formula>IF(COUNTIF(J$21:J$25,"=2")=2,TRUE)</formula>
    </cfRule>
    <cfRule type="expression" dxfId="1787" priority="165">
      <formula>IF(COUNTIF(J$21:J$25,"=1")=2,TRUE)</formula>
    </cfRule>
    <cfRule type="expression" dxfId="1786" priority="166">
      <formula>AND(IF(COUNTIF(Q$21:Q$25,"=1")=2,TRUE),IF(COUNTIF(Q$21:Q$25,"=2")=2,TRUE))</formula>
    </cfRule>
    <cfRule type="expression" dxfId="1785" priority="167">
      <formula>AND(Q21=4,IF(COUNTIF(Q$21:Q$25,"=4")=1,TRUE))</formula>
    </cfRule>
    <cfRule type="expression" dxfId="1784" priority="168">
      <formula>AND(Q21=3,IF(COUNTIF(Q$21:Q$25,"=3")=1,TRUE))</formula>
    </cfRule>
    <cfRule type="expression" dxfId="1783" priority="169">
      <formula>AND(Q21=2,IF(COUNTIF(Q$21:Q$25,"=2")=1,TRUE))</formula>
    </cfRule>
    <cfRule type="expression" dxfId="1782" priority="170">
      <formula>AND(Q21=1,IF(COUNTIF(Q$21:Q$25,"=1")=1,TRUE))</formula>
    </cfRule>
    <cfRule type="expression" dxfId="1781" priority="171">
      <formula>OR(Q21=0,Q21=5)</formula>
    </cfRule>
  </conditionalFormatting>
  <conditionalFormatting sqref="O21:O25">
    <cfRule type="expression" dxfId="1780" priority="163">
      <formula>OR(AND(J21=1,K21=1,L21=0,M21=1),AND(J21=2,K21=2,L21=0,M21=2))</formula>
    </cfRule>
  </conditionalFormatting>
  <conditionalFormatting sqref="M21:M25">
    <cfRule type="expression" dxfId="1779" priority="156">
      <formula>AND(L21&gt;0,IF(COUNTIF(L$21:L$25,L21)&gt;1,TRUE,FALSE))</formula>
    </cfRule>
    <cfRule type="expression" dxfId="1778" priority="157">
      <formula>AND(IF(COUNTIF(R$21:R$25,"=1")=2,TRUE),IF(COUNTIF(R$21:R$25,"=2")=2,TRUE))</formula>
    </cfRule>
    <cfRule type="expression" dxfId="1777" priority="158">
      <formula>AND(R21=4,IF(COUNTIF(R$21:R$25,"=4")=1,TRUE))</formula>
    </cfRule>
    <cfRule type="expression" dxfId="1776" priority="159">
      <formula>AND(R21=3,IF(COUNTIF(R$21:R$25,"=3")=1,TRUE))</formula>
    </cfRule>
    <cfRule type="expression" dxfId="1775" priority="160">
      <formula>AND(R21=2,IF(COUNTIF(R$21:R$25,"=2")=1,TRUE))</formula>
    </cfRule>
    <cfRule type="expression" dxfId="1774" priority="161">
      <formula>AND(R21=1,IF(COUNTIF(R$21:R$25,"=1")=1,TRUE))</formula>
    </cfRule>
    <cfRule type="expression" dxfId="1773" priority="162">
      <formula>OR(R21=0,R21=5)</formula>
    </cfRule>
  </conditionalFormatting>
  <conditionalFormatting sqref="J21:J25">
    <cfRule type="expression" dxfId="1772" priority="151">
      <formula>AND(Q21=4,IF(COUNTIF(Q$21:Q$25,"=4")&gt;=2,TRUE))</formula>
    </cfRule>
    <cfRule type="expression" dxfId="1771" priority="152">
      <formula>AND(Q21=3,IF(COUNTIF(Q$21:Q$25,"=3")&gt;=2,TRUE))</formula>
    </cfRule>
    <cfRule type="expression" dxfId="1770" priority="153">
      <formula>AND(Q21=2,IF(COUNTIF(Q$21:Q$25,"=2")&gt;=2,TRUE))</formula>
    </cfRule>
    <cfRule type="expression" dxfId="1769" priority="154">
      <formula>AND(Q21=1,IF(COUNTIF(Q$21:Q$25,"=1")&gt;=2,TRUE))</formula>
    </cfRule>
  </conditionalFormatting>
  <conditionalFormatting sqref="K21:K25">
    <cfRule type="expression" dxfId="1768" priority="172">
      <formula>AND(J21&gt;0,IF(COUNTIF(J$21:J$25,"=1")=2,TRUE),IF(COUNTIF(J$21:J$25,"=2")=2,TRUE))</formula>
    </cfRule>
    <cfRule type="expression" dxfId="1767" priority="173">
      <formula>IF(COUNTIF(L$21:L$25,"=2")=2,TRUE)</formula>
    </cfRule>
    <cfRule type="expression" dxfId="1766" priority="174">
      <formula>IF(COUNTIF(L$21:L$25,"=1")=2,TRUE)</formula>
    </cfRule>
    <cfRule type="expression" dxfId="1765" priority="175">
      <formula>AND(IF(COUNTIF(R$21:R$25,"=1")=2,TRUE),IF(COUNTIF(S$21:S$25,"=2")=2,TRUE))</formula>
    </cfRule>
    <cfRule type="expression" dxfId="1764" priority="176">
      <formula>AND(R21=4,IF(COUNTIF(R$21:R$25,"=4")=1,TRUE))</formula>
    </cfRule>
    <cfRule type="expression" dxfId="1763" priority="177">
      <formula>AND(R21=3,IF(COUNTIF(R$21:R$25,"=3")=1,TRUE))</formula>
    </cfRule>
    <cfRule type="expression" dxfId="1762" priority="178">
      <formula>AND(R21=2,IF(COUNTIF(R$21:R$25,"=2")=1,TRUE))</formula>
    </cfRule>
    <cfRule type="expression" dxfId="1761" priority="179">
      <formula>AND(R21=1,IF(COUNTIF(R$21:R$25,"=1")=1,TRUE))</formula>
    </cfRule>
    <cfRule type="expression" dxfId="1760" priority="180">
      <formula>OR(R21=0,R21=5)</formula>
    </cfRule>
  </conditionalFormatting>
  <conditionalFormatting sqref="H21:H25">
    <cfRule type="expression" dxfId="1759" priority="147">
      <formula>AND(Q21=4,IF(COUNTIF(Q$21:Q$25,"=4")&gt;=2,TRUE))</formula>
    </cfRule>
    <cfRule type="expression" dxfId="1758" priority="148">
      <formula>AND(Q21=3,IF(COUNTIF(Q$21:Q$25,"=3")&gt;=2,TRUE))</formula>
    </cfRule>
    <cfRule type="expression" dxfId="1757" priority="149">
      <formula>AND(Q21=2,IF(COUNTIF(Q$21:Q$25,"=2")&gt;=2,TRUE))</formula>
    </cfRule>
    <cfRule type="expression" dxfId="1756" priority="150">
      <formula>AND(Q21=1,IF(COUNTIF(Q$21:Q$25,"=1")&gt;=2,TRUE))</formula>
    </cfRule>
  </conditionalFormatting>
  <conditionalFormatting sqref="L28:L32">
    <cfRule type="expression" dxfId="1755" priority="121">
      <formula>K28=0</formula>
    </cfRule>
    <cfRule type="expression" dxfId="1754" priority="130">
      <formula>IF(COUNTIF(J$28:J$32,"=2")=2,TRUE)</formula>
    </cfRule>
    <cfRule type="expression" dxfId="1753" priority="131">
      <formula>IF(COUNTIF(J$28:J$32,"=1")=2,TRUE)</formula>
    </cfRule>
    <cfRule type="expression" dxfId="1752" priority="132">
      <formula>AND(IF(COUNTIF(Q$28:Q$32,"=1")=2,TRUE),IF(COUNTIF(Q$28:Q$32,"=2")=2,TRUE))</formula>
    </cfRule>
    <cfRule type="expression" dxfId="1751" priority="133">
      <formula>AND(Q28=4,IF(COUNTIF(Q$28:Q$32,"=4")=1,TRUE))</formula>
    </cfRule>
    <cfRule type="expression" dxfId="1750" priority="134">
      <formula>AND(Q28=3,IF(COUNTIF(Q$28:Q$32,"=3")=1,TRUE))</formula>
    </cfRule>
    <cfRule type="expression" dxfId="1749" priority="135">
      <formula>AND(Q28=2,IF(COUNTIF(Q$28:Q$32,"=2")=1,TRUE))</formula>
    </cfRule>
    <cfRule type="expression" dxfId="1748" priority="136">
      <formula>AND(Q28=1,IF(COUNTIF(Q$28:Q$32,"=1")=1,TRUE))</formula>
    </cfRule>
    <cfRule type="expression" dxfId="1747" priority="137">
      <formula>OR(Q28=0,Q28=5)</formula>
    </cfRule>
  </conditionalFormatting>
  <conditionalFormatting sqref="O28:O32">
    <cfRule type="expression" dxfId="1746" priority="129">
      <formula>OR(AND(J28=1,K28=1,L28=0,M28=1),AND(J28=2,K28=2,L28=0,M28=2))</formula>
    </cfRule>
  </conditionalFormatting>
  <conditionalFormatting sqref="M28:M32">
    <cfRule type="expression" dxfId="1745" priority="122">
      <formula>AND(L28&gt;0,IF(COUNTIF(L$28:L$32,L28)&gt;1,TRUE,FALSE))</formula>
    </cfRule>
    <cfRule type="expression" dxfId="1744" priority="123">
      <formula>AND(IF(COUNTIF(R$28:R$32,"=1")=2,TRUE),IF(COUNTIF(R$28:R$32,"=2")=2,TRUE))</formula>
    </cfRule>
    <cfRule type="expression" dxfId="1743" priority="124">
      <formula>AND(R28=4,IF(COUNTIF(R$28:R$32,"=4")=1,TRUE))</formula>
    </cfRule>
    <cfRule type="expression" dxfId="1742" priority="125">
      <formula>AND(R28=3,IF(COUNTIF(R$28:R$32,"=3")=1,TRUE))</formula>
    </cfRule>
    <cfRule type="expression" dxfId="1741" priority="126">
      <formula>AND(R28=2,IF(COUNTIF(R$28:R$32,"=2")=1,TRUE))</formula>
    </cfRule>
    <cfRule type="expression" dxfId="1740" priority="127">
      <formula>AND(R28=1,IF(COUNTIF(R$28:R$32,"=1")=1,TRUE))</formula>
    </cfRule>
    <cfRule type="expression" dxfId="1739" priority="128">
      <formula>OR(R28=0,R28=5)</formula>
    </cfRule>
  </conditionalFormatting>
  <conditionalFormatting sqref="J28:J32">
    <cfRule type="expression" dxfId="1738" priority="117">
      <formula>AND(Q28=4,IF(COUNTIF(Q$28:Q$32,"=4")&gt;=2,TRUE))</formula>
    </cfRule>
    <cfRule type="expression" dxfId="1737" priority="118">
      <formula>AND(Q28=3,IF(COUNTIF(Q$28:Q$32,"=3")&gt;=2,TRUE))</formula>
    </cfRule>
    <cfRule type="expression" dxfId="1736" priority="119">
      <formula>AND(Q28=2,IF(COUNTIF(Q$28:Q$32,"=2")&gt;=2,TRUE))</formula>
    </cfRule>
    <cfRule type="expression" dxfId="1735" priority="120">
      <formula>AND(Q28=1,IF(COUNTIF(Q$28:Q$32,"=1")&gt;=2,TRUE))</formula>
    </cfRule>
  </conditionalFormatting>
  <conditionalFormatting sqref="K28:K32">
    <cfRule type="expression" dxfId="1734" priority="138">
      <formula>AND(J28&gt;0,IF(COUNTIF(J$28:J$32,"=1")=2,TRUE),IF(COUNTIF(J$28:J$32,"=2")=2,TRUE))</formula>
    </cfRule>
    <cfRule type="expression" dxfId="1733" priority="139">
      <formula>IF(COUNTIF(L$28:L$32,"=2")=2,TRUE)</formula>
    </cfRule>
    <cfRule type="expression" dxfId="1732" priority="140">
      <formula>IF(COUNTIF(L$28:L$32,"=1")=2,TRUE)</formula>
    </cfRule>
    <cfRule type="expression" dxfId="1731" priority="141">
      <formula>AND(IF(COUNTIF(R$28:R$32,"=1")=2,TRUE),IF(COUNTIF(S$28:S$32,"=2")=2,TRUE))</formula>
    </cfRule>
    <cfRule type="expression" dxfId="1730" priority="142">
      <formula>AND(R28=4,IF(COUNTIF(R$28:R$32,"=4")=1,TRUE))</formula>
    </cfRule>
    <cfRule type="expression" dxfId="1729" priority="143">
      <formula>AND(R28=3,IF(COUNTIF(R$28:R$32,"=3")=1,TRUE))</formula>
    </cfRule>
    <cfRule type="expression" dxfId="1728" priority="144">
      <formula>AND(R28=2,IF(COUNTIF(R$28:R$32,"=2")=1,TRUE))</formula>
    </cfRule>
    <cfRule type="expression" dxfId="1727" priority="145">
      <formula>AND(R28=1,IF(COUNTIF(R$28:R$32,"=1")=1,TRUE))</formula>
    </cfRule>
    <cfRule type="expression" dxfId="1726" priority="146">
      <formula>OR(R28=0,R28=5)</formula>
    </cfRule>
  </conditionalFormatting>
  <conditionalFormatting sqref="H28:H32">
    <cfRule type="expression" dxfId="1725" priority="113">
      <formula>AND(Q28=4,IF(COUNTIF(Q$28:Q$32,"=4")&gt;=2,TRUE))</formula>
    </cfRule>
    <cfRule type="expression" dxfId="1724" priority="114">
      <formula>AND(Q28=3,IF(COUNTIF(Q$28:Q$32,"=3")&gt;=2,TRUE))</formula>
    </cfRule>
    <cfRule type="expression" dxfId="1723" priority="115">
      <formula>AND(Q28=2,IF(COUNTIF(Q$28:Q$32,"=2")&gt;=2,TRUE))</formula>
    </cfRule>
    <cfRule type="expression" dxfId="1722" priority="116">
      <formula>AND(Q28=1,IF(COUNTIF(Q$28:Q$32,"=1")&gt;=2,TRUE))</formula>
    </cfRule>
  </conditionalFormatting>
  <conditionalFormatting sqref="B300:B315">
    <cfRule type="expression" dxfId="1721" priority="290">
      <formula>A300=3</formula>
    </cfRule>
    <cfRule type="expression" dxfId="1720" priority="291">
      <formula>A300=2</formula>
    </cfRule>
    <cfRule type="expression" dxfId="1719" priority="292">
      <formula>A300=1</formula>
    </cfRule>
    <cfRule type="containsBlanks" dxfId="1718" priority="293">
      <formula>LEN(TRIM(B300))=0</formula>
    </cfRule>
    <cfRule type="duplicateValues" dxfId="1717" priority="294"/>
  </conditionalFormatting>
  <conditionalFormatting sqref="AJ7:AJ31">
    <cfRule type="expression" dxfId="1716" priority="60">
      <formula>AND(AI7="",FIND(",",AJ7))</formula>
    </cfRule>
    <cfRule type="expression" dxfId="1715" priority="62">
      <formula>AND(AI7="",COUNTIF(AJ7,"*,*")=0)</formula>
    </cfRule>
  </conditionalFormatting>
  <conditionalFormatting sqref="AH7:AH64">
    <cfRule type="expression" dxfId="1714" priority="63">
      <formula>AND(AG7="",FIND(",",AH7))</formula>
    </cfRule>
    <cfRule type="expression" dxfId="1713" priority="64">
      <formula>AND(AG7="",COUNTIF(AH7,"*,*")=0)</formula>
    </cfRule>
  </conditionalFormatting>
  <conditionalFormatting sqref="AL7:AL31">
    <cfRule type="expression" dxfId="1712" priority="65">
      <formula>AND(AK7="",FIND(",",AL7))</formula>
    </cfRule>
    <cfRule type="expression" dxfId="1711" priority="66">
      <formula>AND(AK7="",COUNTIF(AL7,"*,*")=0)</formula>
    </cfRule>
  </conditionalFormatting>
  <conditionalFormatting sqref="AF7:AF31">
    <cfRule type="expression" dxfId="1710" priority="61">
      <formula>AND(AE7="",COUNTIF(AF7,"*,*")=0)</formula>
    </cfRule>
  </conditionalFormatting>
  <conditionalFormatting sqref="AN7:AN31">
    <cfRule type="expression" dxfId="1709" priority="57">
      <formula>AND(AM7="",COUNTIF(AN7,"*,*")=0)</formula>
    </cfRule>
    <cfRule type="expression" dxfId="1708" priority="59">
      <formula>AND(AM7="",FIND(",",AN7))</formula>
    </cfRule>
  </conditionalFormatting>
  <conditionalFormatting sqref="AP7:AP31">
    <cfRule type="expression" dxfId="1707" priority="56">
      <formula>AND(AO7="",COUNTIF(AP7,"*,*")=0)</formula>
    </cfRule>
    <cfRule type="expression" dxfId="1706" priority="58">
      <formula>AND(AO7="",FIND(",",AP7))</formula>
    </cfRule>
  </conditionalFormatting>
  <conditionalFormatting sqref="I28:I32">
    <cfRule type="expression" dxfId="1705" priority="50">
      <formula>FIND(2,I28,1)</formula>
    </cfRule>
    <cfRule type="expression" dxfId="1704" priority="51">
      <formula>FIND(1,I28,1)</formula>
    </cfRule>
  </conditionalFormatting>
  <conditionalFormatting sqref="I21:I25">
    <cfRule type="expression" dxfId="1703" priority="52">
      <formula>FIND(2,I21,1)</formula>
    </cfRule>
    <cfRule type="expression" dxfId="1702" priority="53">
      <formula>FIND(1,I21,1)</formula>
    </cfRule>
  </conditionalFormatting>
  <conditionalFormatting sqref="I7:I11">
    <cfRule type="expression" dxfId="1701" priority="54">
      <formula>FIND(2,I7,1)</formula>
    </cfRule>
    <cfRule type="expression" dxfId="1700" priority="55">
      <formula>FIND(1,I7,1)</formula>
    </cfRule>
  </conditionalFormatting>
  <conditionalFormatting sqref="I14:I18">
    <cfRule type="expression" dxfId="1699" priority="48">
      <formula>FIND(2,I14,1)</formula>
    </cfRule>
    <cfRule type="expression" dxfId="1698" priority="49">
      <formula>FIND(1,I14,1)</formula>
    </cfRule>
  </conditionalFormatting>
  <conditionalFormatting sqref="A102:A116">
    <cfRule type="cellIs" dxfId="1697" priority="46" operator="equal">
      <formula>"-"</formula>
    </cfRule>
    <cfRule type="duplicateValues" dxfId="1696" priority="47"/>
  </conditionalFormatting>
  <conditionalFormatting sqref="A140:A154">
    <cfRule type="cellIs" dxfId="1695" priority="44" operator="equal">
      <formula>"-"</formula>
    </cfRule>
    <cfRule type="duplicateValues" dxfId="1694" priority="45"/>
  </conditionalFormatting>
  <conditionalFormatting sqref="G124 G128 G131 G133">
    <cfRule type="containsBlanks" dxfId="1693" priority="41">
      <formula>LEN(TRIM(G124))=0</formula>
    </cfRule>
  </conditionalFormatting>
  <conditionalFormatting sqref="E123 E125">
    <cfRule type="containsBlanks" dxfId="1692" priority="39">
      <formula>LEN(TRIM(E123))=0</formula>
    </cfRule>
  </conditionalFormatting>
  <conditionalFormatting sqref="E127 E129">
    <cfRule type="containsBlanks" dxfId="1691" priority="37">
      <formula>LEN(TRIM(E127))=0</formula>
    </cfRule>
  </conditionalFormatting>
  <conditionalFormatting sqref="G124 G128">
    <cfRule type="aboveAverage" dxfId="1690" priority="43"/>
  </conditionalFormatting>
  <conditionalFormatting sqref="G131 G133">
    <cfRule type="aboveAverage" dxfId="1689" priority="42"/>
  </conditionalFormatting>
  <conditionalFormatting sqref="E123 E125">
    <cfRule type="aboveAverage" dxfId="1688" priority="40"/>
  </conditionalFormatting>
  <conditionalFormatting sqref="E127 E129">
    <cfRule type="aboveAverage" dxfId="1687" priority="38"/>
  </conditionalFormatting>
  <conditionalFormatting sqref="G117 G119">
    <cfRule type="aboveAverage" dxfId="1686" priority="36"/>
  </conditionalFormatting>
  <conditionalFormatting sqref="G117 G119">
    <cfRule type="containsBlanks" dxfId="1685" priority="35">
      <formula>LEN(TRIM(G117))=0</formula>
    </cfRule>
  </conditionalFormatting>
  <conditionalFormatting sqref="E103 E107">
    <cfRule type="containsBlanks" dxfId="1684" priority="33">
      <formula>LEN(TRIM(E103))=0</formula>
    </cfRule>
    <cfRule type="aboveAverage" dxfId="1683" priority="34"/>
  </conditionalFormatting>
  <conditionalFormatting sqref="C106 C108">
    <cfRule type="aboveAverage" dxfId="1682" priority="32"/>
  </conditionalFormatting>
  <conditionalFormatting sqref="C110 C112">
    <cfRule type="aboveAverage" dxfId="1681" priority="31"/>
  </conditionalFormatting>
  <conditionalFormatting sqref="C114 C116">
    <cfRule type="aboveAverage" dxfId="1680" priority="30"/>
  </conditionalFormatting>
  <conditionalFormatting sqref="C106 C108 C110 C112 C114 C116">
    <cfRule type="containsBlanks" dxfId="1679" priority="29">
      <formula>LEN(TRIM(C106))=0</formula>
    </cfRule>
  </conditionalFormatting>
  <conditionalFormatting sqref="C102 C104">
    <cfRule type="aboveAverage" dxfId="1678" priority="28"/>
  </conditionalFormatting>
  <conditionalFormatting sqref="C102 C104">
    <cfRule type="containsBlanks" dxfId="1677" priority="27">
      <formula>LEN(TRIM(C102))=0</formula>
    </cfRule>
  </conditionalFormatting>
  <conditionalFormatting sqref="E111 E115">
    <cfRule type="containsBlanks" dxfId="1676" priority="25">
      <formula>LEN(TRIM(E111))=0</formula>
    </cfRule>
    <cfRule type="aboveAverage" dxfId="1675" priority="26"/>
  </conditionalFormatting>
  <conditionalFormatting sqref="G105 G113">
    <cfRule type="containsBlanks" dxfId="1674" priority="23">
      <formula>LEN(TRIM(G105))=0</formula>
    </cfRule>
    <cfRule type="aboveAverage" dxfId="1673" priority="24"/>
  </conditionalFormatting>
  <conditionalFormatting sqref="G162 G166 G169 G171">
    <cfRule type="containsBlanks" dxfId="1672" priority="20">
      <formula>LEN(TRIM(G162))=0</formula>
    </cfRule>
  </conditionalFormatting>
  <conditionalFormatting sqref="E161 E163">
    <cfRule type="containsBlanks" dxfId="1671" priority="18">
      <formula>LEN(TRIM(E161))=0</formula>
    </cfRule>
  </conditionalFormatting>
  <conditionalFormatting sqref="E165 E167">
    <cfRule type="containsBlanks" dxfId="1670" priority="16">
      <formula>LEN(TRIM(E165))=0</formula>
    </cfRule>
  </conditionalFormatting>
  <conditionalFormatting sqref="G162 G166">
    <cfRule type="aboveAverage" dxfId="1669" priority="22"/>
  </conditionalFormatting>
  <conditionalFormatting sqref="G169 G171">
    <cfRule type="aboveAverage" dxfId="1668" priority="21"/>
  </conditionalFormatting>
  <conditionalFormatting sqref="E161 E163">
    <cfRule type="aboveAverage" dxfId="1667" priority="19"/>
  </conditionalFormatting>
  <conditionalFormatting sqref="E165 E167">
    <cfRule type="aboveAverage" dxfId="1666" priority="17"/>
  </conditionalFormatting>
  <conditionalFormatting sqref="G155 G157">
    <cfRule type="aboveAverage" dxfId="1665" priority="15"/>
  </conditionalFormatting>
  <conditionalFormatting sqref="G155 G157">
    <cfRule type="containsBlanks" dxfId="1664" priority="14">
      <formula>LEN(TRIM(G155))=0</formula>
    </cfRule>
  </conditionalFormatting>
  <conditionalFormatting sqref="E141 E145">
    <cfRule type="containsBlanks" dxfId="1663" priority="12">
      <formula>LEN(TRIM(E141))=0</formula>
    </cfRule>
    <cfRule type="aboveAverage" dxfId="1662" priority="13"/>
  </conditionalFormatting>
  <conditionalFormatting sqref="C144 C146">
    <cfRule type="aboveAverage" dxfId="1661" priority="11"/>
  </conditionalFormatting>
  <conditionalFormatting sqref="C148 C150">
    <cfRule type="aboveAverage" dxfId="1660" priority="10"/>
  </conditionalFormatting>
  <conditionalFormatting sqref="C152 C154">
    <cfRule type="aboveAverage" dxfId="1659" priority="9"/>
  </conditionalFormatting>
  <conditionalFormatting sqref="C144 C146 C148 C150 C152 C154">
    <cfRule type="containsBlanks" dxfId="1658" priority="8">
      <formula>LEN(TRIM(C144))=0</formula>
    </cfRule>
  </conditionalFormatting>
  <conditionalFormatting sqref="C140 C142">
    <cfRule type="aboveAverage" dxfId="1657" priority="7"/>
  </conditionalFormatting>
  <conditionalFormatting sqref="C140 C142">
    <cfRule type="containsBlanks" dxfId="1656" priority="6">
      <formula>LEN(TRIM(C140))=0</formula>
    </cfRule>
  </conditionalFormatting>
  <conditionalFormatting sqref="E149 E153">
    <cfRule type="containsBlanks" dxfId="1655" priority="4">
      <formula>LEN(TRIM(E149))=0</formula>
    </cfRule>
    <cfRule type="aboveAverage" dxfId="1654" priority="5"/>
  </conditionalFormatting>
  <conditionalFormatting sqref="G143 G151">
    <cfRule type="containsBlanks" dxfId="1653" priority="2">
      <formula>LEN(TRIM(G143))=0</formula>
    </cfRule>
    <cfRule type="aboveAverage" dxfId="1652" priority="3"/>
  </conditionalFormatting>
  <conditionalFormatting sqref="C116">
    <cfRule type="aboveAverage" dxfId="1651" priority="1"/>
  </conditionalFormatting>
  <pageMargins left="0.78740157480314965" right="0.39370078740157483" top="0.78740157480314965" bottom="0.39370078740157483" header="0.78740157480314965" footer="0"/>
  <pageSetup paperSize="9" fitToHeight="0" orientation="landscape" verticalDpi="1200" r:id="rId1"/>
  <headerFooter>
    <oddHeader>&amp;R&amp;P. leht &amp;N&amp; -st</oddHeader>
  </headerFooter>
  <rowBreaks count="3" manualBreakCount="3">
    <brk id="98" max="16383" man="1"/>
    <brk id="136" max="16383" man="1"/>
    <brk id="297" max="1638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AP310"/>
  <sheetViews>
    <sheetView showGridLines="0" showRowColHeaders="0" workbookViewId="0">
      <pane ySplit="1" topLeftCell="A2" activePane="bottomLeft" state="frozen"/>
      <selection pane="bottomLeft" activeCell="A5" sqref="A5"/>
    </sheetView>
  </sheetViews>
  <sheetFormatPr defaultRowHeight="12.75" x14ac:dyDescent="0.2"/>
  <cols>
    <col min="1" max="1" width="3.28515625" style="1" customWidth="1"/>
    <col min="2" max="2" width="34.28515625" style="1" bestFit="1" customWidth="1"/>
    <col min="3" max="3" width="4.7109375" style="1" customWidth="1"/>
    <col min="4" max="4" width="1.140625" style="1" customWidth="1"/>
    <col min="5" max="5" width="2.7109375" style="1" customWidth="1"/>
    <col min="6" max="6" width="9.140625" style="1"/>
    <col min="7" max="7" width="2.7109375" style="1" customWidth="1"/>
    <col min="8" max="8" width="1.140625" style="1" customWidth="1"/>
    <col min="9" max="9" width="2.7109375" style="1" customWidth="1"/>
    <col min="10" max="10" width="9.140625" style="1"/>
    <col min="11" max="11" width="2.7109375" style="1" customWidth="1"/>
    <col min="12" max="12" width="1.140625" style="1" customWidth="1"/>
    <col min="13" max="13" width="2.7109375" style="1" customWidth="1"/>
    <col min="14" max="14" width="9.140625" style="1"/>
    <col min="15" max="15" width="2.7109375" style="1" customWidth="1"/>
    <col min="16" max="16" width="1.140625" style="1" customWidth="1"/>
    <col min="17" max="17" width="2.7109375" style="1" customWidth="1"/>
    <col min="18" max="18" width="9.140625" style="1"/>
    <col min="19" max="19" width="2.7109375" style="1" customWidth="1"/>
    <col min="20" max="20" width="1.140625" style="1" customWidth="1"/>
    <col min="21" max="21" width="2.7109375" style="1" customWidth="1"/>
    <col min="22" max="22" width="9.140625" style="1"/>
    <col min="23" max="23" width="5.7109375" style="1" bestFit="1" customWidth="1"/>
    <col min="24" max="24" width="5.5703125" style="1" hidden="1" customWidth="1"/>
    <col min="25" max="25" width="2.7109375" style="1" customWidth="1"/>
    <col min="26" max="26" width="1.140625" style="1" customWidth="1"/>
    <col min="27" max="27" width="2.7109375" style="1" customWidth="1"/>
    <col min="28" max="28" width="4.7109375" style="1" customWidth="1"/>
    <col min="29" max="29" width="9.140625" style="1"/>
    <col min="30" max="31" width="9.140625" style="1" hidden="1" customWidth="1"/>
    <col min="32" max="32" width="16.5703125" style="1" hidden="1" customWidth="1"/>
    <col min="33" max="33" width="9.140625" style="1" hidden="1" customWidth="1"/>
    <col min="34" max="34" width="21" style="1" hidden="1" customWidth="1"/>
    <col min="35" max="35" width="9.140625" style="1" hidden="1" customWidth="1"/>
    <col min="36" max="36" width="17.28515625" style="1" hidden="1" customWidth="1"/>
    <col min="37" max="37" width="9.140625" style="1" hidden="1" customWidth="1"/>
    <col min="38" max="38" width="13.85546875" style="1" hidden="1" customWidth="1"/>
    <col min="39" max="39" width="9.140625" style="1" hidden="1" customWidth="1"/>
    <col min="40" max="40" width="17.28515625" style="1" hidden="1" customWidth="1"/>
    <col min="41" max="41" width="9.140625" style="1" hidden="1" customWidth="1"/>
    <col min="42" max="42" width="13.85546875" style="1" hidden="1" customWidth="1"/>
    <col min="43" max="16384" width="9.140625" style="1"/>
  </cols>
  <sheetData>
    <row r="1" spans="1:42" x14ac:dyDescent="0.2">
      <c r="A1" s="400" t="str">
        <f>UPPER((Kalend!E27)&amp;" - "&amp;(Kalend!C27))&amp;" - "&amp;LOWER(Kalend!D27)&amp;" - "&amp;(Kalend!A27)&amp;" kell "&amp;(Kalend!B27)&amp;" - "&amp;(Kalend!F27)</f>
        <v>VI-D - VIRU SK LIIKMETE SISE-MV - duo - P, 16.02.2020 kell 11:00 - Voka petangihall</v>
      </c>
      <c r="O1" s="271"/>
      <c r="P1" s="271"/>
      <c r="Q1" s="312"/>
      <c r="R1" s="312"/>
      <c r="S1" s="312"/>
      <c r="T1" s="70"/>
      <c r="U1" s="70"/>
      <c r="V1" s="70"/>
      <c r="W1" s="271"/>
      <c r="X1" s="402"/>
      <c r="Y1" s="271"/>
      <c r="Z1" s="271"/>
      <c r="AD1" s="152" t="s">
        <v>94</v>
      </c>
      <c r="AE1" s="402"/>
      <c r="AF1" s="402"/>
      <c r="AG1" s="402"/>
      <c r="AH1" s="402"/>
      <c r="AI1" s="402"/>
      <c r="AJ1" s="402"/>
      <c r="AK1" s="402"/>
      <c r="AL1" s="402"/>
      <c r="AM1" s="402"/>
      <c r="AN1" s="402"/>
      <c r="AO1" s="532"/>
      <c r="AP1" s="532"/>
    </row>
    <row r="2" spans="1:42" hidden="1" x14ac:dyDescent="0.2">
      <c r="A2" s="151"/>
      <c r="B2" s="151"/>
      <c r="C2" s="151"/>
      <c r="D2" s="151"/>
      <c r="E2" s="151"/>
      <c r="F2" s="271"/>
      <c r="G2" s="151"/>
      <c r="H2" s="151"/>
      <c r="I2" s="151"/>
      <c r="J2" s="151"/>
      <c r="K2" s="151"/>
      <c r="L2" s="409"/>
      <c r="M2" s="409"/>
      <c r="N2" s="409"/>
      <c r="O2" s="271"/>
      <c r="P2" s="271"/>
      <c r="Q2" s="271"/>
      <c r="R2" s="271"/>
      <c r="S2" s="151"/>
      <c r="T2" s="151"/>
      <c r="U2" s="151"/>
      <c r="V2" s="410" t="s">
        <v>253</v>
      </c>
      <c r="W2" s="411">
        <v>1</v>
      </c>
      <c r="X2" s="151"/>
      <c r="Y2" s="271" t="s">
        <v>254</v>
      </c>
      <c r="Z2" s="151"/>
      <c r="AA2" s="151"/>
      <c r="AB2" s="151"/>
      <c r="AD2" s="271"/>
      <c r="AE2" s="271"/>
      <c r="AF2" s="271"/>
      <c r="AG2" s="271"/>
      <c r="AH2" s="271"/>
      <c r="AI2" s="271"/>
      <c r="AJ2" s="412"/>
      <c r="AK2" s="271"/>
      <c r="AL2" s="271"/>
      <c r="AM2" s="271"/>
      <c r="AN2" s="271"/>
    </row>
    <row r="3" spans="1:42" hidden="1" x14ac:dyDescent="0.2">
      <c r="A3" s="151"/>
      <c r="B3" s="151"/>
      <c r="C3" s="151"/>
      <c r="D3" s="151"/>
      <c r="E3" s="151"/>
      <c r="F3" s="271"/>
      <c r="G3" s="151"/>
      <c r="H3" s="151"/>
      <c r="I3" s="151"/>
      <c r="J3" s="151"/>
      <c r="K3" s="151"/>
      <c r="L3" s="409"/>
      <c r="M3" s="409"/>
      <c r="N3" s="409"/>
      <c r="O3" s="271"/>
      <c r="P3" s="271"/>
      <c r="Q3" s="271"/>
      <c r="R3" s="271"/>
      <c r="S3" s="151"/>
      <c r="T3" s="151"/>
      <c r="U3" s="151"/>
      <c r="V3" s="413" t="s">
        <v>255</v>
      </c>
      <c r="W3" s="411">
        <v>0.5</v>
      </c>
      <c r="X3" s="151"/>
      <c r="Y3" s="271" t="s">
        <v>254</v>
      </c>
      <c r="Z3" s="151"/>
      <c r="AA3" s="151"/>
      <c r="AB3" s="151"/>
      <c r="AE3" s="271"/>
      <c r="AG3" s="271"/>
      <c r="AH3" s="271"/>
      <c r="AI3" s="271"/>
      <c r="AJ3" s="271"/>
      <c r="AK3" s="271"/>
      <c r="AL3" s="271"/>
      <c r="AM3" s="271"/>
      <c r="AN3" s="271"/>
    </row>
    <row r="4" spans="1:42" hidden="1" x14ac:dyDescent="0.2">
      <c r="A4" s="151"/>
      <c r="B4" s="151"/>
      <c r="C4" s="151"/>
      <c r="D4" s="151"/>
      <c r="E4" s="151"/>
      <c r="F4" s="271"/>
      <c r="G4" s="151"/>
      <c r="H4" s="151"/>
      <c r="I4" s="151"/>
      <c r="J4" s="151"/>
      <c r="K4" s="151"/>
      <c r="L4" s="271"/>
      <c r="M4" s="271"/>
      <c r="N4" s="271"/>
      <c r="O4" s="271"/>
      <c r="P4" s="271"/>
      <c r="Q4" s="271"/>
      <c r="R4" s="271"/>
      <c r="S4" s="151"/>
      <c r="T4" s="151"/>
      <c r="U4" s="151"/>
      <c r="V4" s="414" t="s">
        <v>256</v>
      </c>
      <c r="W4" s="411">
        <v>0</v>
      </c>
      <c r="X4" s="151"/>
      <c r="Y4" s="271" t="s">
        <v>254</v>
      </c>
      <c r="Z4" s="151"/>
      <c r="AA4" s="271"/>
      <c r="AB4" s="151"/>
      <c r="AE4" s="409"/>
      <c r="AF4" s="409"/>
      <c r="AG4" s="409"/>
      <c r="AH4" s="376"/>
      <c r="AI4" s="409"/>
      <c r="AJ4" s="409"/>
      <c r="AK4" s="409"/>
      <c r="AL4" s="409"/>
      <c r="AM4" s="409"/>
      <c r="AN4" s="409"/>
      <c r="AO4" s="409"/>
      <c r="AP4" s="409"/>
    </row>
    <row r="5" spans="1:42" x14ac:dyDescent="0.2">
      <c r="A5" s="151"/>
      <c r="B5" s="151"/>
      <c r="C5" s="151"/>
      <c r="D5" s="151"/>
      <c r="E5" s="151"/>
      <c r="F5" s="271"/>
      <c r="G5" s="151"/>
      <c r="H5" s="151"/>
      <c r="I5" s="151"/>
      <c r="J5" s="151"/>
      <c r="K5" s="151"/>
      <c r="L5" s="271"/>
      <c r="M5" s="271"/>
      <c r="N5" s="271"/>
      <c r="O5" s="271"/>
      <c r="P5" s="271"/>
      <c r="Q5" s="271"/>
      <c r="R5" s="271"/>
      <c r="S5" s="271"/>
      <c r="T5" s="271"/>
      <c r="U5" s="271"/>
      <c r="V5" s="271"/>
      <c r="W5" s="271"/>
      <c r="X5" s="271"/>
      <c r="Y5" s="271"/>
      <c r="Z5" s="271"/>
      <c r="AA5" s="967" t="s">
        <v>476</v>
      </c>
      <c r="AB5" s="151"/>
      <c r="AC5" s="271"/>
      <c r="AD5" s="964" t="s">
        <v>214</v>
      </c>
    </row>
    <row r="6" spans="1:42" x14ac:dyDescent="0.2">
      <c r="A6" s="607" t="s">
        <v>10</v>
      </c>
      <c r="B6" s="607" t="s">
        <v>79</v>
      </c>
      <c r="C6" s="608" t="s">
        <v>171</v>
      </c>
      <c r="D6" s="609"/>
      <c r="E6" s="609"/>
      <c r="F6" s="610"/>
      <c r="G6" s="608" t="s">
        <v>174</v>
      </c>
      <c r="H6" s="609"/>
      <c r="I6" s="609"/>
      <c r="J6" s="610"/>
      <c r="K6" s="608" t="s">
        <v>177</v>
      </c>
      <c r="L6" s="609"/>
      <c r="M6" s="609"/>
      <c r="N6" s="610"/>
      <c r="O6" s="608" t="s">
        <v>180</v>
      </c>
      <c r="P6" s="609"/>
      <c r="Q6" s="609"/>
      <c r="R6" s="610"/>
      <c r="S6" s="608" t="s">
        <v>182</v>
      </c>
      <c r="T6" s="609"/>
      <c r="U6" s="609"/>
      <c r="V6" s="610"/>
      <c r="W6" s="607" t="s">
        <v>102</v>
      </c>
      <c r="X6" s="611" t="s">
        <v>361</v>
      </c>
      <c r="Y6" s="611"/>
      <c r="Z6" s="612" t="s">
        <v>362</v>
      </c>
      <c r="AA6" s="613"/>
      <c r="AB6" s="271"/>
      <c r="AC6" s="271"/>
      <c r="AD6" s="272" t="s">
        <v>370</v>
      </c>
      <c r="AE6" s="273"/>
      <c r="AF6" s="273" t="s">
        <v>249</v>
      </c>
      <c r="AG6" s="273"/>
      <c r="AH6" s="403" t="s">
        <v>250</v>
      </c>
      <c r="AI6" s="273"/>
      <c r="AJ6" s="273" t="s">
        <v>251</v>
      </c>
      <c r="AK6" s="274"/>
      <c r="AL6" s="273" t="s">
        <v>252</v>
      </c>
      <c r="AM6" s="274"/>
      <c r="AN6" s="274" t="s">
        <v>472</v>
      </c>
      <c r="AO6" s="945"/>
      <c r="AP6" s="274" t="s">
        <v>473</v>
      </c>
    </row>
    <row r="7" spans="1:42" x14ac:dyDescent="0.2">
      <c r="A7" s="614">
        <v>1</v>
      </c>
      <c r="B7" s="459" t="s">
        <v>307</v>
      </c>
      <c r="C7" s="615">
        <v>13</v>
      </c>
      <c r="D7" s="616" t="s">
        <v>363</v>
      </c>
      <c r="E7" s="617">
        <v>9</v>
      </c>
      <c r="F7" s="618" t="str">
        <f>B9</f>
        <v>Andrei Grintšak, Marko Tarassov</v>
      </c>
      <c r="G7" s="615">
        <v>13</v>
      </c>
      <c r="H7" s="616" t="s">
        <v>363</v>
      </c>
      <c r="I7" s="617">
        <v>6</v>
      </c>
      <c r="J7" s="618" t="str">
        <f>B15</f>
        <v>Heili Vasser, Vello Vasser</v>
      </c>
      <c r="K7" s="615">
        <v>13</v>
      </c>
      <c r="L7" s="616" t="s">
        <v>363</v>
      </c>
      <c r="M7" s="617">
        <v>7</v>
      </c>
      <c r="N7" s="618" t="str">
        <f>B10</f>
        <v>Elmo Lageda, Tõnu Piik</v>
      </c>
      <c r="O7" s="615">
        <v>13</v>
      </c>
      <c r="P7" s="616" t="s">
        <v>363</v>
      </c>
      <c r="Q7" s="617">
        <v>10</v>
      </c>
      <c r="R7" s="618" t="str">
        <f>B8</f>
        <v>Kaspar Mänd, Urmas Randlaine</v>
      </c>
      <c r="S7" s="615">
        <v>9</v>
      </c>
      <c r="T7" s="616" t="s">
        <v>363</v>
      </c>
      <c r="U7" s="617">
        <v>13</v>
      </c>
      <c r="V7" s="618" t="str">
        <f>B11</f>
        <v>Illar Tõnurist, Karla Purgats</v>
      </c>
      <c r="W7" s="619">
        <f t="shared" ref="W7:W16" si="0">IF(C7&gt;E7,W$2,IF(C7&lt;E7,W$4,IF(ISNUMBER(C7),W$3,0)))+IF(G7&gt;I7,W$2,IF(G7&lt;I7,W$4,IF(ISNUMBER(G7),W$3,0)))+IF(K7&gt;M7,W$2,IF(K7&lt;M7,W$4,IF(ISNUMBER(K7),W$3,0)))+IF(O7&gt;Q7,W$2,IF(O7&lt;Q7,W$4,IF(ISNUMBER(O7),W$3,0)))+IF(S7&gt;U7,W$2,IF(S7&lt;U7,W$4,IF(ISNUMBER(S7),W$3,0)))</f>
        <v>4</v>
      </c>
      <c r="X7" s="620"/>
      <c r="Y7" s="615">
        <f>C7+G7+K7+O7+S7</f>
        <v>61</v>
      </c>
      <c r="Z7" s="616" t="s">
        <v>363</v>
      </c>
      <c r="AA7" s="621">
        <f>E7+I7+M7+Q7+U7</f>
        <v>45</v>
      </c>
      <c r="AB7" s="622">
        <f>Y7-AA7</f>
        <v>16</v>
      </c>
      <c r="AD7" s="405">
        <f>SUM(AE7:AP7)</f>
        <v>190</v>
      </c>
      <c r="AE7" s="406">
        <f>IFERROR(INDEX(V!$R:$R,MATCH(AF7,V!$L:$L,0)),"")</f>
        <v>126</v>
      </c>
      <c r="AF7" s="407" t="str">
        <f>IFERROR(LEFT($B7,(FIND(",",$B7,1)-1)),"")</f>
        <v>Oleg Rõndenkov</v>
      </c>
      <c r="AG7" s="406">
        <f>IFERROR(INDEX(V!$R:$R,MATCH(AH7,V!$L:$L,0)),"")</f>
        <v>64</v>
      </c>
      <c r="AH7" s="407" t="str">
        <f>IFERROR(MID($B7,FIND(", ",$B7)+2,256),"")</f>
        <v>Toomas Tedrekull</v>
      </c>
      <c r="AI7" s="406" t="str">
        <f>IFERROR(INDEX(V!$R:$R,MATCH(AJ7,V!$L:$L,0)),"")</f>
        <v/>
      </c>
      <c r="AJ7" s="407" t="str">
        <f>IFERROR(MID($B7,FIND("^",SUBSTITUTE($B7,", ","^",1))+2,FIND("^",SUBSTITUTE($B7,", ","^",2))-FIND("^",SUBSTITUTE($B7,", ","^",1))-2),"")</f>
        <v/>
      </c>
      <c r="AK7" s="406" t="str">
        <f>IFERROR(INDEX(V!$R:$R,MATCH(AL7,V!$L:$L,0)),"")</f>
        <v/>
      </c>
      <c r="AL7" s="407" t="str">
        <f>IFERROR(MID($B7,FIND(", ",$B7,FIND(", ",$B7,FIND(", ",$B7))+1)+2,30000),"")</f>
        <v/>
      </c>
      <c r="AM7" s="406" t="str">
        <f>IFERROR(INDEX(V!$R:$R,MATCH(AN7,V!$L:$L,0)),"")</f>
        <v/>
      </c>
      <c r="AN7" s="407" t="str">
        <f>IFERROR(MID($B7,FIND(", ",$B7,FIND(", ",$B7)+1)+2,FIND(", ",$B7,FIND(", ",$B7,FIND(", ",$B7)+1)+1)-FIND(", ",$B7,FIND(", ",$B7)+1)-2),"")</f>
        <v/>
      </c>
      <c r="AO7" s="406" t="str">
        <f>IFERROR(INDEX(V!$R:$R,MATCH(AP7,V!$L:$L,0)),"")</f>
        <v/>
      </c>
      <c r="AP7" s="407" t="str">
        <f>IFERROR(MID($B7,FIND(", ",$B7,FIND(", ",$B7,FIND(", ",$B7)+1)+1)+2,30000),"")</f>
        <v/>
      </c>
    </row>
    <row r="8" spans="1:42" x14ac:dyDescent="0.2">
      <c r="A8" s="614">
        <v>2</v>
      </c>
      <c r="B8" s="459" t="s">
        <v>270</v>
      </c>
      <c r="C8" s="615">
        <v>13</v>
      </c>
      <c r="D8" s="616" t="s">
        <v>363</v>
      </c>
      <c r="E8" s="617">
        <v>5</v>
      </c>
      <c r="F8" s="618" t="str">
        <f>B11</f>
        <v>Illar Tõnurist, Karla Purgats</v>
      </c>
      <c r="G8" s="615">
        <v>13</v>
      </c>
      <c r="H8" s="616" t="s">
        <v>363</v>
      </c>
      <c r="I8" s="617">
        <v>10</v>
      </c>
      <c r="J8" s="618" t="str">
        <f>B10</f>
        <v>Elmo Lageda, Tõnu Piik</v>
      </c>
      <c r="K8" s="615">
        <v>13</v>
      </c>
      <c r="L8" s="616" t="s">
        <v>363</v>
      </c>
      <c r="M8" s="617">
        <v>8</v>
      </c>
      <c r="N8" s="618" t="str">
        <f>B12</f>
        <v>Andres Veski, Svetlana Veski</v>
      </c>
      <c r="O8" s="615">
        <v>10</v>
      </c>
      <c r="P8" s="616" t="s">
        <v>363</v>
      </c>
      <c r="Q8" s="617">
        <v>13</v>
      </c>
      <c r="R8" s="618" t="str">
        <f>B7</f>
        <v>Oleg Rõndenkov, Toomas Tedrekull</v>
      </c>
      <c r="S8" s="615">
        <v>13</v>
      </c>
      <c r="T8" s="616" t="s">
        <v>363</v>
      </c>
      <c r="U8" s="617">
        <v>4</v>
      </c>
      <c r="V8" s="618" t="str">
        <f>B9</f>
        <v>Andrei Grintšak, Marko Tarassov</v>
      </c>
      <c r="W8" s="619">
        <f t="shared" si="0"/>
        <v>4</v>
      </c>
      <c r="X8" s="620"/>
      <c r="Y8" s="615">
        <f t="shared" ref="Y8:Y16" si="1">C8+G8+K8+O8+S8</f>
        <v>62</v>
      </c>
      <c r="Z8" s="616" t="s">
        <v>363</v>
      </c>
      <c r="AA8" s="621">
        <f t="shared" ref="AA8:AA16" si="2">E8+I8+M8+Q8+U8</f>
        <v>40</v>
      </c>
      <c r="AB8" s="622">
        <f t="shared" ref="AB8:AB16" si="3">Y8-AA8</f>
        <v>22</v>
      </c>
      <c r="AD8" s="405">
        <f t="shared" ref="AD8:AD16" si="4">SUM(AE8:AP8)</f>
        <v>302</v>
      </c>
      <c r="AE8" s="406">
        <f>IFERROR(INDEX(V!$R:$R,MATCH(AF8,V!$L:$L,0)),"")</f>
        <v>164</v>
      </c>
      <c r="AF8" s="407" t="str">
        <f t="shared" ref="AF8:AF16" si="5">IFERROR(LEFT($B8,(FIND(",",$B8,1)-1)),"")</f>
        <v>Kaspar Mänd</v>
      </c>
      <c r="AG8" s="406">
        <f>IFERROR(INDEX(V!$R:$R,MATCH(AH8,V!$L:$L,0)),"")</f>
        <v>138</v>
      </c>
      <c r="AH8" s="407" t="str">
        <f t="shared" ref="AH8:AH16" si="6">IFERROR(MID($B8,FIND(", ",$B8)+2,256),"")</f>
        <v>Urmas Randlaine</v>
      </c>
      <c r="AI8" s="406" t="str">
        <f>IFERROR(INDEX(V!$R:$R,MATCH(AJ8,V!$L:$L,0)),"")</f>
        <v/>
      </c>
      <c r="AJ8" s="407" t="str">
        <f t="shared" ref="AJ8:AJ16" si="7">IFERROR(MID($B8,FIND("^",SUBSTITUTE($B8,", ","^",1))+2,FIND("^",SUBSTITUTE($B8,", ","^",2))-FIND("^",SUBSTITUTE($B8,", ","^",1))-2),"")</f>
        <v/>
      </c>
      <c r="AK8" s="406" t="str">
        <f>IFERROR(INDEX(V!$R:$R,MATCH(AL8,V!$L:$L,0)),"")</f>
        <v/>
      </c>
      <c r="AL8" s="407" t="str">
        <f t="shared" ref="AL8:AL16" si="8">IFERROR(MID($B8,FIND(", ",$B8,FIND(", ",$B8,FIND(", ",$B8))+1)+2,30000),"")</f>
        <v/>
      </c>
      <c r="AM8" s="406" t="str">
        <f>IFERROR(INDEX(V!$R:$R,MATCH(AN8,V!$L:$L,0)),"")</f>
        <v/>
      </c>
      <c r="AN8" s="407" t="str">
        <f t="shared" ref="AN8:AN16" si="9">IFERROR(MID($B8,FIND(", ",$B8,FIND(", ",$B8)+1)+2,FIND(", ",$B8,FIND(", ",$B8,FIND(", ",$B8)+1)+1)-FIND(", ",$B8,FIND(", ",$B8)+1)-2),"")</f>
        <v/>
      </c>
      <c r="AO8" s="406" t="str">
        <f>IFERROR(INDEX(V!$R:$R,MATCH(AP8,V!$L:$L,0)),"")</f>
        <v/>
      </c>
      <c r="AP8" s="407" t="str">
        <f t="shared" ref="AP8:AP16" si="10">IFERROR(MID($B8,FIND(", ",$B8,FIND(", ",$B8,FIND(", ",$B8)+1)+1)+2,30000),"")</f>
        <v/>
      </c>
    </row>
    <row r="9" spans="1:42" x14ac:dyDescent="0.2">
      <c r="A9" s="614">
        <v>3</v>
      </c>
      <c r="B9" s="479" t="s">
        <v>514</v>
      </c>
      <c r="C9" s="615">
        <v>9</v>
      </c>
      <c r="D9" s="616" t="s">
        <v>363</v>
      </c>
      <c r="E9" s="617">
        <v>13</v>
      </c>
      <c r="F9" s="618" t="str">
        <f>B7</f>
        <v>Oleg Rõndenkov, Toomas Tedrekull</v>
      </c>
      <c r="G9" s="615">
        <v>13</v>
      </c>
      <c r="H9" s="616" t="s">
        <v>363</v>
      </c>
      <c r="I9" s="617">
        <v>6</v>
      </c>
      <c r="J9" s="618" t="str">
        <f>B13</f>
        <v>Ljudmila Varendi, Viktor Švarõgin</v>
      </c>
      <c r="K9" s="615">
        <v>13</v>
      </c>
      <c r="L9" s="616" t="s">
        <v>363</v>
      </c>
      <c r="M9" s="617">
        <v>3</v>
      </c>
      <c r="N9" s="618" t="str">
        <f>B11</f>
        <v>Illar Tõnurist, Karla Purgats</v>
      </c>
      <c r="O9" s="615">
        <v>13</v>
      </c>
      <c r="P9" s="616" t="s">
        <v>363</v>
      </c>
      <c r="Q9" s="617">
        <v>7</v>
      </c>
      <c r="R9" s="618" t="str">
        <f>B12</f>
        <v>Andres Veski, Svetlana Veski</v>
      </c>
      <c r="S9" s="615">
        <v>4</v>
      </c>
      <c r="T9" s="616" t="s">
        <v>363</v>
      </c>
      <c r="U9" s="617">
        <v>13</v>
      </c>
      <c r="V9" s="618" t="str">
        <f>B8</f>
        <v>Kaspar Mänd, Urmas Randlaine</v>
      </c>
      <c r="W9" s="1116">
        <f t="shared" si="0"/>
        <v>3</v>
      </c>
      <c r="X9" s="620"/>
      <c r="Y9" s="615">
        <f t="shared" si="1"/>
        <v>52</v>
      </c>
      <c r="Z9" s="616" t="s">
        <v>363</v>
      </c>
      <c r="AA9" s="621">
        <f t="shared" si="2"/>
        <v>42</v>
      </c>
      <c r="AB9" s="622">
        <f t="shared" si="3"/>
        <v>10</v>
      </c>
      <c r="AD9" s="405">
        <f t="shared" si="4"/>
        <v>148</v>
      </c>
      <c r="AE9" s="406">
        <f>IFERROR(INDEX(V!$R:$R,MATCH(AF9,V!$L:$L,0)),"")</f>
        <v>148</v>
      </c>
      <c r="AF9" s="407" t="str">
        <f t="shared" si="5"/>
        <v>Andrei Grintšak</v>
      </c>
      <c r="AG9" s="406" t="str">
        <f>IFERROR(INDEX(V!$R:$R,MATCH(AH9,V!$L:$L,0)),"")</f>
        <v/>
      </c>
      <c r="AH9" s="407" t="str">
        <f t="shared" si="6"/>
        <v>Marko Tarassov</v>
      </c>
      <c r="AI9" s="406" t="str">
        <f>IFERROR(INDEX(V!$R:$R,MATCH(AJ9,V!$L:$L,0)),"")</f>
        <v/>
      </c>
      <c r="AJ9" s="407" t="str">
        <f t="shared" si="7"/>
        <v/>
      </c>
      <c r="AK9" s="406" t="str">
        <f>IFERROR(INDEX(V!$R:$R,MATCH(AL9,V!$L:$L,0)),"")</f>
        <v/>
      </c>
      <c r="AL9" s="407" t="str">
        <f t="shared" si="8"/>
        <v/>
      </c>
      <c r="AM9" s="406" t="str">
        <f>IFERROR(INDEX(V!$R:$R,MATCH(AN9,V!$L:$L,0)),"")</f>
        <v/>
      </c>
      <c r="AN9" s="407" t="str">
        <f t="shared" si="9"/>
        <v/>
      </c>
      <c r="AO9" s="406" t="str">
        <f>IFERROR(INDEX(V!$R:$R,MATCH(AP9,V!$L:$L,0)),"")</f>
        <v/>
      </c>
      <c r="AP9" s="407" t="str">
        <f t="shared" si="10"/>
        <v/>
      </c>
    </row>
    <row r="10" spans="1:42" x14ac:dyDescent="0.2">
      <c r="A10" s="614">
        <v>4</v>
      </c>
      <c r="B10" s="479" t="s">
        <v>273</v>
      </c>
      <c r="C10" s="615">
        <v>13</v>
      </c>
      <c r="D10" s="616" t="s">
        <v>363</v>
      </c>
      <c r="E10" s="617">
        <v>3</v>
      </c>
      <c r="F10" s="618" t="str">
        <f>B16</f>
        <v>Enn Tokman, Tarmo Bombe</v>
      </c>
      <c r="G10" s="615">
        <v>10</v>
      </c>
      <c r="H10" s="616" t="s">
        <v>363</v>
      </c>
      <c r="I10" s="617">
        <v>13</v>
      </c>
      <c r="J10" s="618" t="str">
        <f>B8</f>
        <v>Kaspar Mänd, Urmas Randlaine</v>
      </c>
      <c r="K10" s="615">
        <v>7</v>
      </c>
      <c r="L10" s="616" t="s">
        <v>363</v>
      </c>
      <c r="M10" s="617">
        <v>13</v>
      </c>
      <c r="N10" s="618" t="str">
        <f>B7</f>
        <v>Oleg Rõndenkov, Toomas Tedrekull</v>
      </c>
      <c r="O10" s="615">
        <v>13</v>
      </c>
      <c r="P10" s="616" t="s">
        <v>363</v>
      </c>
      <c r="Q10" s="617">
        <v>11</v>
      </c>
      <c r="R10" s="618" t="str">
        <f>B14</f>
        <v>Henri Mitt, Kenneth Muusikus</v>
      </c>
      <c r="S10" s="615">
        <v>13</v>
      </c>
      <c r="T10" s="616" t="s">
        <v>363</v>
      </c>
      <c r="U10" s="617">
        <v>9</v>
      </c>
      <c r="V10" s="618" t="str">
        <f>B12</f>
        <v>Andres Veski, Svetlana Veski</v>
      </c>
      <c r="W10" s="1116">
        <f t="shared" si="0"/>
        <v>3</v>
      </c>
      <c r="X10" s="620"/>
      <c r="Y10" s="615">
        <f t="shared" si="1"/>
        <v>56</v>
      </c>
      <c r="Z10" s="616" t="s">
        <v>363</v>
      </c>
      <c r="AA10" s="621">
        <f t="shared" si="2"/>
        <v>49</v>
      </c>
      <c r="AB10" s="622">
        <f t="shared" si="3"/>
        <v>7</v>
      </c>
      <c r="AD10" s="405">
        <f t="shared" si="4"/>
        <v>233.5</v>
      </c>
      <c r="AE10" s="406">
        <f>IFERROR(INDEX(V!$R:$R,MATCH(AF10,V!$L:$L,0)),"")</f>
        <v>100</v>
      </c>
      <c r="AF10" s="407" t="str">
        <f t="shared" si="5"/>
        <v>Elmo Lageda</v>
      </c>
      <c r="AG10" s="406">
        <f>IFERROR(INDEX(V!$R:$R,MATCH(AH10,V!$L:$L,0)),"")</f>
        <v>133.5</v>
      </c>
      <c r="AH10" s="407" t="str">
        <f t="shared" si="6"/>
        <v>Tõnu Piik</v>
      </c>
      <c r="AI10" s="406" t="str">
        <f>IFERROR(INDEX(V!$R:$R,MATCH(AJ10,V!$L:$L,0)),"")</f>
        <v/>
      </c>
      <c r="AJ10" s="407" t="str">
        <f t="shared" si="7"/>
        <v/>
      </c>
      <c r="AK10" s="406" t="str">
        <f>IFERROR(INDEX(V!$R:$R,MATCH(AL10,V!$L:$L,0)),"")</f>
        <v/>
      </c>
      <c r="AL10" s="407" t="str">
        <f t="shared" si="8"/>
        <v/>
      </c>
      <c r="AM10" s="406" t="str">
        <f>IFERROR(INDEX(V!$R:$R,MATCH(AN10,V!$L:$L,0)),"")</f>
        <v/>
      </c>
      <c r="AN10" s="407" t="str">
        <f t="shared" si="9"/>
        <v/>
      </c>
      <c r="AO10" s="406" t="str">
        <f>IFERROR(INDEX(V!$R:$R,MATCH(AP10,V!$L:$L,0)),"")</f>
        <v/>
      </c>
      <c r="AP10" s="407" t="str">
        <f t="shared" si="10"/>
        <v/>
      </c>
    </row>
    <row r="11" spans="1:42" x14ac:dyDescent="0.2">
      <c r="A11" s="614">
        <v>5</v>
      </c>
      <c r="B11" s="459" t="s">
        <v>515</v>
      </c>
      <c r="C11" s="615">
        <v>5</v>
      </c>
      <c r="D11" s="616" t="s">
        <v>363</v>
      </c>
      <c r="E11" s="617">
        <v>13</v>
      </c>
      <c r="F11" s="618" t="str">
        <f>B8</f>
        <v>Kaspar Mänd, Urmas Randlaine</v>
      </c>
      <c r="G11" s="615">
        <v>13</v>
      </c>
      <c r="H11" s="616" t="s">
        <v>363</v>
      </c>
      <c r="I11" s="617">
        <v>4</v>
      </c>
      <c r="J11" s="618" t="str">
        <f>B16</f>
        <v>Enn Tokman, Tarmo Bombe</v>
      </c>
      <c r="K11" s="615">
        <v>3</v>
      </c>
      <c r="L11" s="616" t="s">
        <v>363</v>
      </c>
      <c r="M11" s="617">
        <v>13</v>
      </c>
      <c r="N11" s="618" t="str">
        <f>B9</f>
        <v>Andrei Grintšak, Marko Tarassov</v>
      </c>
      <c r="O11" s="615">
        <v>13</v>
      </c>
      <c r="P11" s="616" t="s">
        <v>363</v>
      </c>
      <c r="Q11" s="617">
        <v>3</v>
      </c>
      <c r="R11" s="618" t="str">
        <f>B15</f>
        <v>Heili Vasser, Vello Vasser</v>
      </c>
      <c r="S11" s="615">
        <v>13</v>
      </c>
      <c r="T11" s="616" t="s">
        <v>363</v>
      </c>
      <c r="U11" s="617">
        <v>9</v>
      </c>
      <c r="V11" s="618" t="str">
        <f>B7</f>
        <v>Oleg Rõndenkov, Toomas Tedrekull</v>
      </c>
      <c r="W11" s="1116">
        <f t="shared" si="0"/>
        <v>3</v>
      </c>
      <c r="X11" s="620"/>
      <c r="Y11" s="615">
        <f t="shared" si="1"/>
        <v>47</v>
      </c>
      <c r="Z11" s="616" t="s">
        <v>363</v>
      </c>
      <c r="AA11" s="621">
        <f t="shared" si="2"/>
        <v>42</v>
      </c>
      <c r="AB11" s="622">
        <f t="shared" si="3"/>
        <v>5</v>
      </c>
      <c r="AD11" s="405">
        <f t="shared" si="4"/>
        <v>215.5</v>
      </c>
      <c r="AE11" s="406">
        <f>IFERROR(INDEX(V!$R:$R,MATCH(AF11,V!$L:$L,0)),"")</f>
        <v>65</v>
      </c>
      <c r="AF11" s="407" t="str">
        <f t="shared" si="5"/>
        <v>Illar Tõnurist</v>
      </c>
      <c r="AG11" s="406">
        <f>IFERROR(INDEX(V!$R:$R,MATCH(AH11,V!$L:$L,0)),"")</f>
        <v>150.5</v>
      </c>
      <c r="AH11" s="407" t="str">
        <f t="shared" si="6"/>
        <v>Karla Purgats</v>
      </c>
      <c r="AI11" s="406" t="str">
        <f>IFERROR(INDEX(V!$R:$R,MATCH(AJ11,V!$L:$L,0)),"")</f>
        <v/>
      </c>
      <c r="AJ11" s="407" t="str">
        <f t="shared" si="7"/>
        <v/>
      </c>
      <c r="AK11" s="406" t="str">
        <f>IFERROR(INDEX(V!$R:$R,MATCH(AL11,V!$L:$L,0)),"")</f>
        <v/>
      </c>
      <c r="AL11" s="407" t="str">
        <f t="shared" si="8"/>
        <v/>
      </c>
      <c r="AM11" s="406" t="str">
        <f>IFERROR(INDEX(V!$R:$R,MATCH(AN11,V!$L:$L,0)),"")</f>
        <v/>
      </c>
      <c r="AN11" s="407" t="str">
        <f t="shared" si="9"/>
        <v/>
      </c>
      <c r="AO11" s="406" t="str">
        <f>IFERROR(INDEX(V!$R:$R,MATCH(AP11,V!$L:$L,0)),"")</f>
        <v/>
      </c>
      <c r="AP11" s="407" t="str">
        <f t="shared" si="10"/>
        <v/>
      </c>
    </row>
    <row r="12" spans="1:42" x14ac:dyDescent="0.2">
      <c r="A12" s="614">
        <v>6</v>
      </c>
      <c r="B12" s="479" t="s">
        <v>283</v>
      </c>
      <c r="C12" s="615">
        <v>13</v>
      </c>
      <c r="D12" s="616" t="s">
        <v>363</v>
      </c>
      <c r="E12" s="617">
        <v>8</v>
      </c>
      <c r="F12" s="618" t="str">
        <f>B13</f>
        <v>Ljudmila Varendi, Viktor Švarõgin</v>
      </c>
      <c r="G12" s="615">
        <v>13</v>
      </c>
      <c r="H12" s="616" t="s">
        <v>363</v>
      </c>
      <c r="I12" s="617">
        <v>7</v>
      </c>
      <c r="J12" s="618" t="str">
        <f>B14</f>
        <v>Henri Mitt, Kenneth Muusikus</v>
      </c>
      <c r="K12" s="615">
        <v>8</v>
      </c>
      <c r="L12" s="616" t="s">
        <v>363</v>
      </c>
      <c r="M12" s="617">
        <v>13</v>
      </c>
      <c r="N12" s="618" t="str">
        <f>B8</f>
        <v>Kaspar Mänd, Urmas Randlaine</v>
      </c>
      <c r="O12" s="615">
        <v>7</v>
      </c>
      <c r="P12" s="616" t="s">
        <v>363</v>
      </c>
      <c r="Q12" s="617">
        <v>13</v>
      </c>
      <c r="R12" s="618" t="str">
        <f>B9</f>
        <v>Andrei Grintšak, Marko Tarassov</v>
      </c>
      <c r="S12" s="615">
        <v>9</v>
      </c>
      <c r="T12" s="616" t="s">
        <v>363</v>
      </c>
      <c r="U12" s="617">
        <v>13</v>
      </c>
      <c r="V12" s="618" t="str">
        <f>B10</f>
        <v>Elmo Lageda, Tõnu Piik</v>
      </c>
      <c r="W12" s="619">
        <f t="shared" si="0"/>
        <v>2</v>
      </c>
      <c r="X12" s="620"/>
      <c r="Y12" s="615">
        <f t="shared" si="1"/>
        <v>50</v>
      </c>
      <c r="Z12" s="616" t="s">
        <v>363</v>
      </c>
      <c r="AA12" s="683">
        <f t="shared" si="2"/>
        <v>54</v>
      </c>
      <c r="AB12" s="622">
        <f t="shared" si="3"/>
        <v>-4</v>
      </c>
      <c r="AD12" s="405">
        <f t="shared" si="4"/>
        <v>171</v>
      </c>
      <c r="AE12" s="406">
        <f>IFERROR(INDEX(V!$R:$R,MATCH(AF12,V!$L:$L,0)),"")</f>
        <v>104</v>
      </c>
      <c r="AF12" s="407" t="str">
        <f t="shared" si="5"/>
        <v>Andres Veski</v>
      </c>
      <c r="AG12" s="406">
        <f>IFERROR(INDEX(V!$R:$R,MATCH(AH12,V!$L:$L,0)),"")</f>
        <v>67</v>
      </c>
      <c r="AH12" s="407" t="str">
        <f t="shared" si="6"/>
        <v>Svetlana Veski</v>
      </c>
      <c r="AI12" s="406" t="str">
        <f>IFERROR(INDEX(V!$R:$R,MATCH(AJ12,V!$L:$L,0)),"")</f>
        <v/>
      </c>
      <c r="AJ12" s="407" t="str">
        <f t="shared" si="7"/>
        <v/>
      </c>
      <c r="AK12" s="406" t="str">
        <f>IFERROR(INDEX(V!$R:$R,MATCH(AL12,V!$L:$L,0)),"")</f>
        <v/>
      </c>
      <c r="AL12" s="407" t="str">
        <f t="shared" si="8"/>
        <v/>
      </c>
      <c r="AM12" s="406" t="str">
        <f>IFERROR(INDEX(V!$R:$R,MATCH(AN12,V!$L:$L,0)),"")</f>
        <v/>
      </c>
      <c r="AN12" s="407" t="str">
        <f t="shared" si="9"/>
        <v/>
      </c>
      <c r="AO12" s="406" t="str">
        <f>IFERROR(INDEX(V!$R:$R,MATCH(AP12,V!$L:$L,0)),"")</f>
        <v/>
      </c>
      <c r="AP12" s="407" t="str">
        <f t="shared" si="10"/>
        <v/>
      </c>
    </row>
    <row r="13" spans="1:42" x14ac:dyDescent="0.2">
      <c r="A13" s="614">
        <v>7</v>
      </c>
      <c r="B13" s="623" t="s">
        <v>309</v>
      </c>
      <c r="C13" s="615">
        <v>8</v>
      </c>
      <c r="D13" s="616" t="s">
        <v>363</v>
      </c>
      <c r="E13" s="617">
        <v>13</v>
      </c>
      <c r="F13" s="618" t="str">
        <f>B12</f>
        <v>Andres Veski, Svetlana Veski</v>
      </c>
      <c r="G13" s="615">
        <v>6</v>
      </c>
      <c r="H13" s="616" t="s">
        <v>363</v>
      </c>
      <c r="I13" s="617">
        <v>13</v>
      </c>
      <c r="J13" s="618" t="str">
        <f>B9</f>
        <v>Andrei Grintšak, Marko Tarassov</v>
      </c>
      <c r="K13" s="615">
        <v>13</v>
      </c>
      <c r="L13" s="616" t="s">
        <v>363</v>
      </c>
      <c r="M13" s="617">
        <v>10</v>
      </c>
      <c r="N13" s="618" t="str">
        <f>B14</f>
        <v>Henri Mitt, Kenneth Muusikus</v>
      </c>
      <c r="O13" s="615">
        <v>9</v>
      </c>
      <c r="P13" s="616" t="s">
        <v>363</v>
      </c>
      <c r="Q13" s="617">
        <v>13</v>
      </c>
      <c r="R13" s="618" t="str">
        <f>B16</f>
        <v>Enn Tokman, Tarmo Bombe</v>
      </c>
      <c r="S13" s="615">
        <v>13</v>
      </c>
      <c r="T13" s="616" t="s">
        <v>363</v>
      </c>
      <c r="U13" s="617">
        <v>4</v>
      </c>
      <c r="V13" s="618" t="str">
        <f>B15</f>
        <v>Heili Vasser, Vello Vasser</v>
      </c>
      <c r="W13" s="619">
        <f t="shared" si="0"/>
        <v>2</v>
      </c>
      <c r="X13" s="620"/>
      <c r="Y13" s="615">
        <f t="shared" si="1"/>
        <v>49</v>
      </c>
      <c r="Z13" s="616" t="s">
        <v>363</v>
      </c>
      <c r="AA13" s="621">
        <f t="shared" si="2"/>
        <v>53</v>
      </c>
      <c r="AB13" s="622">
        <f t="shared" si="3"/>
        <v>-4</v>
      </c>
      <c r="AD13" s="405">
        <f t="shared" si="4"/>
        <v>224</v>
      </c>
      <c r="AE13" s="406">
        <f>IFERROR(INDEX(V!$R:$R,MATCH(AF13,V!$L:$L,0)),"")</f>
        <v>112</v>
      </c>
      <c r="AF13" s="407" t="str">
        <f t="shared" si="5"/>
        <v>Ljudmila Varendi</v>
      </c>
      <c r="AG13" s="406">
        <f>IFERROR(INDEX(V!$R:$R,MATCH(AH13,V!$L:$L,0)),"")</f>
        <v>112</v>
      </c>
      <c r="AH13" s="407" t="str">
        <f t="shared" si="6"/>
        <v>Viktor Švarõgin</v>
      </c>
      <c r="AI13" s="406" t="str">
        <f>IFERROR(INDEX(V!$R:$R,MATCH(AJ13,V!$L:$L,0)),"")</f>
        <v/>
      </c>
      <c r="AJ13" s="407" t="str">
        <f t="shared" si="7"/>
        <v/>
      </c>
      <c r="AK13" s="406" t="str">
        <f>IFERROR(INDEX(V!$R:$R,MATCH(AL13,V!$L:$L,0)),"")</f>
        <v/>
      </c>
      <c r="AL13" s="407" t="str">
        <f t="shared" si="8"/>
        <v/>
      </c>
      <c r="AM13" s="406" t="str">
        <f>IFERROR(INDEX(V!$R:$R,MATCH(AN13,V!$L:$L,0)),"")</f>
        <v/>
      </c>
      <c r="AN13" s="407" t="str">
        <f t="shared" si="9"/>
        <v/>
      </c>
      <c r="AO13" s="406" t="str">
        <f>IFERROR(INDEX(V!$R:$R,MATCH(AP13,V!$L:$L,0)),"")</f>
        <v/>
      </c>
      <c r="AP13" s="407" t="str">
        <f t="shared" si="10"/>
        <v/>
      </c>
    </row>
    <row r="14" spans="1:42" x14ac:dyDescent="0.2">
      <c r="A14" s="614">
        <v>8</v>
      </c>
      <c r="B14" s="623" t="s">
        <v>516</v>
      </c>
      <c r="C14" s="615">
        <v>13</v>
      </c>
      <c r="D14" s="616" t="s">
        <v>363</v>
      </c>
      <c r="E14" s="617">
        <v>8</v>
      </c>
      <c r="F14" s="618" t="str">
        <f>B15</f>
        <v>Heili Vasser, Vello Vasser</v>
      </c>
      <c r="G14" s="615">
        <v>7</v>
      </c>
      <c r="H14" s="616" t="s">
        <v>363</v>
      </c>
      <c r="I14" s="617">
        <v>13</v>
      </c>
      <c r="J14" s="618" t="str">
        <f>B12</f>
        <v>Andres Veski, Svetlana Veski</v>
      </c>
      <c r="K14" s="615">
        <v>10</v>
      </c>
      <c r="L14" s="616" t="s">
        <v>363</v>
      </c>
      <c r="M14" s="617">
        <v>13</v>
      </c>
      <c r="N14" s="618" t="str">
        <f>B13</f>
        <v>Ljudmila Varendi, Viktor Švarõgin</v>
      </c>
      <c r="O14" s="615">
        <v>11</v>
      </c>
      <c r="P14" s="616" t="s">
        <v>363</v>
      </c>
      <c r="Q14" s="617">
        <v>13</v>
      </c>
      <c r="R14" s="618" t="str">
        <f>B10</f>
        <v>Elmo Lageda, Tõnu Piik</v>
      </c>
      <c r="S14" s="615">
        <v>13</v>
      </c>
      <c r="T14" s="616" t="s">
        <v>363</v>
      </c>
      <c r="U14" s="617">
        <v>6</v>
      </c>
      <c r="V14" s="618" t="str">
        <f>B16</f>
        <v>Enn Tokman, Tarmo Bombe</v>
      </c>
      <c r="W14" s="619">
        <f t="shared" si="0"/>
        <v>2</v>
      </c>
      <c r="X14" s="620"/>
      <c r="Y14" s="615">
        <f t="shared" si="1"/>
        <v>54</v>
      </c>
      <c r="Z14" s="616" t="s">
        <v>363</v>
      </c>
      <c r="AA14" s="621">
        <f t="shared" si="2"/>
        <v>53</v>
      </c>
      <c r="AB14" s="622">
        <f t="shared" si="3"/>
        <v>1</v>
      </c>
      <c r="AD14" s="405">
        <f t="shared" si="4"/>
        <v>277</v>
      </c>
      <c r="AE14" s="406">
        <f>IFERROR(INDEX(V!$R:$R,MATCH(AF14,V!$L:$L,0)),"")</f>
        <v>90</v>
      </c>
      <c r="AF14" s="407" t="str">
        <f t="shared" si="5"/>
        <v>Henri Mitt</v>
      </c>
      <c r="AG14" s="406">
        <f>IFERROR(INDEX(V!$R:$R,MATCH(AH14,V!$L:$L,0)),"")</f>
        <v>187</v>
      </c>
      <c r="AH14" s="407" t="str">
        <f t="shared" si="6"/>
        <v>Kenneth Muusikus</v>
      </c>
      <c r="AI14" s="406" t="str">
        <f>IFERROR(INDEX(V!$R:$R,MATCH(AJ14,V!$L:$L,0)),"")</f>
        <v/>
      </c>
      <c r="AJ14" s="407" t="str">
        <f t="shared" si="7"/>
        <v/>
      </c>
      <c r="AK14" s="406" t="str">
        <f>IFERROR(INDEX(V!$R:$R,MATCH(AL14,V!$L:$L,0)),"")</f>
        <v/>
      </c>
      <c r="AL14" s="407" t="str">
        <f t="shared" si="8"/>
        <v/>
      </c>
      <c r="AM14" s="406" t="str">
        <f>IFERROR(INDEX(V!$R:$R,MATCH(AN14,V!$L:$L,0)),"")</f>
        <v/>
      </c>
      <c r="AN14" s="407" t="str">
        <f t="shared" si="9"/>
        <v/>
      </c>
      <c r="AO14" s="406" t="str">
        <f>IFERROR(INDEX(V!$R:$R,MATCH(AP14,V!$L:$L,0)),"")</f>
        <v/>
      </c>
      <c r="AP14" s="407" t="str">
        <f t="shared" si="10"/>
        <v/>
      </c>
    </row>
    <row r="15" spans="1:42" x14ac:dyDescent="0.2">
      <c r="A15" s="614">
        <v>9</v>
      </c>
      <c r="B15" s="479" t="s">
        <v>517</v>
      </c>
      <c r="C15" s="615">
        <v>8</v>
      </c>
      <c r="D15" s="616" t="s">
        <v>363</v>
      </c>
      <c r="E15" s="617">
        <v>13</v>
      </c>
      <c r="F15" s="618" t="str">
        <f>B14</f>
        <v>Henri Mitt, Kenneth Muusikus</v>
      </c>
      <c r="G15" s="615">
        <v>6</v>
      </c>
      <c r="H15" s="616" t="s">
        <v>363</v>
      </c>
      <c r="I15" s="617">
        <v>13</v>
      </c>
      <c r="J15" s="618" t="str">
        <f>B7</f>
        <v>Oleg Rõndenkov, Toomas Tedrekull</v>
      </c>
      <c r="K15" s="615">
        <v>13</v>
      </c>
      <c r="L15" s="616" t="s">
        <v>363</v>
      </c>
      <c r="M15" s="617">
        <v>8</v>
      </c>
      <c r="N15" s="618" t="str">
        <f>B16</f>
        <v>Enn Tokman, Tarmo Bombe</v>
      </c>
      <c r="O15" s="615">
        <v>3</v>
      </c>
      <c r="P15" s="616" t="s">
        <v>363</v>
      </c>
      <c r="Q15" s="617">
        <v>13</v>
      </c>
      <c r="R15" s="618" t="str">
        <f>B11</f>
        <v>Illar Tõnurist, Karla Purgats</v>
      </c>
      <c r="S15" s="615">
        <v>4</v>
      </c>
      <c r="T15" s="616" t="s">
        <v>363</v>
      </c>
      <c r="U15" s="617">
        <v>13</v>
      </c>
      <c r="V15" s="618" t="str">
        <f>B13</f>
        <v>Ljudmila Varendi, Viktor Švarõgin</v>
      </c>
      <c r="W15" s="1115">
        <f t="shared" si="0"/>
        <v>1</v>
      </c>
      <c r="X15" s="620"/>
      <c r="Y15" s="615">
        <f t="shared" si="1"/>
        <v>34</v>
      </c>
      <c r="Z15" s="616" t="s">
        <v>363</v>
      </c>
      <c r="AA15" s="621">
        <f t="shared" si="2"/>
        <v>60</v>
      </c>
      <c r="AB15" s="622">
        <f t="shared" si="3"/>
        <v>-26</v>
      </c>
      <c r="AD15" s="405">
        <f t="shared" si="4"/>
        <v>25</v>
      </c>
      <c r="AE15" s="406" t="str">
        <f>IFERROR(INDEX(V!$R:$R,MATCH(AF15,V!$L:$L,0)),"")</f>
        <v/>
      </c>
      <c r="AF15" s="407" t="str">
        <f t="shared" si="5"/>
        <v>Heili Vasser</v>
      </c>
      <c r="AG15" s="406">
        <f>IFERROR(INDEX(V!$R:$R,MATCH(AH15,V!$L:$L,0)),"")</f>
        <v>25</v>
      </c>
      <c r="AH15" s="407" t="str">
        <f t="shared" si="6"/>
        <v>Vello Vasser</v>
      </c>
      <c r="AI15" s="406" t="str">
        <f>IFERROR(INDEX(V!$R:$R,MATCH(AJ15,V!$L:$L,0)),"")</f>
        <v/>
      </c>
      <c r="AJ15" s="407" t="str">
        <f t="shared" si="7"/>
        <v/>
      </c>
      <c r="AK15" s="406" t="str">
        <f>IFERROR(INDEX(V!$R:$R,MATCH(AL15,V!$L:$L,0)),"")</f>
        <v/>
      </c>
      <c r="AL15" s="407" t="str">
        <f t="shared" si="8"/>
        <v/>
      </c>
      <c r="AM15" s="406" t="str">
        <f>IFERROR(INDEX(V!$R:$R,MATCH(AN15,V!$L:$L,0)),"")</f>
        <v/>
      </c>
      <c r="AN15" s="407" t="str">
        <f t="shared" si="9"/>
        <v/>
      </c>
      <c r="AO15" s="406" t="str">
        <f>IFERROR(INDEX(V!$R:$R,MATCH(AP15,V!$L:$L,0)),"")</f>
        <v/>
      </c>
      <c r="AP15" s="407" t="str">
        <f t="shared" si="10"/>
        <v/>
      </c>
    </row>
    <row r="16" spans="1:42" x14ac:dyDescent="0.2">
      <c r="A16" s="614">
        <v>10</v>
      </c>
      <c r="B16" s="459" t="s">
        <v>280</v>
      </c>
      <c r="C16" s="615">
        <v>3</v>
      </c>
      <c r="D16" s="616" t="s">
        <v>363</v>
      </c>
      <c r="E16" s="617">
        <v>13</v>
      </c>
      <c r="F16" s="618" t="str">
        <f>B10</f>
        <v>Elmo Lageda, Tõnu Piik</v>
      </c>
      <c r="G16" s="615">
        <v>4</v>
      </c>
      <c r="H16" s="616" t="s">
        <v>363</v>
      </c>
      <c r="I16" s="617">
        <v>13</v>
      </c>
      <c r="J16" s="618" t="str">
        <f>B11</f>
        <v>Illar Tõnurist, Karla Purgats</v>
      </c>
      <c r="K16" s="615">
        <v>8</v>
      </c>
      <c r="L16" s="616" t="s">
        <v>363</v>
      </c>
      <c r="M16" s="617">
        <v>13</v>
      </c>
      <c r="N16" s="618" t="str">
        <f>B15</f>
        <v>Heili Vasser, Vello Vasser</v>
      </c>
      <c r="O16" s="615">
        <v>13</v>
      </c>
      <c r="P16" s="616" t="s">
        <v>363</v>
      </c>
      <c r="Q16" s="617">
        <v>9</v>
      </c>
      <c r="R16" s="618" t="str">
        <f>B13</f>
        <v>Ljudmila Varendi, Viktor Švarõgin</v>
      </c>
      <c r="S16" s="615">
        <v>6</v>
      </c>
      <c r="T16" s="616" t="s">
        <v>363</v>
      </c>
      <c r="U16" s="617">
        <v>13</v>
      </c>
      <c r="V16" s="618" t="str">
        <f>B14</f>
        <v>Henri Mitt, Kenneth Muusikus</v>
      </c>
      <c r="W16" s="1115">
        <f t="shared" si="0"/>
        <v>1</v>
      </c>
      <c r="X16" s="620"/>
      <c r="Y16" s="615">
        <f t="shared" si="1"/>
        <v>34</v>
      </c>
      <c r="Z16" s="616" t="s">
        <v>363</v>
      </c>
      <c r="AA16" s="621">
        <f t="shared" si="2"/>
        <v>61</v>
      </c>
      <c r="AB16" s="622">
        <f t="shared" si="3"/>
        <v>-27</v>
      </c>
      <c r="AD16" s="405">
        <f t="shared" si="4"/>
        <v>223</v>
      </c>
      <c r="AE16" s="406">
        <f>IFERROR(INDEX(V!$R:$R,MATCH(AF16,V!$L:$L,0)),"")</f>
        <v>118</v>
      </c>
      <c r="AF16" s="407" t="str">
        <f t="shared" si="5"/>
        <v>Enn Tokman</v>
      </c>
      <c r="AG16" s="406">
        <f>IFERROR(INDEX(V!$R:$R,MATCH(AH16,V!$L:$L,0)),"")</f>
        <v>105</v>
      </c>
      <c r="AH16" s="407" t="str">
        <f t="shared" si="6"/>
        <v>Tarmo Bombe</v>
      </c>
      <c r="AI16" s="406" t="str">
        <f>IFERROR(INDEX(V!$R:$R,MATCH(AJ16,V!$L:$L,0)),"")</f>
        <v/>
      </c>
      <c r="AJ16" s="407" t="str">
        <f t="shared" si="7"/>
        <v/>
      </c>
      <c r="AK16" s="406" t="str">
        <f>IFERROR(INDEX(V!$R:$R,MATCH(AL16,V!$L:$L,0)),"")</f>
        <v/>
      </c>
      <c r="AL16" s="407" t="str">
        <f t="shared" si="8"/>
        <v/>
      </c>
      <c r="AM16" s="406" t="str">
        <f>IFERROR(INDEX(V!$R:$R,MATCH(AN16,V!$L:$L,0)),"")</f>
        <v/>
      </c>
      <c r="AN16" s="407" t="str">
        <f t="shared" si="9"/>
        <v/>
      </c>
      <c r="AO16" s="406" t="str">
        <f>IFERROR(INDEX(V!$R:$R,MATCH(AP16,V!$L:$L,0)),"")</f>
        <v/>
      </c>
      <c r="AP16" s="407" t="str">
        <f t="shared" si="10"/>
        <v/>
      </c>
    </row>
    <row r="17" spans="1:22" hidden="1" x14ac:dyDescent="0.2"/>
    <row r="18" spans="1:22" hidden="1" x14ac:dyDescent="0.2"/>
    <row r="19" spans="1:22" hidden="1" x14ac:dyDescent="0.2"/>
    <row r="21" spans="1:22" x14ac:dyDescent="0.2">
      <c r="A21" s="703" t="s">
        <v>435</v>
      </c>
      <c r="B21" s="704"/>
      <c r="C21" s="704"/>
      <c r="D21" s="704"/>
      <c r="E21" s="704"/>
      <c r="F21" s="704"/>
      <c r="G21" s="704"/>
      <c r="H21" s="704"/>
      <c r="I21" s="704"/>
      <c r="J21" s="704"/>
      <c r="K21" s="704"/>
      <c r="L21" s="704"/>
      <c r="M21" s="704"/>
      <c r="N21" s="704"/>
      <c r="O21" s="704"/>
      <c r="P21" s="704"/>
      <c r="Q21" s="704"/>
      <c r="R21" s="704"/>
      <c r="S21" s="704"/>
      <c r="T21" s="704"/>
      <c r="U21" s="704"/>
      <c r="V21" s="704"/>
    </row>
    <row r="22" spans="1:22" x14ac:dyDescent="0.2">
      <c r="A22" s="704"/>
      <c r="B22" s="704"/>
      <c r="C22" s="704"/>
      <c r="D22" s="704"/>
      <c r="E22" s="704"/>
      <c r="F22" s="704"/>
      <c r="G22" s="704"/>
      <c r="H22" s="704"/>
      <c r="I22" s="704"/>
      <c r="J22" s="704"/>
      <c r="K22" s="704"/>
      <c r="L22" s="704"/>
      <c r="M22" s="704"/>
      <c r="N22" s="704"/>
      <c r="O22" s="704"/>
      <c r="P22" s="704"/>
      <c r="Q22" s="704"/>
      <c r="R22" s="704"/>
      <c r="S22" s="704"/>
      <c r="T22" s="704"/>
      <c r="U22" s="704"/>
      <c r="V22" s="704"/>
    </row>
    <row r="23" spans="1:22" x14ac:dyDescent="0.2">
      <c r="A23" s="676"/>
      <c r="B23" s="705"/>
      <c r="C23" s="706">
        <v>4</v>
      </c>
      <c r="D23" s="706"/>
      <c r="E23" s="706"/>
      <c r="F23" s="707">
        <v>7</v>
      </c>
      <c r="G23" s="706">
        <v>9</v>
      </c>
      <c r="H23" s="706"/>
      <c r="I23" s="706"/>
      <c r="J23" s="667" t="s">
        <v>169</v>
      </c>
      <c r="K23" s="704"/>
      <c r="L23" s="704"/>
      <c r="M23" s="710" t="s">
        <v>102</v>
      </c>
      <c r="N23" s="704"/>
      <c r="O23" s="704"/>
      <c r="P23" s="704"/>
      <c r="Q23" s="711"/>
      <c r="R23" s="704"/>
    </row>
    <row r="24" spans="1:22" x14ac:dyDescent="0.2">
      <c r="A24" s="708">
        <v>4</v>
      </c>
      <c r="B24" s="479" t="s">
        <v>514</v>
      </c>
      <c r="C24" s="712"/>
      <c r="D24" s="712"/>
      <c r="E24" s="712"/>
      <c r="F24" s="713"/>
      <c r="G24" s="1031">
        <v>13</v>
      </c>
      <c r="H24" s="714"/>
      <c r="I24" s="714"/>
      <c r="J24" s="707">
        <v>1</v>
      </c>
      <c r="K24" s="704"/>
      <c r="L24" s="704"/>
      <c r="M24" s="704" t="s">
        <v>436</v>
      </c>
      <c r="N24" s="718"/>
      <c r="O24" s="704"/>
      <c r="P24" s="704"/>
      <c r="Q24" s="719"/>
      <c r="R24" s="701" t="s">
        <v>187</v>
      </c>
    </row>
    <row r="25" spans="1:22" x14ac:dyDescent="0.2">
      <c r="A25" s="708">
        <v>7</v>
      </c>
      <c r="B25" s="479" t="s">
        <v>273</v>
      </c>
      <c r="C25" s="721"/>
      <c r="D25" s="721"/>
      <c r="E25" s="721"/>
      <c r="F25" s="722"/>
      <c r="G25" s="714"/>
      <c r="H25" s="714"/>
      <c r="I25" s="714"/>
      <c r="J25" s="707">
        <v>2</v>
      </c>
      <c r="K25" s="704"/>
      <c r="L25" s="704"/>
      <c r="M25" s="704"/>
      <c r="N25" s="723"/>
      <c r="O25" s="704"/>
      <c r="P25" s="704"/>
      <c r="Q25" s="699"/>
      <c r="R25" s="701" t="s">
        <v>188</v>
      </c>
    </row>
    <row r="26" spans="1:22" x14ac:dyDescent="0.2">
      <c r="A26" s="708">
        <v>9</v>
      </c>
      <c r="B26" s="542" t="s">
        <v>515</v>
      </c>
      <c r="C26" s="721">
        <v>3</v>
      </c>
      <c r="D26" s="721"/>
      <c r="E26" s="714"/>
      <c r="F26" s="715"/>
      <c r="G26" s="712"/>
      <c r="H26" s="712"/>
      <c r="I26" s="712"/>
      <c r="J26" s="707">
        <v>3</v>
      </c>
      <c r="K26" s="704"/>
      <c r="L26" s="704"/>
      <c r="M26" s="704" t="s">
        <v>438</v>
      </c>
      <c r="N26" s="727"/>
      <c r="O26" s="704"/>
      <c r="P26" s="704"/>
      <c r="Q26" s="699"/>
      <c r="R26" s="701" t="s">
        <v>189</v>
      </c>
    </row>
    <row r="28" spans="1:22" x14ac:dyDescent="0.2">
      <c r="A28" s="703" t="s">
        <v>437</v>
      </c>
      <c r="B28" s="704"/>
      <c r="C28" s="704"/>
      <c r="D28" s="704"/>
      <c r="E28" s="704"/>
      <c r="F28" s="704"/>
      <c r="G28" s="704"/>
      <c r="H28" s="704"/>
      <c r="I28" s="704"/>
      <c r="J28" s="704"/>
      <c r="K28" s="704"/>
      <c r="L28" s="704"/>
      <c r="M28" s="704"/>
      <c r="N28" s="704"/>
      <c r="O28" s="704"/>
      <c r="P28" s="704"/>
      <c r="Q28" s="704"/>
      <c r="R28" s="704"/>
      <c r="S28" s="704"/>
      <c r="T28" s="704"/>
      <c r="U28" s="704"/>
      <c r="V28" s="704"/>
    </row>
    <row r="29" spans="1:22" x14ac:dyDescent="0.2">
      <c r="A29" s="704"/>
      <c r="B29" s="704"/>
      <c r="C29" s="704"/>
      <c r="D29" s="704"/>
      <c r="E29" s="704"/>
      <c r="F29" s="704"/>
      <c r="G29" s="704"/>
      <c r="H29" s="704"/>
      <c r="I29" s="704"/>
      <c r="J29" s="704"/>
      <c r="K29" s="704"/>
      <c r="L29" s="704"/>
      <c r="M29" s="704"/>
      <c r="N29" s="704"/>
      <c r="O29" s="704"/>
      <c r="P29" s="704"/>
      <c r="Q29" s="704"/>
      <c r="R29" s="704"/>
      <c r="S29" s="704"/>
      <c r="T29" s="704"/>
      <c r="U29" s="704"/>
      <c r="V29" s="704"/>
    </row>
    <row r="30" spans="1:22" x14ac:dyDescent="0.2">
      <c r="A30" s="676"/>
      <c r="B30" s="705"/>
      <c r="C30" s="706">
        <v>2</v>
      </c>
      <c r="D30" s="706"/>
      <c r="E30" s="706"/>
      <c r="F30" s="707">
        <v>5</v>
      </c>
      <c r="G30" s="706">
        <v>6</v>
      </c>
      <c r="H30" s="706"/>
      <c r="I30" s="706"/>
      <c r="J30" s="667" t="s">
        <v>169</v>
      </c>
      <c r="K30" s="704"/>
      <c r="L30" s="704"/>
      <c r="M30" s="710" t="s">
        <v>102</v>
      </c>
      <c r="N30" s="704"/>
      <c r="O30" s="704"/>
      <c r="P30" s="704"/>
      <c r="Q30" s="704"/>
      <c r="R30" s="704"/>
    </row>
    <row r="31" spans="1:22" x14ac:dyDescent="0.2">
      <c r="A31" s="708">
        <v>2</v>
      </c>
      <c r="B31" s="623" t="s">
        <v>516</v>
      </c>
      <c r="C31" s="712"/>
      <c r="D31" s="712"/>
      <c r="E31" s="712"/>
      <c r="F31" s="713">
        <v>10</v>
      </c>
      <c r="G31" s="721">
        <v>7</v>
      </c>
      <c r="H31" s="721"/>
      <c r="I31" s="721"/>
      <c r="J31" s="667">
        <v>3</v>
      </c>
      <c r="K31" s="704"/>
      <c r="L31" s="704"/>
      <c r="M31" s="710" t="s">
        <v>526</v>
      </c>
      <c r="N31" s="719"/>
      <c r="O31" s="704"/>
      <c r="P31" s="704"/>
      <c r="Q31" s="704"/>
      <c r="R31" s="701" t="s">
        <v>202</v>
      </c>
    </row>
    <row r="32" spans="1:22" x14ac:dyDescent="0.2">
      <c r="A32" s="708">
        <v>5</v>
      </c>
      <c r="B32" s="623" t="s">
        <v>309</v>
      </c>
      <c r="C32" s="706">
        <v>13</v>
      </c>
      <c r="D32" s="721"/>
      <c r="E32" s="721"/>
      <c r="F32" s="722"/>
      <c r="G32" s="721">
        <v>8</v>
      </c>
      <c r="H32" s="721"/>
      <c r="I32" s="721"/>
      <c r="J32" s="667">
        <v>2</v>
      </c>
      <c r="K32" s="704"/>
      <c r="L32" s="704"/>
      <c r="M32" s="710" t="s">
        <v>436</v>
      </c>
      <c r="N32" s="719"/>
      <c r="O32" s="704"/>
      <c r="P32" s="704"/>
      <c r="Q32" s="704"/>
      <c r="R32" s="701" t="s">
        <v>201</v>
      </c>
    </row>
    <row r="33" spans="1:22" x14ac:dyDescent="0.2">
      <c r="A33" s="708">
        <v>6</v>
      </c>
      <c r="B33" s="479" t="s">
        <v>283</v>
      </c>
      <c r="C33" s="706">
        <v>13</v>
      </c>
      <c r="D33" s="721"/>
      <c r="E33" s="721"/>
      <c r="F33" s="707">
        <v>13</v>
      </c>
      <c r="G33" s="712"/>
      <c r="H33" s="712"/>
      <c r="I33" s="712"/>
      <c r="J33" s="667">
        <v>1</v>
      </c>
      <c r="K33" s="704"/>
      <c r="L33" s="704"/>
      <c r="M33" s="710" t="s">
        <v>521</v>
      </c>
      <c r="N33" s="719"/>
      <c r="O33" s="704"/>
      <c r="P33" s="704"/>
      <c r="Q33" s="704"/>
      <c r="R33" s="701" t="s">
        <v>190</v>
      </c>
    </row>
    <row r="34" spans="1:22" hidden="1" x14ac:dyDescent="0.2"/>
    <row r="35" spans="1:22" hidden="1" x14ac:dyDescent="0.2"/>
    <row r="36" spans="1:22" hidden="1" x14ac:dyDescent="0.2"/>
    <row r="37" spans="1:22" hidden="1" x14ac:dyDescent="0.2">
      <c r="A37" s="271"/>
      <c r="B37" s="271"/>
      <c r="C37" s="271"/>
      <c r="D37" s="271"/>
      <c r="E37" s="271"/>
      <c r="F37" s="271"/>
      <c r="G37" s="271"/>
      <c r="H37" s="271"/>
      <c r="I37" s="271"/>
      <c r="J37" s="271"/>
      <c r="K37" s="271"/>
      <c r="L37" s="271"/>
      <c r="M37" s="271"/>
      <c r="O37" s="271"/>
      <c r="P37" s="271"/>
      <c r="Q37" s="271"/>
      <c r="R37" s="412"/>
      <c r="S37" s="271"/>
      <c r="T37" s="271"/>
      <c r="U37" s="271"/>
      <c r="V37" s="271"/>
    </row>
    <row r="38" spans="1:22" hidden="1" x14ac:dyDescent="0.2"/>
    <row r="39" spans="1:22" hidden="1" x14ac:dyDescent="0.2"/>
    <row r="40" spans="1:22" hidden="1" x14ac:dyDescent="0.2"/>
    <row r="41" spans="1:22" hidden="1" x14ac:dyDescent="0.2"/>
    <row r="42" spans="1:22" hidden="1" x14ac:dyDescent="0.2"/>
    <row r="43" spans="1:22" hidden="1" x14ac:dyDescent="0.2"/>
    <row r="44" spans="1:22" hidden="1" x14ac:dyDescent="0.2"/>
    <row r="45" spans="1:22" hidden="1" x14ac:dyDescent="0.2"/>
    <row r="46" spans="1:22" hidden="1" x14ac:dyDescent="0.2"/>
    <row r="47" spans="1:22" hidden="1" x14ac:dyDescent="0.2"/>
    <row r="48" spans="1:22"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14" hidden="1" x14ac:dyDescent="0.2"/>
    <row r="290" spans="1:14" hidden="1" x14ac:dyDescent="0.2"/>
    <row r="291" spans="1:14" hidden="1" x14ac:dyDescent="0.2"/>
    <row r="292" spans="1:14" hidden="1" x14ac:dyDescent="0.2"/>
    <row r="293" spans="1:14" hidden="1" x14ac:dyDescent="0.2"/>
    <row r="294" spans="1:14" hidden="1" x14ac:dyDescent="0.2"/>
    <row r="295" spans="1:14" hidden="1" x14ac:dyDescent="0.2"/>
    <row r="296" spans="1:14" hidden="1" x14ac:dyDescent="0.2"/>
    <row r="297" spans="1:14" hidden="1" x14ac:dyDescent="0.2"/>
    <row r="299" spans="1:14" x14ac:dyDescent="0.2">
      <c r="A299" s="271"/>
      <c r="B299" s="271"/>
      <c r="C299" s="401"/>
      <c r="N299" s="404"/>
    </row>
    <row r="300" spans="1:14" x14ac:dyDescent="0.2">
      <c r="A300" s="530">
        <v>1</v>
      </c>
      <c r="B300" s="625" t="str">
        <f>IFERROR(INDEX(B$1:B$100,MATCH(A300,A$1:A$100,0)),"")</f>
        <v>Oleg Rõndenkov, Toomas Tedrekull</v>
      </c>
      <c r="C300" s="499"/>
      <c r="N300" s="404"/>
    </row>
    <row r="301" spans="1:14" x14ac:dyDescent="0.2">
      <c r="A301" s="530">
        <v>2</v>
      </c>
      <c r="B301" s="625" t="str">
        <f t="shared" ref="B301:B309" si="11">IFERROR(INDEX(B$1:B$100,MATCH(A301,A$1:A$100,0)),"")</f>
        <v>Kaspar Mänd, Urmas Randlaine</v>
      </c>
      <c r="C301" s="499"/>
      <c r="N301" s="404"/>
    </row>
    <row r="302" spans="1:14" x14ac:dyDescent="0.2">
      <c r="A302" s="530">
        <v>3</v>
      </c>
      <c r="B302" s="625" t="str">
        <f t="shared" si="11"/>
        <v>Andrei Grintšak, Marko Tarassov</v>
      </c>
      <c r="C302" s="499"/>
      <c r="N302" s="404"/>
    </row>
    <row r="303" spans="1:14" x14ac:dyDescent="0.2">
      <c r="A303" s="530">
        <v>4</v>
      </c>
      <c r="B303" s="625" t="str">
        <f t="shared" si="11"/>
        <v>Elmo Lageda, Tõnu Piik</v>
      </c>
      <c r="C303" s="499"/>
      <c r="N303" s="404"/>
    </row>
    <row r="304" spans="1:14" x14ac:dyDescent="0.2">
      <c r="A304" s="530">
        <v>4</v>
      </c>
      <c r="B304" s="625" t="s">
        <v>274</v>
      </c>
      <c r="C304" s="499"/>
      <c r="N304" s="404"/>
    </row>
    <row r="305" spans="1:14" x14ac:dyDescent="0.2">
      <c r="A305" s="530">
        <v>6</v>
      </c>
      <c r="B305" s="625" t="str">
        <f t="shared" si="11"/>
        <v>Andres Veski, Svetlana Veski</v>
      </c>
      <c r="C305" s="499"/>
      <c r="N305" s="404"/>
    </row>
    <row r="306" spans="1:14" x14ac:dyDescent="0.2">
      <c r="A306" s="530">
        <v>7</v>
      </c>
      <c r="B306" s="625" t="str">
        <f t="shared" si="11"/>
        <v>Ljudmila Varendi, Viktor Švarõgin</v>
      </c>
      <c r="C306" s="499"/>
      <c r="N306" s="404"/>
    </row>
    <row r="307" spans="1:14" x14ac:dyDescent="0.2">
      <c r="A307" s="530">
        <v>8</v>
      </c>
      <c r="B307" s="625" t="str">
        <f t="shared" si="11"/>
        <v>Henri Mitt, Kenneth Muusikus</v>
      </c>
      <c r="C307" s="499"/>
      <c r="N307" s="404"/>
    </row>
    <row r="308" spans="1:14" x14ac:dyDescent="0.2">
      <c r="A308" s="530">
        <v>9</v>
      </c>
      <c r="B308" s="625" t="str">
        <f t="shared" si="11"/>
        <v>Heili Vasser, Vello Vasser</v>
      </c>
      <c r="C308" s="499"/>
      <c r="N308" s="404"/>
    </row>
    <row r="309" spans="1:14" x14ac:dyDescent="0.2">
      <c r="A309" s="530">
        <v>10</v>
      </c>
      <c r="B309" s="625" t="str">
        <f t="shared" si="11"/>
        <v>Enn Tokman, Tarmo Bombe</v>
      </c>
      <c r="C309" s="499"/>
      <c r="N309" s="404"/>
    </row>
    <row r="310" spans="1:14" x14ac:dyDescent="0.2">
      <c r="N310" s="404"/>
    </row>
  </sheetData>
  <conditionalFormatting sqref="B300:B309">
    <cfRule type="expression" dxfId="1650" priority="46">
      <formula>A300=3</formula>
    </cfRule>
    <cfRule type="expression" dxfId="1649" priority="47">
      <formula>A300=2</formula>
    </cfRule>
    <cfRule type="expression" dxfId="1648" priority="48">
      <formula>A300=1</formula>
    </cfRule>
    <cfRule type="containsBlanks" dxfId="1647" priority="49">
      <formula>LEN(TRIM(B300))=0</formula>
    </cfRule>
    <cfRule type="duplicateValues" dxfId="1646" priority="50"/>
  </conditionalFormatting>
  <conditionalFormatting sqref="C7:C16 G7:G16 K7:K16 O7:O16 S7:S16">
    <cfRule type="expression" dxfId="1645" priority="13">
      <formula>AND(C7=0,E7=13)</formula>
    </cfRule>
  </conditionalFormatting>
  <conditionalFormatting sqref="C7:C16">
    <cfRule type="expression" dxfId="1644" priority="27">
      <formula>IF($C7&gt;$E7,TRUE)</formula>
    </cfRule>
  </conditionalFormatting>
  <conditionalFormatting sqref="E7:E16">
    <cfRule type="expression" dxfId="1643" priority="28">
      <formula>IF($C7&lt;$E7,TRUE)</formula>
    </cfRule>
  </conditionalFormatting>
  <conditionalFormatting sqref="K7:K16">
    <cfRule type="expression" dxfId="1642" priority="35">
      <formula>IF($K7&gt;$M7,TRUE)</formula>
    </cfRule>
  </conditionalFormatting>
  <conditionalFormatting sqref="M7:M16">
    <cfRule type="expression" dxfId="1641" priority="36">
      <formula>IF($K7&lt;$M7,TRUE)</formula>
    </cfRule>
  </conditionalFormatting>
  <conditionalFormatting sqref="O7:O16">
    <cfRule type="expression" dxfId="1640" priority="39">
      <formula>IF($O7&gt;$Q7,TRUE)</formula>
    </cfRule>
  </conditionalFormatting>
  <conditionalFormatting sqref="Q7:Q16">
    <cfRule type="expression" dxfId="1639" priority="40">
      <formula>IF($O7&lt;$Q7,TRUE)</formula>
    </cfRule>
  </conditionalFormatting>
  <conditionalFormatting sqref="S7:S16">
    <cfRule type="expression" dxfId="1638" priority="43">
      <formula>IF($S7&gt;$U7,TRUE)</formula>
    </cfRule>
  </conditionalFormatting>
  <conditionalFormatting sqref="U7:U16">
    <cfRule type="expression" dxfId="1637" priority="44">
      <formula>IF($S7&lt;$U7,TRUE)</formula>
    </cfRule>
  </conditionalFormatting>
  <conditionalFormatting sqref="G7:G16">
    <cfRule type="expression" dxfId="1636" priority="31">
      <formula>IF($G7&gt;$I7,TRUE)</formula>
    </cfRule>
  </conditionalFormatting>
  <conditionalFormatting sqref="I7:I16">
    <cfRule type="expression" dxfId="1635" priority="32">
      <formula>IF($G7&lt;$I7,TRUE)</formula>
    </cfRule>
  </conditionalFormatting>
  <conditionalFormatting sqref="F7:F16">
    <cfRule type="containsText" dxfId="1634" priority="18" operator="containsText" text="vaba voor">
      <formula>NOT(ISERROR(SEARCH("vaba voor",F7)))</formula>
    </cfRule>
  </conditionalFormatting>
  <conditionalFormatting sqref="N7:N16">
    <cfRule type="containsText" dxfId="1633" priority="16" operator="containsText" text="vaba voor">
      <formula>NOT(ISERROR(SEARCH("vaba voor",N7)))</formula>
    </cfRule>
  </conditionalFormatting>
  <conditionalFormatting sqref="R7:R16">
    <cfRule type="containsText" dxfId="1632" priority="19" operator="containsText" text="vaba voor">
      <formula>NOT(ISERROR(SEARCH("vaba voor",R7)))</formula>
    </cfRule>
  </conditionalFormatting>
  <conditionalFormatting sqref="V7:V16">
    <cfRule type="containsText" dxfId="1631" priority="15" operator="containsText" text="vaba voor">
      <formula>NOT(ISERROR(SEARCH("vaba voor",V7)))</formula>
    </cfRule>
  </conditionalFormatting>
  <conditionalFormatting sqref="J7:J16">
    <cfRule type="containsText" dxfId="1630" priority="17" operator="containsText" text="vaba voor">
      <formula>NOT(ISERROR(SEARCH("vaba voor",J7)))</formula>
    </cfRule>
  </conditionalFormatting>
  <conditionalFormatting sqref="C7:F16">
    <cfRule type="expression" dxfId="1629" priority="23">
      <formula>IF(AND(ISNUMBER($C7),$C7=$E7),TRUE)</formula>
    </cfRule>
    <cfRule type="expression" dxfId="1628" priority="25">
      <formula>IF($C7&gt;$E7,TRUE)</formula>
    </cfRule>
    <cfRule type="expression" dxfId="1627" priority="26">
      <formula>IF($C7&lt;$E7,TRUE)</formula>
    </cfRule>
  </conditionalFormatting>
  <conditionalFormatting sqref="G7:J16">
    <cfRule type="expression" dxfId="1626" priority="24">
      <formula>IF(AND(ISNUMBER($G7),$G7=$I7),TRUE)</formula>
    </cfRule>
    <cfRule type="expression" dxfId="1625" priority="29">
      <formula>IF($G7&gt;$I7,TRUE)</formula>
    </cfRule>
    <cfRule type="expression" dxfId="1624" priority="30">
      <formula>IF($G7&lt;$I7,TRUE)</formula>
    </cfRule>
  </conditionalFormatting>
  <conditionalFormatting sqref="K7:N16">
    <cfRule type="expression" dxfId="1623" priority="22">
      <formula>IF(AND(ISNUMBER($K7),$K7=$M7),TRUE)</formula>
    </cfRule>
    <cfRule type="expression" dxfId="1622" priority="33">
      <formula>IF($K7&gt;$M7,TRUE)</formula>
    </cfRule>
    <cfRule type="expression" dxfId="1621" priority="34">
      <formula>IF($K7&lt;$M7,TRUE)</formula>
    </cfRule>
  </conditionalFormatting>
  <conditionalFormatting sqref="O7:R16">
    <cfRule type="expression" dxfId="1620" priority="21">
      <formula>IF(AND(ISNUMBER($O7),$O7=$Q7),TRUE)</formula>
    </cfRule>
    <cfRule type="expression" dxfId="1619" priority="37">
      <formula>IF($O7&gt;$Q7,TRUE)</formula>
    </cfRule>
    <cfRule type="expression" dxfId="1618" priority="38">
      <formula>IF($O7&lt;$Q7,TRUE)</formula>
    </cfRule>
  </conditionalFormatting>
  <conditionalFormatting sqref="S7:V16">
    <cfRule type="expression" dxfId="1617" priority="20">
      <formula>IF(AND(ISNUMBER($S7),$S7=$U7),TRUE)</formula>
    </cfRule>
    <cfRule type="expression" dxfId="1616" priority="41">
      <formula>IF($S7&gt;$U7,TRUE)</formula>
    </cfRule>
    <cfRule type="expression" dxfId="1615" priority="42">
      <formula>IF($S7&lt;$U7,TRUE)</formula>
    </cfRule>
  </conditionalFormatting>
  <conditionalFormatting sqref="E7:E16 I7:I16 M7:M16 Q7:Q16 U7:U16">
    <cfRule type="expression" dxfId="1614" priority="14">
      <formula>AND(E7=0,C7=13)</formula>
    </cfRule>
  </conditionalFormatting>
  <conditionalFormatting sqref="A7:A16">
    <cfRule type="duplicateValues" dxfId="1613" priority="45"/>
  </conditionalFormatting>
  <conditionalFormatting sqref="A300:A309">
    <cfRule type="duplicateValues" dxfId="1612" priority="12"/>
  </conditionalFormatting>
  <conditionalFormatting sqref="AJ7:AJ16">
    <cfRule type="expression" dxfId="1611" priority="5">
      <formula>AND(AI7="",FIND(",",AJ7))</formula>
    </cfRule>
    <cfRule type="expression" dxfId="1610" priority="7">
      <formula>AND(AI7="",COUNTIF(AJ7,"*,*")=0)</formula>
    </cfRule>
  </conditionalFormatting>
  <conditionalFormatting sqref="AH7:AH16">
    <cfRule type="expression" dxfId="1609" priority="8">
      <formula>AND(AG7="",FIND(",",AH7))</formula>
    </cfRule>
    <cfRule type="expression" dxfId="1608" priority="9">
      <formula>AND(AG7="",COUNTIF(AH7,"*,*")=0)</formula>
    </cfRule>
  </conditionalFormatting>
  <conditionalFormatting sqref="AL7:AL16">
    <cfRule type="expression" dxfId="1607" priority="10">
      <formula>AND(AK7="",FIND(",",AL7))</formula>
    </cfRule>
    <cfRule type="expression" dxfId="1606" priority="11">
      <formula>AND(AK7="",COUNTIF(AL7,"*,*")=0)</formula>
    </cfRule>
  </conditionalFormatting>
  <conditionalFormatting sqref="AF7:AF16">
    <cfRule type="expression" dxfId="1605" priority="6">
      <formula>AND(AE7="",COUNTIF(AF7,"*,*")=0)</formula>
    </cfRule>
  </conditionalFormatting>
  <conditionalFormatting sqref="AN7:AN16">
    <cfRule type="expression" dxfId="1604" priority="2">
      <formula>AND(AM7="",COUNTIF(AN7,"*,*")=0)</formula>
    </cfRule>
    <cfRule type="expression" dxfId="1603" priority="4">
      <formula>AND(AM7="",FIND(",",AN7))</formula>
    </cfRule>
  </conditionalFormatting>
  <conditionalFormatting sqref="AP7:AP16">
    <cfRule type="expression" dxfId="1602" priority="1">
      <formula>AND(AO7="",COUNTIF(AP7,"*,*")=0)</formula>
    </cfRule>
    <cfRule type="expression" dxfId="1601" priority="3">
      <formula>AND(AO7="",FIND(",",AP7))</formula>
    </cfRule>
  </conditionalFormatting>
  <pageMargins left="0.78740157480314965" right="0.39370078740157483" top="0.78740157480314965" bottom="0.39370078740157483" header="0.78740157480314965" footer="0"/>
  <pageSetup paperSize="9" fitToHeight="0" orientation="landscape" verticalDpi="1200" r:id="rId1"/>
  <headerFooter>
    <oddHeader>&amp;R&amp;P. leht &amp;N&amp; -st</oddHeader>
  </headerFooter>
  <rowBreaks count="1" manualBreakCount="1">
    <brk id="297"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AM327"/>
  <sheetViews>
    <sheetView showGridLines="0" showRowColHeaders="0" workbookViewId="0">
      <pane ySplit="1" topLeftCell="A2" activePane="bottomLeft" state="frozen"/>
      <selection pane="bottomLeft" activeCell="A5" sqref="A5"/>
    </sheetView>
  </sheetViews>
  <sheetFormatPr defaultRowHeight="12.75" x14ac:dyDescent="0.2"/>
  <cols>
    <col min="1" max="1" width="3.28515625" style="1" customWidth="1"/>
    <col min="2" max="2" width="18.28515625" style="1" bestFit="1" customWidth="1"/>
    <col min="3" max="3" width="3" style="1" customWidth="1"/>
    <col min="4" max="31" width="2.7109375" style="1" customWidth="1"/>
    <col min="32" max="32" width="3" style="1" customWidth="1"/>
    <col min="33" max="33" width="6.5703125" style="1" bestFit="1" customWidth="1"/>
    <col min="34" max="34" width="5.140625" style="1" bestFit="1" customWidth="1"/>
    <col min="35" max="35" width="5.7109375" style="1" bestFit="1" customWidth="1"/>
    <col min="36" max="36" width="5.5703125" style="1" bestFit="1" customWidth="1"/>
    <col min="37" max="37" width="7.140625" style="1" bestFit="1" customWidth="1"/>
    <col min="38" max="38" width="3" style="1" hidden="1" customWidth="1"/>
    <col min="39" max="39" width="9.140625" style="1" hidden="1" customWidth="1"/>
    <col min="40" max="16384" width="9.140625" style="1"/>
  </cols>
  <sheetData>
    <row r="1" spans="1:39" x14ac:dyDescent="0.2">
      <c r="A1" s="400" t="str">
        <f>UPPER((Kalend!E28)&amp;" - "&amp;(Kalend!C28))&amp;" - "&amp;LOWER(Kalend!D28)&amp;" - "&amp;(Kalend!A28)&amp;" kell "&amp;(Kalend!B28)&amp;" - "&amp;(Kalend!F28)</f>
        <v>PL - PLIKS-PLAKS - üksik - R, 21.02.2020 kell 19:00 - Voka petangihall</v>
      </c>
    </row>
    <row r="2" spans="1:39" hidden="1" x14ac:dyDescent="0.2">
      <c r="A2" s="151"/>
    </row>
    <row r="3" spans="1:39" hidden="1" x14ac:dyDescent="0.2">
      <c r="A3" s="151"/>
    </row>
    <row r="4" spans="1:39" hidden="1" x14ac:dyDescent="0.2">
      <c r="A4" s="151"/>
    </row>
    <row r="5" spans="1:39" x14ac:dyDescent="0.2">
      <c r="A5" s="151"/>
    </row>
    <row r="6" spans="1:39" x14ac:dyDescent="0.2">
      <c r="B6" s="1080" t="s">
        <v>79</v>
      </c>
      <c r="C6" s="1080" t="s">
        <v>566</v>
      </c>
      <c r="D6" s="1080">
        <v>1</v>
      </c>
      <c r="E6" s="1080">
        <v>2</v>
      </c>
      <c r="F6" s="1080">
        <v>3</v>
      </c>
      <c r="G6" s="1080">
        <v>4</v>
      </c>
      <c r="H6" s="1080">
        <v>5</v>
      </c>
      <c r="I6" s="1080">
        <v>6</v>
      </c>
      <c r="J6" s="1080">
        <v>7</v>
      </c>
      <c r="K6" s="1080">
        <v>8</v>
      </c>
      <c r="L6" s="1080">
        <v>9</v>
      </c>
      <c r="M6" s="1080">
        <v>10</v>
      </c>
      <c r="N6" s="1080">
        <v>11</v>
      </c>
      <c r="O6" s="1080">
        <v>12</v>
      </c>
      <c r="P6" s="1080">
        <v>13</v>
      </c>
      <c r="Q6" s="1080">
        <v>14</v>
      </c>
      <c r="R6" s="1080">
        <v>15</v>
      </c>
      <c r="S6" s="1080">
        <v>16</v>
      </c>
      <c r="T6" s="1080">
        <v>17</v>
      </c>
      <c r="U6" s="1080">
        <v>18</v>
      </c>
      <c r="V6" s="1080">
        <v>19</v>
      </c>
      <c r="W6" s="1080">
        <v>20</v>
      </c>
      <c r="X6" s="1080">
        <v>21</v>
      </c>
      <c r="Y6" s="1080">
        <v>22</v>
      </c>
      <c r="Z6" s="1080">
        <v>23</v>
      </c>
      <c r="AA6" s="1080">
        <v>24</v>
      </c>
      <c r="AB6" s="1080">
        <v>25</v>
      </c>
      <c r="AC6" s="1080">
        <v>26</v>
      </c>
      <c r="AD6" s="1080">
        <v>27</v>
      </c>
      <c r="AE6" s="1080">
        <v>28</v>
      </c>
      <c r="AF6" s="1080" t="s">
        <v>566</v>
      </c>
      <c r="AG6" s="1080" t="s">
        <v>370</v>
      </c>
      <c r="AH6" s="1080" t="s">
        <v>169</v>
      </c>
      <c r="AI6" s="1081" t="s">
        <v>102</v>
      </c>
      <c r="AJ6" s="1081" t="s">
        <v>567</v>
      </c>
      <c r="AK6" s="1081" t="s">
        <v>569</v>
      </c>
    </row>
    <row r="7" spans="1:39" x14ac:dyDescent="0.2">
      <c r="B7" s="1083" t="s">
        <v>570</v>
      </c>
      <c r="C7" s="1084">
        <v>1</v>
      </c>
      <c r="D7" s="1085"/>
      <c r="E7" s="1091">
        <v>5</v>
      </c>
      <c r="F7" s="1092">
        <v>1</v>
      </c>
      <c r="G7" s="1092">
        <v>1</v>
      </c>
      <c r="H7" s="1091">
        <v>3</v>
      </c>
      <c r="I7" s="1091">
        <v>2</v>
      </c>
      <c r="J7" s="1091">
        <v>2</v>
      </c>
      <c r="K7" s="1091">
        <v>3</v>
      </c>
      <c r="L7" s="1090">
        <v>1</v>
      </c>
      <c r="M7" s="1092">
        <v>0</v>
      </c>
      <c r="N7" s="1091">
        <v>2</v>
      </c>
      <c r="O7" s="1092">
        <v>0</v>
      </c>
      <c r="P7" s="1091">
        <v>3</v>
      </c>
      <c r="Q7" s="1091">
        <v>3</v>
      </c>
      <c r="R7" s="1091">
        <v>2</v>
      </c>
      <c r="S7" s="1091">
        <v>4</v>
      </c>
      <c r="T7" s="607" t="s">
        <v>205</v>
      </c>
      <c r="U7" s="1079" t="s">
        <v>205</v>
      </c>
      <c r="V7" s="1092">
        <v>0</v>
      </c>
      <c r="W7" s="1079"/>
      <c r="X7" s="1079"/>
      <c r="Y7" s="1079"/>
      <c r="Z7" s="1079"/>
      <c r="AA7" s="1079"/>
      <c r="AB7" s="1079"/>
      <c r="AC7" s="1079"/>
      <c r="AD7" s="1091">
        <v>4</v>
      </c>
      <c r="AE7" s="1091">
        <v>5</v>
      </c>
      <c r="AF7" s="1084">
        <v>1</v>
      </c>
      <c r="AG7" s="1087">
        <f>AI7*2.01+AJ7*1.0001</f>
        <v>25.120099999999997</v>
      </c>
      <c r="AH7" s="1088">
        <f t="shared" ref="AH7:AH34" si="0">RANK(AG7,AG$7:AG$34,0)</f>
        <v>9</v>
      </c>
      <c r="AI7" s="1089">
        <v>12</v>
      </c>
      <c r="AJ7" s="411">
        <v>1</v>
      </c>
      <c r="AK7" s="551">
        <f t="shared" ref="AK7:AK34" si="1">COUNTIF(D7:AE7,"&gt;=0")</f>
        <v>18</v>
      </c>
    </row>
    <row r="8" spans="1:39" x14ac:dyDescent="0.2">
      <c r="B8" s="1082" t="s">
        <v>133</v>
      </c>
      <c r="C8" s="1084">
        <v>2</v>
      </c>
      <c r="D8" s="1092">
        <v>0</v>
      </c>
      <c r="E8" s="1085"/>
      <c r="F8" s="1092">
        <v>0</v>
      </c>
      <c r="G8" s="1092">
        <v>0</v>
      </c>
      <c r="H8" s="1090">
        <v>1</v>
      </c>
      <c r="I8" s="1092">
        <v>0</v>
      </c>
      <c r="J8" s="1092">
        <v>1</v>
      </c>
      <c r="K8" s="1091">
        <v>3</v>
      </c>
      <c r="L8" s="1092">
        <v>1</v>
      </c>
      <c r="M8" s="1090">
        <v>1</v>
      </c>
      <c r="N8" s="1090">
        <v>1</v>
      </c>
      <c r="O8" s="1079"/>
      <c r="P8" s="1090">
        <v>1</v>
      </c>
      <c r="Q8" s="1091">
        <v>2</v>
      </c>
      <c r="R8" s="1092">
        <v>0</v>
      </c>
      <c r="S8" s="1092">
        <v>0</v>
      </c>
      <c r="T8" s="1092">
        <v>2</v>
      </c>
      <c r="U8" s="1079" t="s">
        <v>205</v>
      </c>
      <c r="V8" s="1079"/>
      <c r="W8" s="1079"/>
      <c r="X8" s="1079"/>
      <c r="Y8" s="1092">
        <v>0</v>
      </c>
      <c r="Z8" s="1091">
        <v>3</v>
      </c>
      <c r="AA8" s="1092">
        <v>1</v>
      </c>
      <c r="AB8" s="1079"/>
      <c r="AC8" s="1079" t="s">
        <v>205</v>
      </c>
      <c r="AD8" s="1079" t="s">
        <v>205</v>
      </c>
      <c r="AE8" s="1092">
        <v>0</v>
      </c>
      <c r="AF8" s="1084">
        <v>2</v>
      </c>
      <c r="AG8" s="1087">
        <f t="shared" ref="AG8:AG34" si="2">AI8*2.01+AJ8*1.0001</f>
        <v>10.0304</v>
      </c>
      <c r="AH8" s="1088">
        <f t="shared" si="0"/>
        <v>26</v>
      </c>
      <c r="AI8" s="1089">
        <v>3</v>
      </c>
      <c r="AJ8" s="411">
        <v>4</v>
      </c>
      <c r="AK8" s="551">
        <f t="shared" si="1"/>
        <v>19</v>
      </c>
    </row>
    <row r="9" spans="1:39" x14ac:dyDescent="0.2">
      <c r="B9" s="1083" t="s">
        <v>583</v>
      </c>
      <c r="C9" s="1084">
        <v>3</v>
      </c>
      <c r="D9" s="1091">
        <v>2</v>
      </c>
      <c r="E9" s="1091">
        <v>3</v>
      </c>
      <c r="F9" s="1085"/>
      <c r="G9" s="1092">
        <v>1</v>
      </c>
      <c r="H9" s="1091">
        <v>2</v>
      </c>
      <c r="I9" s="1092">
        <v>0</v>
      </c>
      <c r="J9" s="1092">
        <v>1</v>
      </c>
      <c r="K9" s="1092">
        <v>0</v>
      </c>
      <c r="L9" s="1091">
        <v>2</v>
      </c>
      <c r="M9" s="1092">
        <v>1</v>
      </c>
      <c r="N9" s="1091">
        <v>3</v>
      </c>
      <c r="O9" s="1090">
        <v>2</v>
      </c>
      <c r="P9" s="1094">
        <v>0</v>
      </c>
      <c r="Q9" s="1092">
        <v>0</v>
      </c>
      <c r="R9" s="1090">
        <v>2</v>
      </c>
      <c r="S9" s="1079"/>
      <c r="T9" s="1098"/>
      <c r="U9" s="1091">
        <v>4</v>
      </c>
      <c r="V9" s="1091">
        <v>2</v>
      </c>
      <c r="W9" s="1090">
        <v>1</v>
      </c>
      <c r="X9" s="1091">
        <v>2</v>
      </c>
      <c r="Y9" s="1091">
        <v>3</v>
      </c>
      <c r="Z9" s="1091">
        <v>2</v>
      </c>
      <c r="AA9" s="1093">
        <v>2</v>
      </c>
      <c r="AB9" s="1091">
        <v>2</v>
      </c>
      <c r="AC9" s="1092">
        <v>1</v>
      </c>
      <c r="AD9" s="1090">
        <v>1</v>
      </c>
      <c r="AE9" s="1079"/>
      <c r="AF9" s="1084">
        <v>3</v>
      </c>
      <c r="AG9" s="1087">
        <f t="shared" si="2"/>
        <v>27.120299999999997</v>
      </c>
      <c r="AH9" s="1088">
        <f t="shared" si="0"/>
        <v>5</v>
      </c>
      <c r="AI9" s="1089">
        <v>12</v>
      </c>
      <c r="AJ9" s="411">
        <v>3</v>
      </c>
      <c r="AK9" s="551">
        <f t="shared" si="1"/>
        <v>24</v>
      </c>
      <c r="AL9" s="1097">
        <v>27</v>
      </c>
      <c r="AM9" s="1" t="s">
        <v>580</v>
      </c>
    </row>
    <row r="10" spans="1:39" x14ac:dyDescent="0.2">
      <c r="B10" s="1082" t="s">
        <v>85</v>
      </c>
      <c r="C10" s="1084">
        <v>4</v>
      </c>
      <c r="D10" s="1091">
        <v>2</v>
      </c>
      <c r="E10" s="1091">
        <v>4</v>
      </c>
      <c r="F10" s="1091">
        <v>3</v>
      </c>
      <c r="G10" s="1085"/>
      <c r="H10" s="1091">
        <v>3</v>
      </c>
      <c r="I10" s="1091">
        <v>3</v>
      </c>
      <c r="J10" s="1091">
        <v>4</v>
      </c>
      <c r="K10" s="1091">
        <v>4</v>
      </c>
      <c r="L10" s="1090">
        <v>1</v>
      </c>
      <c r="M10" s="1091">
        <v>2</v>
      </c>
      <c r="N10" s="1091">
        <v>4</v>
      </c>
      <c r="O10" s="1092">
        <v>0</v>
      </c>
      <c r="P10" s="1091">
        <v>3</v>
      </c>
      <c r="Q10" s="1090">
        <v>1</v>
      </c>
      <c r="R10" s="1090">
        <v>2</v>
      </c>
      <c r="S10" s="1091">
        <v>3</v>
      </c>
      <c r="T10" s="1091">
        <v>3</v>
      </c>
      <c r="U10" s="1091">
        <v>2</v>
      </c>
      <c r="V10" s="1092">
        <v>1</v>
      </c>
      <c r="W10" s="1091">
        <v>4</v>
      </c>
      <c r="X10" s="1092">
        <v>0</v>
      </c>
      <c r="Y10" s="1090">
        <v>1</v>
      </c>
      <c r="Z10" s="1091">
        <v>5</v>
      </c>
      <c r="AA10" s="1092">
        <v>1</v>
      </c>
      <c r="AB10" s="1091">
        <v>3</v>
      </c>
      <c r="AC10" s="1090">
        <v>2</v>
      </c>
      <c r="AD10" s="1092">
        <v>0</v>
      </c>
      <c r="AE10" s="1091">
        <v>4</v>
      </c>
      <c r="AF10" s="1084">
        <v>4</v>
      </c>
      <c r="AG10" s="1087">
        <f t="shared" si="2"/>
        <v>39.170499999999997</v>
      </c>
      <c r="AH10" s="1088">
        <f t="shared" si="0"/>
        <v>1</v>
      </c>
      <c r="AI10" s="1089">
        <v>17</v>
      </c>
      <c r="AJ10" s="411">
        <v>5</v>
      </c>
      <c r="AK10" s="551">
        <f t="shared" si="1"/>
        <v>27</v>
      </c>
    </row>
    <row r="11" spans="1:39" x14ac:dyDescent="0.2">
      <c r="B11" s="1083" t="s">
        <v>575</v>
      </c>
      <c r="C11" s="1084">
        <v>5</v>
      </c>
      <c r="D11" s="1092">
        <v>2</v>
      </c>
      <c r="E11" s="1090">
        <v>1</v>
      </c>
      <c r="F11" s="1092">
        <v>0</v>
      </c>
      <c r="G11" s="1092">
        <v>1</v>
      </c>
      <c r="H11" s="1085"/>
      <c r="I11" s="1091">
        <v>3</v>
      </c>
      <c r="J11" s="1090">
        <v>1</v>
      </c>
      <c r="K11" s="1090">
        <v>1</v>
      </c>
      <c r="L11" s="1092">
        <v>0</v>
      </c>
      <c r="M11" s="1091">
        <v>3</v>
      </c>
      <c r="N11" s="1092">
        <v>0</v>
      </c>
      <c r="O11" s="1091">
        <v>2</v>
      </c>
      <c r="P11" s="1091">
        <v>2</v>
      </c>
      <c r="Q11" s="1092">
        <v>1</v>
      </c>
      <c r="R11" s="1091">
        <v>6</v>
      </c>
      <c r="S11" s="1091">
        <v>2</v>
      </c>
      <c r="T11" s="1092">
        <v>0</v>
      </c>
      <c r="U11" s="1091">
        <v>3</v>
      </c>
      <c r="V11" s="1092">
        <v>1</v>
      </c>
      <c r="W11" s="1079"/>
      <c r="X11" s="1079"/>
      <c r="Y11" s="1079"/>
      <c r="Z11" s="1079"/>
      <c r="AA11" s="1079"/>
      <c r="AB11" s="1079"/>
      <c r="AC11" s="1079" t="s">
        <v>205</v>
      </c>
      <c r="AD11" s="1091">
        <v>4</v>
      </c>
      <c r="AE11" s="1079"/>
      <c r="AF11" s="1084">
        <v>5</v>
      </c>
      <c r="AG11" s="1087">
        <f t="shared" si="2"/>
        <v>19.080299999999998</v>
      </c>
      <c r="AH11" s="1088">
        <f t="shared" si="0"/>
        <v>19</v>
      </c>
      <c r="AI11" s="1089">
        <v>8</v>
      </c>
      <c r="AJ11" s="411">
        <v>3</v>
      </c>
      <c r="AK11" s="551">
        <f t="shared" si="1"/>
        <v>19</v>
      </c>
    </row>
    <row r="12" spans="1:39" x14ac:dyDescent="0.2">
      <c r="B12" s="1083" t="s">
        <v>162</v>
      </c>
      <c r="C12" s="1084">
        <v>6</v>
      </c>
      <c r="D12" s="1092">
        <v>0</v>
      </c>
      <c r="E12" s="1091">
        <v>3</v>
      </c>
      <c r="F12" s="1091">
        <v>2</v>
      </c>
      <c r="G12" s="1092">
        <v>0</v>
      </c>
      <c r="H12" s="1092">
        <v>0</v>
      </c>
      <c r="I12" s="1085"/>
      <c r="J12" s="1091">
        <v>1</v>
      </c>
      <c r="K12" s="1092">
        <v>0</v>
      </c>
      <c r="L12" s="1091">
        <v>3</v>
      </c>
      <c r="M12" s="1090">
        <v>1</v>
      </c>
      <c r="N12" s="1092">
        <v>0</v>
      </c>
      <c r="O12" s="1092">
        <v>0</v>
      </c>
      <c r="P12" s="1092">
        <v>0</v>
      </c>
      <c r="Q12" s="1091">
        <v>6</v>
      </c>
      <c r="R12" s="1091">
        <v>3</v>
      </c>
      <c r="S12" s="1091">
        <v>2</v>
      </c>
      <c r="T12" s="1092">
        <v>0</v>
      </c>
      <c r="U12" s="1090">
        <v>3</v>
      </c>
      <c r="V12" s="1092">
        <v>0</v>
      </c>
      <c r="W12" s="1090">
        <v>1</v>
      </c>
      <c r="X12" s="1090">
        <v>1</v>
      </c>
      <c r="Y12" s="1090">
        <v>2</v>
      </c>
      <c r="Z12" s="1079" t="s">
        <v>205</v>
      </c>
      <c r="AA12" s="1091">
        <v>4</v>
      </c>
      <c r="AB12" s="1091">
        <v>2</v>
      </c>
      <c r="AC12" s="1090">
        <v>2</v>
      </c>
      <c r="AD12" s="1090">
        <v>1</v>
      </c>
      <c r="AE12" s="1091">
        <v>4</v>
      </c>
      <c r="AF12" s="1084">
        <v>6</v>
      </c>
      <c r="AG12" s="1087">
        <f t="shared" si="2"/>
        <v>27.100699999999996</v>
      </c>
      <c r="AH12" s="1088">
        <f t="shared" si="0"/>
        <v>7</v>
      </c>
      <c r="AI12" s="1089">
        <v>10</v>
      </c>
      <c r="AJ12" s="411">
        <v>7</v>
      </c>
      <c r="AK12" s="551">
        <f t="shared" si="1"/>
        <v>26</v>
      </c>
    </row>
    <row r="13" spans="1:39" x14ac:dyDescent="0.2">
      <c r="B13" s="1083" t="s">
        <v>161</v>
      </c>
      <c r="C13" s="1084">
        <v>7</v>
      </c>
      <c r="D13" s="1092">
        <v>1</v>
      </c>
      <c r="E13" s="1091">
        <v>2</v>
      </c>
      <c r="F13" s="1091">
        <v>2</v>
      </c>
      <c r="G13" s="1092">
        <v>0</v>
      </c>
      <c r="H13" s="1090">
        <v>1</v>
      </c>
      <c r="I13" s="1092">
        <v>0</v>
      </c>
      <c r="J13" s="1085"/>
      <c r="K13" s="1091">
        <v>2</v>
      </c>
      <c r="L13" s="1092">
        <v>0</v>
      </c>
      <c r="M13" s="1092">
        <v>0</v>
      </c>
      <c r="N13" s="1091">
        <v>3</v>
      </c>
      <c r="O13" s="1092">
        <v>1</v>
      </c>
      <c r="P13" s="1091">
        <v>5</v>
      </c>
      <c r="Q13" s="1092">
        <v>1</v>
      </c>
      <c r="R13" s="1091">
        <v>3</v>
      </c>
      <c r="S13" s="1091">
        <v>2</v>
      </c>
      <c r="T13" s="1090">
        <v>2</v>
      </c>
      <c r="U13" s="1091">
        <v>2</v>
      </c>
      <c r="V13" s="1092">
        <v>1</v>
      </c>
      <c r="W13" s="1091">
        <v>4</v>
      </c>
      <c r="X13" s="1091">
        <v>3</v>
      </c>
      <c r="Y13" s="1091">
        <v>1</v>
      </c>
      <c r="Z13" s="1091">
        <v>3</v>
      </c>
      <c r="AA13" s="1091">
        <v>3</v>
      </c>
      <c r="AB13" s="1091">
        <v>4</v>
      </c>
      <c r="AC13" s="1092">
        <v>0</v>
      </c>
      <c r="AD13" s="1090">
        <v>1</v>
      </c>
      <c r="AE13" s="1091">
        <v>2</v>
      </c>
      <c r="AF13" s="1084">
        <v>7</v>
      </c>
      <c r="AG13" s="1087">
        <f t="shared" si="2"/>
        <v>33.150300000000001</v>
      </c>
      <c r="AH13" s="1088">
        <f t="shared" si="0"/>
        <v>2</v>
      </c>
      <c r="AI13" s="1089">
        <v>15</v>
      </c>
      <c r="AJ13" s="411">
        <v>3</v>
      </c>
      <c r="AK13" s="551">
        <f t="shared" si="1"/>
        <v>27</v>
      </c>
    </row>
    <row r="14" spans="1:39" x14ac:dyDescent="0.2">
      <c r="B14" s="1083" t="s">
        <v>576</v>
      </c>
      <c r="C14" s="1084">
        <v>8</v>
      </c>
      <c r="D14" s="1092">
        <v>2</v>
      </c>
      <c r="E14" s="1092">
        <v>1</v>
      </c>
      <c r="F14" s="1091">
        <v>2</v>
      </c>
      <c r="G14" s="1092">
        <v>0</v>
      </c>
      <c r="H14" s="1090">
        <v>1</v>
      </c>
      <c r="I14" s="1091">
        <v>3</v>
      </c>
      <c r="J14" s="1092">
        <v>0</v>
      </c>
      <c r="K14" s="1085"/>
      <c r="L14" s="1092">
        <v>0</v>
      </c>
      <c r="M14" s="1091">
        <v>2</v>
      </c>
      <c r="N14" s="1090">
        <v>1</v>
      </c>
      <c r="O14" s="1090">
        <v>1</v>
      </c>
      <c r="P14" s="1079"/>
      <c r="Q14" s="1079"/>
      <c r="R14" s="1079"/>
      <c r="S14" s="1079"/>
      <c r="T14" s="1079" t="s">
        <v>205</v>
      </c>
      <c r="U14" s="1079" t="s">
        <v>205</v>
      </c>
      <c r="V14" s="1079"/>
      <c r="W14" s="1079"/>
      <c r="X14" s="1079" t="s">
        <v>205</v>
      </c>
      <c r="Y14" s="1079"/>
      <c r="Z14" s="1079"/>
      <c r="AA14" s="1079"/>
      <c r="AB14" s="1079"/>
      <c r="AC14" s="1079" t="s">
        <v>205</v>
      </c>
      <c r="AD14" s="1079" t="s">
        <v>205</v>
      </c>
      <c r="AE14" s="1079"/>
      <c r="AF14" s="1084">
        <v>8</v>
      </c>
      <c r="AG14" s="1087">
        <f t="shared" si="2"/>
        <v>9.0303000000000004</v>
      </c>
      <c r="AH14" s="1088">
        <f t="shared" si="0"/>
        <v>27</v>
      </c>
      <c r="AI14" s="1089">
        <v>3</v>
      </c>
      <c r="AJ14" s="411">
        <v>3</v>
      </c>
      <c r="AK14" s="551">
        <f t="shared" si="1"/>
        <v>11</v>
      </c>
    </row>
    <row r="15" spans="1:39" x14ac:dyDescent="0.2">
      <c r="B15" s="1083" t="s">
        <v>139</v>
      </c>
      <c r="C15" s="1084">
        <v>9</v>
      </c>
      <c r="D15" s="1090">
        <v>1</v>
      </c>
      <c r="E15" s="1091">
        <v>2</v>
      </c>
      <c r="F15" s="1092">
        <v>1</v>
      </c>
      <c r="G15" s="1090">
        <v>1</v>
      </c>
      <c r="H15" s="1091">
        <v>2</v>
      </c>
      <c r="I15" s="1092">
        <v>0</v>
      </c>
      <c r="J15" s="1091">
        <v>1</v>
      </c>
      <c r="K15" s="1091">
        <v>3</v>
      </c>
      <c r="L15" s="1085"/>
      <c r="M15" s="1091">
        <v>5</v>
      </c>
      <c r="N15" s="1091">
        <v>4</v>
      </c>
      <c r="O15" s="1092">
        <v>0</v>
      </c>
      <c r="P15" s="1090">
        <v>2</v>
      </c>
      <c r="Q15" s="1091">
        <v>2</v>
      </c>
      <c r="R15" s="1092">
        <v>1</v>
      </c>
      <c r="S15" s="1092">
        <v>0</v>
      </c>
      <c r="T15" s="1091">
        <v>3</v>
      </c>
      <c r="U15" s="1090">
        <v>1</v>
      </c>
      <c r="V15" s="1091">
        <v>5</v>
      </c>
      <c r="W15" s="1092">
        <v>0</v>
      </c>
      <c r="X15" s="1090">
        <v>1</v>
      </c>
      <c r="Y15" s="1091">
        <v>2</v>
      </c>
      <c r="Z15" s="1091">
        <v>3</v>
      </c>
      <c r="AA15" s="1091">
        <v>3</v>
      </c>
      <c r="AB15" s="1092">
        <v>0</v>
      </c>
      <c r="AC15" s="1090">
        <v>1</v>
      </c>
      <c r="AD15" s="1091">
        <v>5</v>
      </c>
      <c r="AE15" s="1092">
        <v>2</v>
      </c>
      <c r="AF15" s="1084">
        <v>9</v>
      </c>
      <c r="AG15" s="1087">
        <f t="shared" si="2"/>
        <v>32.130599999999994</v>
      </c>
      <c r="AH15" s="1088">
        <f t="shared" si="0"/>
        <v>3</v>
      </c>
      <c r="AI15" s="1089">
        <v>13</v>
      </c>
      <c r="AJ15" s="411">
        <v>6</v>
      </c>
      <c r="AK15" s="551">
        <f t="shared" si="1"/>
        <v>27</v>
      </c>
    </row>
    <row r="16" spans="1:39" x14ac:dyDescent="0.2">
      <c r="B16" s="1083" t="s">
        <v>518</v>
      </c>
      <c r="C16" s="1084">
        <v>10</v>
      </c>
      <c r="D16" s="1091">
        <v>3</v>
      </c>
      <c r="E16" s="1090">
        <v>1</v>
      </c>
      <c r="F16" s="1091">
        <v>2</v>
      </c>
      <c r="G16" s="1092">
        <v>0</v>
      </c>
      <c r="H16" s="1092">
        <v>0</v>
      </c>
      <c r="I16" s="1090">
        <v>1</v>
      </c>
      <c r="J16" s="1091">
        <v>3</v>
      </c>
      <c r="K16" s="1092">
        <v>0</v>
      </c>
      <c r="L16" s="1092">
        <v>0</v>
      </c>
      <c r="M16" s="1085"/>
      <c r="N16" s="1092">
        <v>0</v>
      </c>
      <c r="O16" s="1091">
        <v>5</v>
      </c>
      <c r="P16" s="1079"/>
      <c r="Q16" s="1090">
        <v>2</v>
      </c>
      <c r="R16" s="1091">
        <v>2</v>
      </c>
      <c r="S16" s="1092">
        <v>1</v>
      </c>
      <c r="T16" s="1079" t="s">
        <v>205</v>
      </c>
      <c r="U16" s="1079" t="s">
        <v>205</v>
      </c>
      <c r="V16" s="1079"/>
      <c r="W16" s="1079"/>
      <c r="X16" s="1079" t="s">
        <v>205</v>
      </c>
      <c r="Y16" s="1079"/>
      <c r="Z16" s="1079"/>
      <c r="AA16" s="1079"/>
      <c r="AB16" s="1079"/>
      <c r="AC16" s="1079" t="s">
        <v>205</v>
      </c>
      <c r="AD16" s="1079" t="s">
        <v>205</v>
      </c>
      <c r="AE16" s="1079"/>
      <c r="AF16" s="1084">
        <v>10</v>
      </c>
      <c r="AG16" s="1087">
        <f t="shared" si="2"/>
        <v>13.0503</v>
      </c>
      <c r="AH16" s="1088">
        <f t="shared" si="0"/>
        <v>24</v>
      </c>
      <c r="AI16" s="1089">
        <v>5</v>
      </c>
      <c r="AJ16" s="411">
        <v>3</v>
      </c>
      <c r="AK16" s="551">
        <f t="shared" si="1"/>
        <v>14</v>
      </c>
    </row>
    <row r="17" spans="2:39" x14ac:dyDescent="0.2">
      <c r="B17" s="1082" t="s">
        <v>137</v>
      </c>
      <c r="C17" s="1084">
        <v>11</v>
      </c>
      <c r="D17" s="1092">
        <v>1</v>
      </c>
      <c r="E17" s="1090">
        <v>1</v>
      </c>
      <c r="F17" s="1092">
        <v>1</v>
      </c>
      <c r="G17" s="1092">
        <v>0</v>
      </c>
      <c r="H17" s="1091">
        <v>4</v>
      </c>
      <c r="I17" s="1091">
        <v>3</v>
      </c>
      <c r="J17" s="1092">
        <v>0</v>
      </c>
      <c r="K17" s="1090">
        <v>1</v>
      </c>
      <c r="L17" s="1092">
        <v>0</v>
      </c>
      <c r="M17" s="1091">
        <v>3</v>
      </c>
      <c r="N17" s="1085"/>
      <c r="O17" s="1091">
        <v>2</v>
      </c>
      <c r="P17" s="1092">
        <v>0</v>
      </c>
      <c r="Q17" s="1091">
        <v>2</v>
      </c>
      <c r="R17" s="1092">
        <v>0</v>
      </c>
      <c r="S17" s="1092">
        <v>1</v>
      </c>
      <c r="T17" s="1092">
        <v>2</v>
      </c>
      <c r="U17" s="1091">
        <v>3</v>
      </c>
      <c r="V17" s="1091">
        <v>2</v>
      </c>
      <c r="W17" s="1094">
        <v>0</v>
      </c>
      <c r="X17" s="1092">
        <v>2</v>
      </c>
      <c r="Y17" s="1092">
        <v>1</v>
      </c>
      <c r="Z17" s="1092">
        <v>1</v>
      </c>
      <c r="AA17" s="1092">
        <v>0</v>
      </c>
      <c r="AB17" s="1090">
        <v>1</v>
      </c>
      <c r="AC17" s="1091">
        <v>2</v>
      </c>
      <c r="AD17" s="1091">
        <v>5</v>
      </c>
      <c r="AE17" s="1091">
        <v>3</v>
      </c>
      <c r="AF17" s="1084">
        <v>11</v>
      </c>
      <c r="AG17" s="1087">
        <f t="shared" si="2"/>
        <v>23.100299999999997</v>
      </c>
      <c r="AH17" s="1088">
        <f t="shared" si="0"/>
        <v>12</v>
      </c>
      <c r="AI17" s="1089">
        <v>10</v>
      </c>
      <c r="AJ17" s="411">
        <v>3</v>
      </c>
      <c r="AK17" s="551">
        <f t="shared" si="1"/>
        <v>27</v>
      </c>
    </row>
    <row r="18" spans="2:39" x14ac:dyDescent="0.2">
      <c r="B18" s="1083" t="s">
        <v>148</v>
      </c>
      <c r="C18" s="1084">
        <v>12</v>
      </c>
      <c r="D18" s="1091">
        <v>3</v>
      </c>
      <c r="E18" s="1079"/>
      <c r="F18" s="1090">
        <v>2</v>
      </c>
      <c r="G18" s="1091">
        <v>2</v>
      </c>
      <c r="H18" s="1092">
        <v>0</v>
      </c>
      <c r="I18" s="1091">
        <v>4</v>
      </c>
      <c r="J18" s="1091">
        <v>2</v>
      </c>
      <c r="K18" s="1090">
        <v>1</v>
      </c>
      <c r="L18" s="1091">
        <v>6</v>
      </c>
      <c r="M18" s="1092">
        <v>0</v>
      </c>
      <c r="N18" s="1092">
        <v>1</v>
      </c>
      <c r="O18" s="1085"/>
      <c r="P18" s="1092">
        <v>1</v>
      </c>
      <c r="Q18" s="1091">
        <v>3</v>
      </c>
      <c r="R18" s="1092">
        <v>1</v>
      </c>
      <c r="S18" s="1091">
        <v>2</v>
      </c>
      <c r="T18" s="1092">
        <v>0</v>
      </c>
      <c r="U18" s="1090">
        <v>1</v>
      </c>
      <c r="V18" s="1092">
        <v>1</v>
      </c>
      <c r="W18" s="1092">
        <v>1</v>
      </c>
      <c r="X18" s="1091">
        <v>3</v>
      </c>
      <c r="Y18" s="1091">
        <v>2</v>
      </c>
      <c r="Z18" s="1079"/>
      <c r="AA18" s="1092">
        <v>2</v>
      </c>
      <c r="AB18" s="1091">
        <v>2</v>
      </c>
      <c r="AC18" s="1091">
        <v>4</v>
      </c>
      <c r="AD18" s="1092">
        <v>1</v>
      </c>
      <c r="AE18" s="1091">
        <v>4</v>
      </c>
      <c r="AF18" s="1084">
        <v>12</v>
      </c>
      <c r="AG18" s="1087">
        <f t="shared" si="2"/>
        <v>27.120299999999997</v>
      </c>
      <c r="AH18" s="1088">
        <f t="shared" si="0"/>
        <v>5</v>
      </c>
      <c r="AI18" s="1089">
        <v>12</v>
      </c>
      <c r="AJ18" s="411">
        <v>3</v>
      </c>
      <c r="AK18" s="551">
        <f t="shared" si="1"/>
        <v>25</v>
      </c>
    </row>
    <row r="19" spans="2:39" x14ac:dyDescent="0.2">
      <c r="B19" s="1083" t="s">
        <v>145</v>
      </c>
      <c r="C19" s="1084">
        <v>13</v>
      </c>
      <c r="D19" s="1092">
        <v>0</v>
      </c>
      <c r="E19" s="1090">
        <v>1</v>
      </c>
      <c r="F19" s="1093">
        <v>2</v>
      </c>
      <c r="G19" s="1092">
        <v>1</v>
      </c>
      <c r="H19" s="1092">
        <v>0</v>
      </c>
      <c r="I19" s="1091">
        <v>3</v>
      </c>
      <c r="J19" s="1092">
        <v>0</v>
      </c>
      <c r="K19" s="1079"/>
      <c r="L19" s="1090">
        <v>2</v>
      </c>
      <c r="M19" s="1079"/>
      <c r="N19" s="1091">
        <v>3</v>
      </c>
      <c r="O19" s="1091">
        <v>2</v>
      </c>
      <c r="P19" s="1085"/>
      <c r="Q19" s="1091">
        <v>2</v>
      </c>
      <c r="R19" s="1091">
        <v>2</v>
      </c>
      <c r="S19" s="1079"/>
      <c r="T19" s="1092">
        <v>1</v>
      </c>
      <c r="U19" s="1091">
        <v>2</v>
      </c>
      <c r="V19" s="1090">
        <v>2</v>
      </c>
      <c r="W19" s="1092">
        <v>0</v>
      </c>
      <c r="X19" s="1092">
        <v>1</v>
      </c>
      <c r="Y19" s="1091">
        <v>2</v>
      </c>
      <c r="Z19" s="1079"/>
      <c r="AA19" s="1092">
        <v>1</v>
      </c>
      <c r="AB19" s="1092">
        <v>0</v>
      </c>
      <c r="AC19" s="1090">
        <v>1</v>
      </c>
      <c r="AD19" s="1092">
        <v>1</v>
      </c>
      <c r="AE19" s="1091">
        <v>2</v>
      </c>
      <c r="AF19" s="1084">
        <v>13</v>
      </c>
      <c r="AG19" s="1087">
        <f t="shared" si="2"/>
        <v>22.090399999999995</v>
      </c>
      <c r="AH19" s="1088">
        <f t="shared" si="0"/>
        <v>16</v>
      </c>
      <c r="AI19" s="1089">
        <v>9</v>
      </c>
      <c r="AJ19" s="411">
        <v>4</v>
      </c>
      <c r="AK19" s="551">
        <f t="shared" si="1"/>
        <v>23</v>
      </c>
    </row>
    <row r="20" spans="2:39" x14ac:dyDescent="0.2">
      <c r="B20" s="1083" t="s">
        <v>141</v>
      </c>
      <c r="C20" s="1084">
        <v>14</v>
      </c>
      <c r="D20" s="1092">
        <v>0</v>
      </c>
      <c r="E20" s="1092">
        <v>1</v>
      </c>
      <c r="F20" s="1091">
        <v>4</v>
      </c>
      <c r="G20" s="1090">
        <v>1</v>
      </c>
      <c r="H20" s="1091">
        <v>2</v>
      </c>
      <c r="I20" s="1092">
        <v>0</v>
      </c>
      <c r="J20" s="1091">
        <v>2</v>
      </c>
      <c r="K20" s="1079"/>
      <c r="L20" s="1092">
        <v>1</v>
      </c>
      <c r="M20" s="1090">
        <v>2</v>
      </c>
      <c r="N20" s="1092">
        <v>0</v>
      </c>
      <c r="O20" s="1092">
        <v>1</v>
      </c>
      <c r="P20" s="1092">
        <v>1</v>
      </c>
      <c r="Q20" s="1085"/>
      <c r="R20" s="1092">
        <v>2</v>
      </c>
      <c r="S20" s="1091">
        <v>3</v>
      </c>
      <c r="T20" s="1090">
        <v>1</v>
      </c>
      <c r="U20" s="1092">
        <v>1</v>
      </c>
      <c r="V20" s="1091">
        <v>4</v>
      </c>
      <c r="W20" s="1092">
        <v>2</v>
      </c>
      <c r="X20" s="1092">
        <v>0</v>
      </c>
      <c r="Y20" s="1092">
        <v>1</v>
      </c>
      <c r="Z20" s="1091">
        <v>3</v>
      </c>
      <c r="AA20" s="1091">
        <v>3</v>
      </c>
      <c r="AB20" s="1092">
        <v>0</v>
      </c>
      <c r="AC20" s="1092">
        <v>1</v>
      </c>
      <c r="AD20" s="1092">
        <v>1</v>
      </c>
      <c r="AE20" s="1092">
        <v>0</v>
      </c>
      <c r="AF20" s="1084">
        <v>14</v>
      </c>
      <c r="AG20" s="1087">
        <f t="shared" si="2"/>
        <v>17.0703</v>
      </c>
      <c r="AH20" s="1088">
        <f t="shared" si="0"/>
        <v>22</v>
      </c>
      <c r="AI20" s="1089">
        <v>7</v>
      </c>
      <c r="AJ20" s="411">
        <v>3</v>
      </c>
      <c r="AK20" s="551">
        <f t="shared" si="1"/>
        <v>26</v>
      </c>
    </row>
    <row r="21" spans="2:39" x14ac:dyDescent="0.2">
      <c r="B21" s="1083" t="s">
        <v>87</v>
      </c>
      <c r="C21" s="1084">
        <v>15</v>
      </c>
      <c r="D21" s="1092">
        <v>0</v>
      </c>
      <c r="E21" s="1091">
        <v>2</v>
      </c>
      <c r="F21" s="1090">
        <v>2</v>
      </c>
      <c r="G21" s="1090">
        <v>2</v>
      </c>
      <c r="H21" s="1092">
        <v>0</v>
      </c>
      <c r="I21" s="1092">
        <v>0</v>
      </c>
      <c r="J21" s="1092">
        <v>2</v>
      </c>
      <c r="K21" s="1079"/>
      <c r="L21" s="1091">
        <v>3</v>
      </c>
      <c r="M21" s="1092">
        <v>0</v>
      </c>
      <c r="N21" s="1091">
        <v>2</v>
      </c>
      <c r="O21" s="1091">
        <v>2</v>
      </c>
      <c r="P21" s="1092">
        <v>1</v>
      </c>
      <c r="Q21" s="1091">
        <v>3</v>
      </c>
      <c r="R21" s="1085"/>
      <c r="S21" s="1091">
        <v>4</v>
      </c>
      <c r="T21" s="1092">
        <v>1</v>
      </c>
      <c r="U21" s="1091">
        <v>3</v>
      </c>
      <c r="V21" s="1090">
        <v>2</v>
      </c>
      <c r="W21" s="1092">
        <v>0</v>
      </c>
      <c r="X21" s="1092">
        <v>0</v>
      </c>
      <c r="Y21" s="1092">
        <v>0</v>
      </c>
      <c r="Z21" s="1092">
        <v>0</v>
      </c>
      <c r="AA21" s="1092">
        <v>1</v>
      </c>
      <c r="AB21" s="1092">
        <v>0</v>
      </c>
      <c r="AC21" s="1092">
        <v>1</v>
      </c>
      <c r="AD21" s="1091">
        <v>2</v>
      </c>
      <c r="AE21" s="1092">
        <v>0</v>
      </c>
      <c r="AF21" s="1084">
        <v>15</v>
      </c>
      <c r="AG21" s="1087">
        <f t="shared" si="2"/>
        <v>19.080299999999998</v>
      </c>
      <c r="AH21" s="1088">
        <v>20</v>
      </c>
      <c r="AI21" s="1089">
        <v>8</v>
      </c>
      <c r="AJ21" s="411">
        <v>3</v>
      </c>
      <c r="AK21" s="551">
        <f t="shared" si="1"/>
        <v>26</v>
      </c>
    </row>
    <row r="22" spans="2:39" x14ac:dyDescent="0.2">
      <c r="B22" s="1083" t="s">
        <v>573</v>
      </c>
      <c r="C22" s="1084">
        <v>16</v>
      </c>
      <c r="D22" s="1092">
        <v>0</v>
      </c>
      <c r="E22" s="1091">
        <v>3</v>
      </c>
      <c r="F22" s="1079"/>
      <c r="G22" s="1092">
        <v>1</v>
      </c>
      <c r="H22" s="1092">
        <v>1</v>
      </c>
      <c r="I22" s="1092">
        <v>1</v>
      </c>
      <c r="J22" s="1092">
        <v>1</v>
      </c>
      <c r="K22" s="1079"/>
      <c r="L22" s="1091">
        <v>6</v>
      </c>
      <c r="M22" s="1091">
        <v>3</v>
      </c>
      <c r="N22" s="1091">
        <v>2</v>
      </c>
      <c r="O22" s="1092">
        <v>1</v>
      </c>
      <c r="P22" s="1079"/>
      <c r="Q22" s="1092">
        <v>2</v>
      </c>
      <c r="R22" s="1092">
        <v>0</v>
      </c>
      <c r="S22" s="1085"/>
      <c r="T22" s="1092">
        <v>1</v>
      </c>
      <c r="U22" s="1091">
        <v>2</v>
      </c>
      <c r="V22" s="1090">
        <v>1</v>
      </c>
      <c r="W22" s="1079"/>
      <c r="X22" s="1096">
        <v>2</v>
      </c>
      <c r="Y22" s="1091">
        <v>3</v>
      </c>
      <c r="Z22" s="1079"/>
      <c r="AA22" s="1092">
        <v>1</v>
      </c>
      <c r="AB22" s="1092">
        <v>0</v>
      </c>
      <c r="AC22" s="1094">
        <v>0</v>
      </c>
      <c r="AD22" s="1091">
        <v>2</v>
      </c>
      <c r="AE22" s="1091">
        <v>3</v>
      </c>
      <c r="AF22" s="1084">
        <v>16</v>
      </c>
      <c r="AG22" s="1087">
        <f t="shared" si="2"/>
        <v>19.090099999999996</v>
      </c>
      <c r="AH22" s="1088">
        <f t="shared" si="0"/>
        <v>18</v>
      </c>
      <c r="AI22" s="1089">
        <v>9</v>
      </c>
      <c r="AJ22" s="1089">
        <v>1</v>
      </c>
      <c r="AK22" s="551">
        <f t="shared" si="1"/>
        <v>22</v>
      </c>
      <c r="AL22" s="1">
        <v>19</v>
      </c>
      <c r="AM22" s="1" t="s">
        <v>578</v>
      </c>
    </row>
    <row r="23" spans="2:39" x14ac:dyDescent="0.2">
      <c r="B23" s="1083" t="s">
        <v>140</v>
      </c>
      <c r="C23" s="1084">
        <v>17</v>
      </c>
      <c r="D23" s="1086" t="s">
        <v>205</v>
      </c>
      <c r="E23" s="1091">
        <v>3</v>
      </c>
      <c r="F23" s="1098"/>
      <c r="G23" s="1092">
        <v>0</v>
      </c>
      <c r="H23" s="1091">
        <v>3</v>
      </c>
      <c r="I23" s="1091">
        <v>2</v>
      </c>
      <c r="J23" s="1090">
        <v>2</v>
      </c>
      <c r="K23" s="1079" t="s">
        <v>205</v>
      </c>
      <c r="L23" s="1092">
        <v>2</v>
      </c>
      <c r="M23" s="1079" t="s">
        <v>205</v>
      </c>
      <c r="N23" s="1091">
        <v>3</v>
      </c>
      <c r="O23" s="1091">
        <v>4</v>
      </c>
      <c r="P23" s="1091">
        <v>2</v>
      </c>
      <c r="Q23" s="1090">
        <v>1</v>
      </c>
      <c r="R23" s="1091">
        <v>2</v>
      </c>
      <c r="S23" s="1091">
        <v>2</v>
      </c>
      <c r="T23" s="1085"/>
      <c r="U23" s="1091">
        <v>3</v>
      </c>
      <c r="V23" s="1092">
        <v>0</v>
      </c>
      <c r="W23" s="1090">
        <v>3</v>
      </c>
      <c r="X23" s="1091">
        <v>3</v>
      </c>
      <c r="Y23" s="1090">
        <v>2</v>
      </c>
      <c r="Z23" s="1092">
        <v>0</v>
      </c>
      <c r="AA23" s="1091">
        <v>3</v>
      </c>
      <c r="AB23" s="1092">
        <v>1</v>
      </c>
      <c r="AC23" s="1091">
        <v>5</v>
      </c>
      <c r="AD23" s="1090">
        <v>3</v>
      </c>
      <c r="AE23" s="1092">
        <v>0</v>
      </c>
      <c r="AF23" s="1084">
        <v>17</v>
      </c>
      <c r="AG23" s="1087">
        <f t="shared" si="2"/>
        <v>29.120499999999996</v>
      </c>
      <c r="AH23" s="1088">
        <f t="shared" si="0"/>
        <v>4</v>
      </c>
      <c r="AI23" s="1089">
        <v>12</v>
      </c>
      <c r="AJ23" s="411">
        <v>5</v>
      </c>
      <c r="AK23" s="551">
        <f t="shared" si="1"/>
        <v>23</v>
      </c>
    </row>
    <row r="24" spans="2:39" x14ac:dyDescent="0.2">
      <c r="B24" s="1083" t="s">
        <v>157</v>
      </c>
      <c r="C24" s="1084">
        <v>18</v>
      </c>
      <c r="D24" s="1086" t="s">
        <v>205</v>
      </c>
      <c r="E24" s="1079" t="s">
        <v>205</v>
      </c>
      <c r="F24" s="1092">
        <v>0</v>
      </c>
      <c r="G24" s="1092">
        <v>0</v>
      </c>
      <c r="H24" s="1092">
        <v>0</v>
      </c>
      <c r="I24" s="1090">
        <v>3</v>
      </c>
      <c r="J24" s="1092">
        <v>1</v>
      </c>
      <c r="K24" s="1079" t="s">
        <v>205</v>
      </c>
      <c r="L24" s="1090">
        <v>1</v>
      </c>
      <c r="M24" s="1079" t="s">
        <v>205</v>
      </c>
      <c r="N24" s="1092">
        <v>0</v>
      </c>
      <c r="O24" s="1090">
        <v>1</v>
      </c>
      <c r="P24" s="1092">
        <v>1</v>
      </c>
      <c r="Q24" s="1091">
        <v>2</v>
      </c>
      <c r="R24" s="1092">
        <v>1</v>
      </c>
      <c r="S24" s="1092">
        <v>0</v>
      </c>
      <c r="T24" s="1092">
        <v>0</v>
      </c>
      <c r="U24" s="1085"/>
      <c r="V24" s="1091">
        <v>2</v>
      </c>
      <c r="W24" s="1092">
        <v>0</v>
      </c>
      <c r="X24" s="1092">
        <v>1</v>
      </c>
      <c r="Y24" s="1090">
        <v>3</v>
      </c>
      <c r="Z24" s="1086" t="s">
        <v>205</v>
      </c>
      <c r="AA24" s="1092">
        <v>2</v>
      </c>
      <c r="AB24" s="1090">
        <v>2</v>
      </c>
      <c r="AC24" s="1092">
        <v>0</v>
      </c>
      <c r="AD24" s="1092">
        <v>1</v>
      </c>
      <c r="AE24" s="1091">
        <v>3</v>
      </c>
      <c r="AF24" s="1084">
        <v>18</v>
      </c>
      <c r="AG24" s="1087">
        <f t="shared" si="2"/>
        <v>11.0305</v>
      </c>
      <c r="AH24" s="1088">
        <f t="shared" si="0"/>
        <v>25</v>
      </c>
      <c r="AI24" s="1089">
        <v>3</v>
      </c>
      <c r="AJ24" s="411">
        <v>5</v>
      </c>
      <c r="AK24" s="551">
        <f t="shared" si="1"/>
        <v>22</v>
      </c>
    </row>
    <row r="25" spans="2:39" x14ac:dyDescent="0.2">
      <c r="B25" s="1083" t="s">
        <v>156</v>
      </c>
      <c r="C25" s="1084">
        <v>19</v>
      </c>
      <c r="D25" s="1091">
        <v>3</v>
      </c>
      <c r="E25" s="1079"/>
      <c r="F25" s="1092">
        <v>0</v>
      </c>
      <c r="G25" s="1091">
        <v>2</v>
      </c>
      <c r="H25" s="1091">
        <v>3</v>
      </c>
      <c r="I25" s="1091">
        <v>3</v>
      </c>
      <c r="J25" s="1091">
        <v>3</v>
      </c>
      <c r="K25" s="1079"/>
      <c r="L25" s="1092">
        <v>0</v>
      </c>
      <c r="M25" s="1079"/>
      <c r="N25" s="1092">
        <v>0</v>
      </c>
      <c r="O25" s="1091">
        <v>2</v>
      </c>
      <c r="P25" s="1090">
        <v>2</v>
      </c>
      <c r="Q25" s="1092">
        <v>0</v>
      </c>
      <c r="R25" s="1090">
        <v>2</v>
      </c>
      <c r="S25" s="1090">
        <v>1</v>
      </c>
      <c r="T25" s="1091">
        <v>3</v>
      </c>
      <c r="U25" s="1092">
        <v>1</v>
      </c>
      <c r="V25" s="1085"/>
      <c r="W25" s="1091">
        <v>2</v>
      </c>
      <c r="X25" s="1090">
        <v>1</v>
      </c>
      <c r="Y25" s="1092">
        <v>0</v>
      </c>
      <c r="Z25" s="1090">
        <v>1</v>
      </c>
      <c r="AA25" s="1092">
        <v>0</v>
      </c>
      <c r="AB25" s="1092">
        <v>0</v>
      </c>
      <c r="AC25" s="1092">
        <v>0</v>
      </c>
      <c r="AD25" s="1092">
        <v>0</v>
      </c>
      <c r="AE25" s="1091">
        <v>3</v>
      </c>
      <c r="AF25" s="1084">
        <v>19</v>
      </c>
      <c r="AG25" s="1087">
        <f t="shared" si="2"/>
        <v>23.090499999999995</v>
      </c>
      <c r="AH25" s="1088">
        <v>14</v>
      </c>
      <c r="AI25" s="1089">
        <v>9</v>
      </c>
      <c r="AJ25" s="411">
        <v>5</v>
      </c>
      <c r="AK25" s="551">
        <f t="shared" si="1"/>
        <v>24</v>
      </c>
      <c r="AL25" s="1095">
        <v>24</v>
      </c>
      <c r="AM25" s="1" t="s">
        <v>579</v>
      </c>
    </row>
    <row r="26" spans="2:39" x14ac:dyDescent="0.2">
      <c r="B26" s="1082" t="s">
        <v>571</v>
      </c>
      <c r="C26" s="1084">
        <v>20</v>
      </c>
      <c r="D26" s="1086"/>
      <c r="E26" s="1079"/>
      <c r="F26" s="1090">
        <v>1</v>
      </c>
      <c r="G26" s="1092">
        <v>0</v>
      </c>
      <c r="H26" s="1079"/>
      <c r="I26" s="1090">
        <v>1</v>
      </c>
      <c r="J26" s="1092">
        <v>0</v>
      </c>
      <c r="K26" s="1079"/>
      <c r="L26" s="1091">
        <v>2</v>
      </c>
      <c r="M26" s="1079"/>
      <c r="N26" s="1093">
        <v>2</v>
      </c>
      <c r="O26" s="1091">
        <v>2</v>
      </c>
      <c r="P26" s="1091">
        <v>3</v>
      </c>
      <c r="Q26" s="1091">
        <v>3</v>
      </c>
      <c r="R26" s="1091">
        <v>3</v>
      </c>
      <c r="S26" s="1079"/>
      <c r="T26" s="1090">
        <v>3</v>
      </c>
      <c r="U26" s="1091">
        <v>4</v>
      </c>
      <c r="V26" s="1092">
        <v>1</v>
      </c>
      <c r="W26" s="1085"/>
      <c r="X26" s="1090">
        <v>1</v>
      </c>
      <c r="Y26" s="1086"/>
      <c r="Z26" s="1086"/>
      <c r="AA26" s="1091">
        <v>3</v>
      </c>
      <c r="AB26" s="1091">
        <v>4</v>
      </c>
      <c r="AC26" s="1092">
        <v>0</v>
      </c>
      <c r="AD26" s="1091">
        <v>2</v>
      </c>
      <c r="AE26" s="1086"/>
      <c r="AF26" s="1084">
        <v>20</v>
      </c>
      <c r="AG26" s="1087">
        <f t="shared" si="2"/>
        <v>24.100399999999997</v>
      </c>
      <c r="AH26" s="1088">
        <f t="shared" si="0"/>
        <v>11</v>
      </c>
      <c r="AI26" s="1089">
        <v>10</v>
      </c>
      <c r="AJ26" s="411">
        <v>4</v>
      </c>
      <c r="AK26" s="551">
        <f t="shared" si="1"/>
        <v>18</v>
      </c>
    </row>
    <row r="27" spans="2:39" x14ac:dyDescent="0.2">
      <c r="B27" s="1082" t="s">
        <v>572</v>
      </c>
      <c r="C27" s="1084">
        <v>21</v>
      </c>
      <c r="D27" s="1086"/>
      <c r="E27" s="1079"/>
      <c r="F27" s="1092">
        <v>1</v>
      </c>
      <c r="G27" s="1091">
        <v>3</v>
      </c>
      <c r="H27" s="1079"/>
      <c r="I27" s="1090">
        <v>1</v>
      </c>
      <c r="J27" s="1092">
        <v>2</v>
      </c>
      <c r="K27" s="1079" t="s">
        <v>205</v>
      </c>
      <c r="L27" s="1090">
        <v>1</v>
      </c>
      <c r="M27" s="1079" t="s">
        <v>205</v>
      </c>
      <c r="N27" s="1091">
        <v>3</v>
      </c>
      <c r="O27" s="1092">
        <v>0</v>
      </c>
      <c r="P27" s="1091">
        <v>2</v>
      </c>
      <c r="Q27" s="1091">
        <v>2</v>
      </c>
      <c r="R27" s="1091">
        <v>4</v>
      </c>
      <c r="S27" s="1092">
        <v>0</v>
      </c>
      <c r="T27" s="1092">
        <v>1</v>
      </c>
      <c r="U27" s="1091">
        <v>2</v>
      </c>
      <c r="V27" s="1090">
        <v>1</v>
      </c>
      <c r="W27" s="1090">
        <v>1</v>
      </c>
      <c r="X27" s="1085"/>
      <c r="Y27" s="1090">
        <v>1</v>
      </c>
      <c r="Z27" s="1091">
        <v>3</v>
      </c>
      <c r="AA27" s="1092">
        <v>1</v>
      </c>
      <c r="AB27" s="1092">
        <v>1</v>
      </c>
      <c r="AC27" s="1090">
        <v>1</v>
      </c>
      <c r="AD27" s="1090">
        <v>1</v>
      </c>
      <c r="AE27" s="1086"/>
      <c r="AF27" s="1084">
        <v>21</v>
      </c>
      <c r="AG27" s="1087">
        <f t="shared" si="2"/>
        <v>21.070699999999999</v>
      </c>
      <c r="AH27" s="1088">
        <f t="shared" si="0"/>
        <v>17</v>
      </c>
      <c r="AI27" s="1089">
        <v>7</v>
      </c>
      <c r="AJ27" s="411">
        <v>7</v>
      </c>
      <c r="AK27" s="551">
        <f t="shared" si="1"/>
        <v>21</v>
      </c>
      <c r="AM27" s="1" t="s">
        <v>577</v>
      </c>
    </row>
    <row r="28" spans="2:39" x14ac:dyDescent="0.2">
      <c r="B28" s="1083" t="s">
        <v>582</v>
      </c>
      <c r="C28" s="1084">
        <v>22</v>
      </c>
      <c r="D28" s="1086"/>
      <c r="E28" s="1091">
        <v>3</v>
      </c>
      <c r="F28" s="1092">
        <v>0</v>
      </c>
      <c r="G28" s="1090">
        <v>1</v>
      </c>
      <c r="H28" s="1079"/>
      <c r="I28" s="1090">
        <v>2</v>
      </c>
      <c r="J28" s="1092">
        <v>0</v>
      </c>
      <c r="K28" s="1079"/>
      <c r="L28" s="1092">
        <v>1</v>
      </c>
      <c r="M28" s="1079"/>
      <c r="N28" s="1091">
        <v>3</v>
      </c>
      <c r="O28" s="1092">
        <v>1</v>
      </c>
      <c r="P28" s="1092">
        <v>0</v>
      </c>
      <c r="Q28" s="1091">
        <v>3</v>
      </c>
      <c r="R28" s="1091">
        <v>4</v>
      </c>
      <c r="S28" s="1092">
        <v>2</v>
      </c>
      <c r="T28" s="1090">
        <v>2</v>
      </c>
      <c r="U28" s="1090">
        <v>3</v>
      </c>
      <c r="V28" s="1096" t="s">
        <v>574</v>
      </c>
      <c r="W28" s="1086"/>
      <c r="X28" s="1090">
        <v>1</v>
      </c>
      <c r="Y28" s="1085"/>
      <c r="Z28" s="1086"/>
      <c r="AA28" s="1090">
        <v>1</v>
      </c>
      <c r="AB28" s="1092">
        <v>0</v>
      </c>
      <c r="AC28" s="1090">
        <v>1</v>
      </c>
      <c r="AD28" s="1092">
        <v>0</v>
      </c>
      <c r="AE28" s="1090">
        <v>1</v>
      </c>
      <c r="AF28" s="1084">
        <v>22</v>
      </c>
      <c r="AG28" s="1087">
        <f t="shared" si="2"/>
        <v>18.050799999999999</v>
      </c>
      <c r="AH28" s="1088">
        <f t="shared" si="0"/>
        <v>21</v>
      </c>
      <c r="AI28" s="1089">
        <v>5</v>
      </c>
      <c r="AJ28" s="1089">
        <v>8</v>
      </c>
      <c r="AK28" s="551">
        <f t="shared" si="1"/>
        <v>20</v>
      </c>
    </row>
    <row r="29" spans="2:39" x14ac:dyDescent="0.2">
      <c r="B29" s="1083" t="s">
        <v>581</v>
      </c>
      <c r="C29" s="1084">
        <v>23</v>
      </c>
      <c r="D29" s="1086"/>
      <c r="E29" s="1092">
        <v>0</v>
      </c>
      <c r="F29" s="1092">
        <v>1</v>
      </c>
      <c r="G29" s="1092">
        <v>0</v>
      </c>
      <c r="H29" s="1079"/>
      <c r="I29" s="1079" t="s">
        <v>205</v>
      </c>
      <c r="J29" s="1092">
        <v>0</v>
      </c>
      <c r="K29" s="1079"/>
      <c r="L29" s="1092">
        <v>0</v>
      </c>
      <c r="M29" s="1079"/>
      <c r="N29" s="1091">
        <v>3</v>
      </c>
      <c r="O29" s="1079"/>
      <c r="P29" s="1079"/>
      <c r="Q29" s="1092">
        <v>0</v>
      </c>
      <c r="R29" s="1091">
        <v>5</v>
      </c>
      <c r="S29" s="1079"/>
      <c r="T29" s="1091">
        <v>2</v>
      </c>
      <c r="U29" s="1086" t="s">
        <v>205</v>
      </c>
      <c r="V29" s="1090">
        <v>1</v>
      </c>
      <c r="W29" s="1086"/>
      <c r="X29" s="1092">
        <v>1</v>
      </c>
      <c r="Y29" s="1086"/>
      <c r="Z29" s="1085"/>
      <c r="AA29" s="1086"/>
      <c r="AB29" s="1086"/>
      <c r="AC29" s="1086" t="s">
        <v>205</v>
      </c>
      <c r="AD29" s="1086" t="s">
        <v>205</v>
      </c>
      <c r="AE29" s="1086"/>
      <c r="AF29" s="1084">
        <v>23</v>
      </c>
      <c r="AG29" s="1087">
        <f t="shared" si="2"/>
        <v>7.0300999999999991</v>
      </c>
      <c r="AH29" s="1088">
        <f t="shared" si="0"/>
        <v>28</v>
      </c>
      <c r="AI29" s="1089">
        <v>3</v>
      </c>
      <c r="AJ29" s="411">
        <v>1</v>
      </c>
      <c r="AK29" s="551">
        <f t="shared" si="1"/>
        <v>11</v>
      </c>
    </row>
    <row r="30" spans="2:39" x14ac:dyDescent="0.2">
      <c r="B30" s="1082" t="s">
        <v>146</v>
      </c>
      <c r="C30" s="1084">
        <v>24</v>
      </c>
      <c r="D30" s="1086"/>
      <c r="E30" s="1091">
        <v>2</v>
      </c>
      <c r="F30" s="1094">
        <v>0</v>
      </c>
      <c r="G30" s="1091">
        <v>3</v>
      </c>
      <c r="H30" s="1079"/>
      <c r="I30" s="1092">
        <v>0</v>
      </c>
      <c r="J30" s="1092">
        <v>1</v>
      </c>
      <c r="K30" s="1079"/>
      <c r="L30" s="1092">
        <v>0</v>
      </c>
      <c r="M30" s="1079"/>
      <c r="N30" s="1091">
        <v>2</v>
      </c>
      <c r="O30" s="1091">
        <v>3</v>
      </c>
      <c r="P30" s="1091">
        <v>2</v>
      </c>
      <c r="Q30" s="1092">
        <v>1</v>
      </c>
      <c r="R30" s="1091">
        <v>3</v>
      </c>
      <c r="S30" s="1091">
        <v>2</v>
      </c>
      <c r="T30" s="1092">
        <v>0</v>
      </c>
      <c r="U30" s="1091">
        <v>3</v>
      </c>
      <c r="V30" s="1091">
        <v>4</v>
      </c>
      <c r="W30" s="1092">
        <v>0</v>
      </c>
      <c r="X30" s="1091">
        <v>2</v>
      </c>
      <c r="Y30" s="1090">
        <v>1</v>
      </c>
      <c r="Z30" s="1086"/>
      <c r="AA30" s="1085"/>
      <c r="AB30" s="1091">
        <v>4</v>
      </c>
      <c r="AC30" s="1092">
        <v>1</v>
      </c>
      <c r="AD30" s="1092">
        <v>0</v>
      </c>
      <c r="AE30" s="1091">
        <v>3</v>
      </c>
      <c r="AF30" s="1084">
        <v>24</v>
      </c>
      <c r="AG30" s="1087">
        <f t="shared" si="2"/>
        <v>25.120099999999997</v>
      </c>
      <c r="AH30" s="1088">
        <f t="shared" si="0"/>
        <v>9</v>
      </c>
      <c r="AI30" s="1089">
        <v>12</v>
      </c>
      <c r="AJ30" s="411">
        <v>1</v>
      </c>
      <c r="AK30" s="551">
        <f t="shared" si="1"/>
        <v>22</v>
      </c>
    </row>
    <row r="31" spans="2:39" x14ac:dyDescent="0.2">
      <c r="B31" s="1083" t="s">
        <v>147</v>
      </c>
      <c r="C31" s="1084">
        <v>25</v>
      </c>
      <c r="D31" s="1086"/>
      <c r="E31" s="1079"/>
      <c r="F31" s="1092">
        <v>1</v>
      </c>
      <c r="G31" s="1092">
        <v>1</v>
      </c>
      <c r="H31" s="1079"/>
      <c r="I31" s="1092">
        <v>1</v>
      </c>
      <c r="J31" s="1092">
        <v>0</v>
      </c>
      <c r="K31" s="1079"/>
      <c r="L31" s="1091">
        <v>4</v>
      </c>
      <c r="M31" s="1079"/>
      <c r="N31" s="1090">
        <v>1</v>
      </c>
      <c r="O31" s="1092">
        <v>1</v>
      </c>
      <c r="P31" s="1091">
        <v>2</v>
      </c>
      <c r="Q31" s="1091">
        <v>2</v>
      </c>
      <c r="R31" s="1091">
        <v>4</v>
      </c>
      <c r="S31" s="1091">
        <v>4</v>
      </c>
      <c r="T31" s="1091">
        <v>2</v>
      </c>
      <c r="U31" s="1090">
        <v>2</v>
      </c>
      <c r="V31" s="1091">
        <v>2</v>
      </c>
      <c r="W31" s="1092">
        <v>0</v>
      </c>
      <c r="X31" s="1091">
        <v>2</v>
      </c>
      <c r="Y31" s="1091">
        <v>6</v>
      </c>
      <c r="Z31" s="1086"/>
      <c r="AA31" s="1092">
        <v>0</v>
      </c>
      <c r="AB31" s="1085"/>
      <c r="AC31" s="1092">
        <v>1</v>
      </c>
      <c r="AD31" s="1091">
        <v>3</v>
      </c>
      <c r="AE31" s="1086"/>
      <c r="AF31" s="1084">
        <v>25</v>
      </c>
      <c r="AG31" s="1087">
        <f t="shared" si="2"/>
        <v>22.100199999999997</v>
      </c>
      <c r="AH31" s="1088">
        <f t="shared" si="0"/>
        <v>15</v>
      </c>
      <c r="AI31" s="1089">
        <v>10</v>
      </c>
      <c r="AJ31" s="411">
        <v>2</v>
      </c>
      <c r="AK31" s="551">
        <f t="shared" si="1"/>
        <v>20</v>
      </c>
    </row>
    <row r="32" spans="2:39" x14ac:dyDescent="0.2">
      <c r="B32" s="1082" t="s">
        <v>568</v>
      </c>
      <c r="C32" s="1084">
        <v>26</v>
      </c>
      <c r="D32" s="1086"/>
      <c r="E32" s="1079" t="s">
        <v>205</v>
      </c>
      <c r="F32" s="1091">
        <v>3</v>
      </c>
      <c r="G32" s="1090">
        <v>2</v>
      </c>
      <c r="H32" s="1079" t="s">
        <v>205</v>
      </c>
      <c r="I32" s="1090">
        <v>2</v>
      </c>
      <c r="J32" s="1091">
        <v>2</v>
      </c>
      <c r="K32" s="1079" t="s">
        <v>205</v>
      </c>
      <c r="L32" s="1090">
        <v>1</v>
      </c>
      <c r="M32" s="1079" t="s">
        <v>205</v>
      </c>
      <c r="N32" s="1092">
        <v>0</v>
      </c>
      <c r="O32" s="1092">
        <v>0</v>
      </c>
      <c r="P32" s="1090">
        <v>1</v>
      </c>
      <c r="Q32" s="1091">
        <v>2</v>
      </c>
      <c r="R32" s="1091">
        <v>2</v>
      </c>
      <c r="S32" s="1096">
        <v>4</v>
      </c>
      <c r="T32" s="1092">
        <v>0</v>
      </c>
      <c r="U32" s="1091">
        <v>3</v>
      </c>
      <c r="V32" s="1091">
        <v>4</v>
      </c>
      <c r="W32" s="1091">
        <v>4</v>
      </c>
      <c r="X32" s="1090">
        <v>1</v>
      </c>
      <c r="Y32" s="1090">
        <v>1</v>
      </c>
      <c r="Z32" s="1086" t="s">
        <v>205</v>
      </c>
      <c r="AA32" s="1091">
        <v>2</v>
      </c>
      <c r="AB32" s="1091">
        <v>2</v>
      </c>
      <c r="AC32" s="1085"/>
      <c r="AD32" s="1092">
        <v>1</v>
      </c>
      <c r="AE32" s="1092">
        <v>0</v>
      </c>
      <c r="AF32" s="1084">
        <v>26</v>
      </c>
      <c r="AG32" s="1087">
        <f t="shared" si="2"/>
        <v>26.1006</v>
      </c>
      <c r="AH32" s="1088">
        <f t="shared" si="0"/>
        <v>8</v>
      </c>
      <c r="AI32" s="1089">
        <v>10</v>
      </c>
      <c r="AJ32" s="411">
        <v>6</v>
      </c>
      <c r="AK32" s="551">
        <f t="shared" si="1"/>
        <v>21</v>
      </c>
    </row>
    <row r="33" spans="2:39" x14ac:dyDescent="0.2">
      <c r="B33" s="1083" t="s">
        <v>369</v>
      </c>
      <c r="C33" s="1084">
        <v>27</v>
      </c>
      <c r="D33" s="1092">
        <v>0</v>
      </c>
      <c r="E33" s="1079" t="s">
        <v>205</v>
      </c>
      <c r="F33" s="1090">
        <v>1</v>
      </c>
      <c r="G33" s="1091">
        <v>3</v>
      </c>
      <c r="H33" s="1092">
        <v>0</v>
      </c>
      <c r="I33" s="1090">
        <v>1</v>
      </c>
      <c r="J33" s="1090">
        <v>1</v>
      </c>
      <c r="K33" s="1079" t="s">
        <v>205</v>
      </c>
      <c r="L33" s="1092">
        <v>0</v>
      </c>
      <c r="M33" s="1079" t="s">
        <v>205</v>
      </c>
      <c r="N33" s="1092">
        <v>0</v>
      </c>
      <c r="O33" s="1091">
        <v>3</v>
      </c>
      <c r="P33" s="1091">
        <v>3</v>
      </c>
      <c r="Q33" s="1091">
        <v>2</v>
      </c>
      <c r="R33" s="1092">
        <v>1</v>
      </c>
      <c r="S33" s="1092">
        <v>0</v>
      </c>
      <c r="T33" s="1090">
        <v>3</v>
      </c>
      <c r="U33" s="1091">
        <v>2</v>
      </c>
      <c r="V33" s="1091">
        <v>3</v>
      </c>
      <c r="W33" s="1092">
        <v>0</v>
      </c>
      <c r="X33" s="1090">
        <v>1</v>
      </c>
      <c r="Y33" s="1091">
        <v>5</v>
      </c>
      <c r="Z33" s="1086" t="s">
        <v>205</v>
      </c>
      <c r="AA33" s="1091">
        <v>2</v>
      </c>
      <c r="AB33" s="1092">
        <v>2</v>
      </c>
      <c r="AC33" s="1091">
        <v>2</v>
      </c>
      <c r="AD33" s="1085"/>
      <c r="AE33" s="1092">
        <v>1</v>
      </c>
      <c r="AF33" s="1084">
        <v>27</v>
      </c>
      <c r="AG33" s="1087">
        <f t="shared" si="2"/>
        <v>23.090499999999995</v>
      </c>
      <c r="AH33" s="1088">
        <f t="shared" si="0"/>
        <v>13</v>
      </c>
      <c r="AI33" s="1089">
        <v>9</v>
      </c>
      <c r="AJ33" s="411">
        <v>5</v>
      </c>
      <c r="AK33" s="551">
        <f t="shared" si="1"/>
        <v>23</v>
      </c>
      <c r="AL33" s="1095">
        <v>24</v>
      </c>
      <c r="AM33" s="1" t="s">
        <v>579</v>
      </c>
    </row>
    <row r="34" spans="2:39" x14ac:dyDescent="0.2">
      <c r="B34" s="1083" t="s">
        <v>136</v>
      </c>
      <c r="C34" s="1084">
        <v>28</v>
      </c>
      <c r="D34" s="1092">
        <v>0</v>
      </c>
      <c r="E34" s="1091">
        <v>4</v>
      </c>
      <c r="F34" s="1079"/>
      <c r="G34" s="1092">
        <v>0</v>
      </c>
      <c r="H34" s="1079"/>
      <c r="I34" s="1092">
        <v>0</v>
      </c>
      <c r="J34" s="1092">
        <v>1</v>
      </c>
      <c r="K34" s="1079"/>
      <c r="L34" s="1091">
        <v>3</v>
      </c>
      <c r="M34" s="1079"/>
      <c r="N34" s="1092">
        <v>0</v>
      </c>
      <c r="O34" s="1092">
        <v>0</v>
      </c>
      <c r="P34" s="1092">
        <v>0</v>
      </c>
      <c r="Q34" s="1091">
        <v>4</v>
      </c>
      <c r="R34" s="1091">
        <v>2</v>
      </c>
      <c r="S34" s="1092">
        <v>0</v>
      </c>
      <c r="T34" s="1091">
        <v>3</v>
      </c>
      <c r="U34" s="1092">
        <v>0</v>
      </c>
      <c r="V34" s="1092">
        <v>0</v>
      </c>
      <c r="W34" s="1086"/>
      <c r="X34" s="1086"/>
      <c r="Y34" s="1090">
        <v>1</v>
      </c>
      <c r="Z34" s="1086"/>
      <c r="AA34" s="1092">
        <v>0</v>
      </c>
      <c r="AB34" s="1086"/>
      <c r="AC34" s="1091">
        <v>6</v>
      </c>
      <c r="AD34" s="1091">
        <v>2</v>
      </c>
      <c r="AE34" s="1085"/>
      <c r="AF34" s="1084">
        <v>28</v>
      </c>
      <c r="AG34" s="1087">
        <f t="shared" si="2"/>
        <v>15.070099999999998</v>
      </c>
      <c r="AH34" s="1088">
        <f t="shared" si="0"/>
        <v>23</v>
      </c>
      <c r="AI34" s="1089">
        <v>7</v>
      </c>
      <c r="AJ34" s="411">
        <v>1</v>
      </c>
      <c r="AK34" s="551">
        <f t="shared" si="1"/>
        <v>19</v>
      </c>
    </row>
    <row r="35" spans="2:39" x14ac:dyDescent="0.2">
      <c r="B35" s="1080" t="s">
        <v>79</v>
      </c>
      <c r="C35" s="1080" t="s">
        <v>566</v>
      </c>
      <c r="D35" s="1080">
        <v>1</v>
      </c>
      <c r="E35" s="1080">
        <v>2</v>
      </c>
      <c r="F35" s="1080">
        <v>3</v>
      </c>
      <c r="G35" s="1080">
        <v>4</v>
      </c>
      <c r="H35" s="1080">
        <v>5</v>
      </c>
      <c r="I35" s="1080">
        <v>6</v>
      </c>
      <c r="J35" s="1080">
        <v>7</v>
      </c>
      <c r="K35" s="1080">
        <v>8</v>
      </c>
      <c r="L35" s="1080">
        <v>9</v>
      </c>
      <c r="M35" s="1080">
        <v>10</v>
      </c>
      <c r="N35" s="1080">
        <v>11</v>
      </c>
      <c r="O35" s="1080">
        <v>12</v>
      </c>
      <c r="P35" s="1080">
        <v>13</v>
      </c>
      <c r="Q35" s="1080">
        <v>14</v>
      </c>
      <c r="R35" s="1080">
        <v>15</v>
      </c>
      <c r="S35" s="1080">
        <v>16</v>
      </c>
      <c r="T35" s="1080">
        <v>17</v>
      </c>
      <c r="U35" s="1080">
        <v>18</v>
      </c>
      <c r="V35" s="1080">
        <v>19</v>
      </c>
      <c r="W35" s="1080">
        <v>20</v>
      </c>
      <c r="X35" s="1080">
        <v>21</v>
      </c>
      <c r="Y35" s="1080">
        <v>22</v>
      </c>
      <c r="Z35" s="1080">
        <v>23</v>
      </c>
      <c r="AA35" s="1080">
        <v>24</v>
      </c>
      <c r="AB35" s="1080">
        <v>25</v>
      </c>
      <c r="AC35" s="1080">
        <v>26</v>
      </c>
      <c r="AD35" s="1080">
        <v>27</v>
      </c>
      <c r="AE35" s="1080">
        <v>28</v>
      </c>
      <c r="AF35" s="1080" t="s">
        <v>566</v>
      </c>
      <c r="AG35" s="1080" t="s">
        <v>370</v>
      </c>
      <c r="AH35" s="1080" t="s">
        <v>169</v>
      </c>
      <c r="AI35" s="1081" t="s">
        <v>102</v>
      </c>
      <c r="AJ35" s="1081" t="s">
        <v>567</v>
      </c>
      <c r="AK35" s="1081" t="s">
        <v>569</v>
      </c>
    </row>
    <row r="36" spans="2:39" hidden="1" x14ac:dyDescent="0.2"/>
    <row r="37" spans="2:39" hidden="1" x14ac:dyDescent="0.2"/>
    <row r="38" spans="2:39" hidden="1" x14ac:dyDescent="0.2"/>
    <row r="39" spans="2:39" hidden="1" x14ac:dyDescent="0.2"/>
    <row r="40" spans="2:39" hidden="1" x14ac:dyDescent="0.2"/>
    <row r="41" spans="2:39" hidden="1" x14ac:dyDescent="0.2"/>
    <row r="42" spans="2:39" hidden="1" x14ac:dyDescent="0.2"/>
    <row r="43" spans="2:39" hidden="1" x14ac:dyDescent="0.2"/>
    <row r="44" spans="2:39" hidden="1" x14ac:dyDescent="0.2"/>
    <row r="45" spans="2:39" hidden="1" x14ac:dyDescent="0.2"/>
    <row r="46" spans="2:39" hidden="1" x14ac:dyDescent="0.2"/>
    <row r="47" spans="2:39" hidden="1" x14ac:dyDescent="0.2"/>
    <row r="48" spans="2:39"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2" hidden="1" x14ac:dyDescent="0.2"/>
    <row r="290" spans="1:2" hidden="1" x14ac:dyDescent="0.2"/>
    <row r="291" spans="1:2" hidden="1" x14ac:dyDescent="0.2"/>
    <row r="292" spans="1:2" hidden="1" x14ac:dyDescent="0.2"/>
    <row r="293" spans="1:2" hidden="1" x14ac:dyDescent="0.2"/>
    <row r="294" spans="1:2" hidden="1" x14ac:dyDescent="0.2"/>
    <row r="295" spans="1:2" hidden="1" x14ac:dyDescent="0.2"/>
    <row r="296" spans="1:2" hidden="1" x14ac:dyDescent="0.2"/>
    <row r="297" spans="1:2" hidden="1" x14ac:dyDescent="0.2"/>
    <row r="300" spans="1:2" x14ac:dyDescent="0.2">
      <c r="A300" s="530">
        <v>1</v>
      </c>
      <c r="B300" s="625" t="str">
        <f t="shared" ref="B300:B327" si="3">IFERROR(INDEX(B$1:B$100,MATCH(A300,AH$1:AH$100,0)),"")</f>
        <v>Kenneth Muusikus</v>
      </c>
    </row>
    <row r="301" spans="1:2" x14ac:dyDescent="0.2">
      <c r="A301" s="530">
        <v>2</v>
      </c>
      <c r="B301" s="625" t="str">
        <f t="shared" si="3"/>
        <v>Kevin Sten Liik</v>
      </c>
    </row>
    <row r="302" spans="1:2" x14ac:dyDescent="0.2">
      <c r="A302" s="530">
        <v>3</v>
      </c>
      <c r="B302" s="625" t="str">
        <f t="shared" si="3"/>
        <v>Tarmo Bombe</v>
      </c>
    </row>
    <row r="303" spans="1:2" x14ac:dyDescent="0.2">
      <c r="A303" s="530">
        <v>4</v>
      </c>
      <c r="B303" s="625" t="str">
        <f t="shared" si="3"/>
        <v>Oleg Rõndenkov</v>
      </c>
    </row>
    <row r="304" spans="1:2" x14ac:dyDescent="0.2">
      <c r="A304" s="530">
        <v>5</v>
      </c>
      <c r="B304" s="625" t="str">
        <f t="shared" si="3"/>
        <v>Janek Kiisk</v>
      </c>
    </row>
    <row r="305" spans="1:2" x14ac:dyDescent="0.2">
      <c r="A305" s="530">
        <v>5</v>
      </c>
      <c r="B305" s="510" t="s">
        <v>148</v>
      </c>
    </row>
    <row r="306" spans="1:2" x14ac:dyDescent="0.2">
      <c r="A306" s="530">
        <v>7</v>
      </c>
      <c r="B306" s="625" t="str">
        <f t="shared" si="3"/>
        <v>Silver Kingissepp</v>
      </c>
    </row>
    <row r="307" spans="1:2" x14ac:dyDescent="0.2">
      <c r="A307" s="530">
        <v>8</v>
      </c>
      <c r="B307" s="625" t="str">
        <f t="shared" si="3"/>
        <v>Marek Kolk</v>
      </c>
    </row>
    <row r="308" spans="1:2" x14ac:dyDescent="0.2">
      <c r="A308" s="530">
        <v>9</v>
      </c>
      <c r="B308" s="625" t="str">
        <f t="shared" si="3"/>
        <v>Ruudi Väärtnõu</v>
      </c>
    </row>
    <row r="309" spans="1:2" x14ac:dyDescent="0.2">
      <c r="A309" s="530">
        <v>9</v>
      </c>
      <c r="B309" s="510" t="s">
        <v>146</v>
      </c>
    </row>
    <row r="310" spans="1:2" x14ac:dyDescent="0.2">
      <c r="A310" s="530">
        <v>11</v>
      </c>
      <c r="B310" s="625" t="str">
        <f t="shared" si="3"/>
        <v>Aleksei Tkachenko</v>
      </c>
    </row>
    <row r="311" spans="1:2" x14ac:dyDescent="0.2">
      <c r="A311" s="530">
        <v>12</v>
      </c>
      <c r="B311" s="625" t="str">
        <f t="shared" si="3"/>
        <v>Enn Tokman</v>
      </c>
    </row>
    <row r="312" spans="1:2" x14ac:dyDescent="0.2">
      <c r="A312" s="530">
        <v>13</v>
      </c>
      <c r="B312" s="625" t="str">
        <f t="shared" si="3"/>
        <v>Alari Keedus</v>
      </c>
    </row>
    <row r="313" spans="1:2" x14ac:dyDescent="0.2">
      <c r="A313" s="530">
        <v>14</v>
      </c>
      <c r="B313" s="625" t="str">
        <f t="shared" si="3"/>
        <v>Urmas Randlaine</v>
      </c>
    </row>
    <row r="314" spans="1:2" x14ac:dyDescent="0.2">
      <c r="A314" s="530">
        <v>15</v>
      </c>
      <c r="B314" s="625" t="str">
        <f t="shared" si="3"/>
        <v>Viktor Švarõgin</v>
      </c>
    </row>
    <row r="315" spans="1:2" x14ac:dyDescent="0.2">
      <c r="A315" s="530">
        <v>16</v>
      </c>
      <c r="B315" s="625" t="str">
        <f t="shared" si="3"/>
        <v>Andres Veski</v>
      </c>
    </row>
    <row r="316" spans="1:2" x14ac:dyDescent="0.2">
      <c r="A316" s="530">
        <v>17</v>
      </c>
      <c r="B316" s="625" t="str">
        <f t="shared" si="3"/>
        <v>Anna Tkachenko</v>
      </c>
    </row>
    <row r="317" spans="1:2" x14ac:dyDescent="0.2">
      <c r="A317" s="530">
        <v>18</v>
      </c>
      <c r="B317" s="625" t="str">
        <f t="shared" si="3"/>
        <v>Viktor Anuhin</v>
      </c>
    </row>
    <row r="318" spans="1:2" x14ac:dyDescent="0.2">
      <c r="A318" s="530">
        <v>19</v>
      </c>
      <c r="B318" s="625" t="str">
        <f t="shared" si="3"/>
        <v>Marko Ode</v>
      </c>
    </row>
    <row r="319" spans="1:2" x14ac:dyDescent="0.2">
      <c r="A319" s="530">
        <v>20</v>
      </c>
      <c r="B319" s="625" t="str">
        <f t="shared" si="3"/>
        <v>Peep Peenema</v>
      </c>
    </row>
    <row r="320" spans="1:2" ht="25.5" x14ac:dyDescent="0.2">
      <c r="A320" s="530">
        <v>21</v>
      </c>
      <c r="B320" s="625" t="str">
        <f t="shared" si="3"/>
        <v>Tatyana Chekmareva</v>
      </c>
    </row>
    <row r="321" spans="1:2" x14ac:dyDescent="0.2">
      <c r="A321" s="530">
        <v>22</v>
      </c>
      <c r="B321" s="625" t="str">
        <f t="shared" si="3"/>
        <v>Henri Mitt</v>
      </c>
    </row>
    <row r="322" spans="1:2" x14ac:dyDescent="0.2">
      <c r="A322" s="530">
        <v>23</v>
      </c>
      <c r="B322" s="625" t="str">
        <f t="shared" si="3"/>
        <v>Jaan Saar</v>
      </c>
    </row>
    <row r="323" spans="1:2" x14ac:dyDescent="0.2">
      <c r="A323" s="530">
        <v>24</v>
      </c>
      <c r="B323" s="625" t="str">
        <f t="shared" si="3"/>
        <v>Marko Tarassov</v>
      </c>
    </row>
    <row r="324" spans="1:2" x14ac:dyDescent="0.2">
      <c r="A324" s="530">
        <v>25</v>
      </c>
      <c r="B324" s="625" t="str">
        <f t="shared" si="3"/>
        <v>Oksana Rõndenkova</v>
      </c>
    </row>
    <row r="325" spans="1:2" x14ac:dyDescent="0.2">
      <c r="A325" s="530">
        <v>26</v>
      </c>
      <c r="B325" s="625" t="str">
        <f t="shared" si="3"/>
        <v>Illar Tõnurist</v>
      </c>
    </row>
    <row r="326" spans="1:2" x14ac:dyDescent="0.2">
      <c r="A326" s="530">
        <v>27</v>
      </c>
      <c r="B326" s="625" t="str">
        <f t="shared" si="3"/>
        <v>Martha Aavisto</v>
      </c>
    </row>
    <row r="327" spans="1:2" x14ac:dyDescent="0.2">
      <c r="A327" s="530">
        <v>28</v>
      </c>
      <c r="B327" s="625" t="str">
        <f t="shared" si="3"/>
        <v>Rainer Schmidt</v>
      </c>
    </row>
  </sheetData>
  <conditionalFormatting sqref="AH7:AH34">
    <cfRule type="duplicateValues" dxfId="1600" priority="4"/>
    <cfRule type="cellIs" dxfId="1599" priority="17" stopIfTrue="1" operator="equal">
      <formula>3</formula>
    </cfRule>
    <cfRule type="cellIs" dxfId="1598" priority="18" stopIfTrue="1" operator="equal">
      <formula>2</formula>
    </cfRule>
    <cfRule type="cellIs" dxfId="1597" priority="19" stopIfTrue="1" operator="equal">
      <formula>1</formula>
    </cfRule>
  </conditionalFormatting>
  <conditionalFormatting sqref="AK7:AK34">
    <cfRule type="top10" dxfId="1596" priority="11" rank="1"/>
  </conditionalFormatting>
  <conditionalFormatting sqref="B300:B327">
    <cfRule type="expression" dxfId="1595" priority="6">
      <formula>A300=3</formula>
    </cfRule>
    <cfRule type="expression" dxfId="1594" priority="7">
      <formula>A300=2</formula>
    </cfRule>
    <cfRule type="expression" dxfId="1593" priority="8">
      <formula>A300=1</formula>
    </cfRule>
    <cfRule type="containsBlanks" dxfId="1592" priority="9">
      <formula>LEN(TRIM(B300))=0</formula>
    </cfRule>
    <cfRule type="duplicateValues" dxfId="1591" priority="10"/>
  </conditionalFormatting>
  <conditionalFormatting sqref="A300:A327">
    <cfRule type="duplicateValues" dxfId="1590" priority="5"/>
  </conditionalFormatting>
  <conditionalFormatting sqref="AI7:AI34">
    <cfRule type="top10" dxfId="1589" priority="3" rank="1"/>
  </conditionalFormatting>
  <conditionalFormatting sqref="AJ7:AJ34">
    <cfRule type="top10" dxfId="1588" priority="2" rank="1"/>
  </conditionalFormatting>
  <conditionalFormatting sqref="AG7:AG34">
    <cfRule type="duplicateValues" dxfId="1587" priority="1"/>
  </conditionalFormatting>
  <pageMargins left="0.78740157480314965" right="0.39370078740157483" top="0.78740157480314965" bottom="0.39370078740157483" header="0.78740157480314965" footer="0"/>
  <pageSetup paperSize="9" fitToHeight="0" orientation="landscape" verticalDpi="1200" r:id="rId1"/>
  <headerFooter>
    <oddHeader>&amp;R&amp;P. leht &amp;N&amp; -st</oddHeader>
  </headerFooter>
  <rowBreaks count="1" manualBreakCount="1">
    <brk id="297" max="36"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AP317"/>
  <sheetViews>
    <sheetView showGridLines="0" showRowColHeaders="0" workbookViewId="0">
      <pane ySplit="1" topLeftCell="A2" activePane="bottomLeft" state="frozen"/>
      <selection pane="bottomLeft" activeCell="A5" sqref="A5"/>
    </sheetView>
  </sheetViews>
  <sheetFormatPr defaultRowHeight="12.75" x14ac:dyDescent="0.2"/>
  <cols>
    <col min="1" max="1" width="3.28515625" style="1" customWidth="1"/>
    <col min="2" max="2" width="34.5703125" style="1" customWidth="1"/>
    <col min="3" max="9" width="5.7109375" style="1" customWidth="1"/>
    <col min="10" max="15" width="5.5703125" style="1" customWidth="1"/>
    <col min="16" max="18" width="9.140625" style="1" hidden="1" customWidth="1"/>
    <col min="19" max="19" width="11.5703125" style="1" hidden="1" customWidth="1"/>
    <col min="20" max="20" width="9.140625" style="1" hidden="1" customWidth="1"/>
    <col min="21" max="21" width="9.140625" style="1"/>
    <col min="22" max="27" width="0" style="1" hidden="1" customWidth="1"/>
    <col min="28" max="28" width="9.140625" style="1" hidden="1" customWidth="1"/>
    <col min="29" max="29" width="9.140625" style="1" customWidth="1"/>
    <col min="30" max="31" width="9.140625" style="1" hidden="1" customWidth="1"/>
    <col min="32" max="32" width="18.140625" style="1" hidden="1" customWidth="1"/>
    <col min="33" max="33" width="9.140625" style="1" hidden="1" customWidth="1"/>
    <col min="34" max="34" width="29.28515625" style="1" hidden="1" customWidth="1"/>
    <col min="35" max="35" width="9.140625" style="1" hidden="1" customWidth="1"/>
    <col min="36" max="36" width="17.28515625" style="1" hidden="1" customWidth="1"/>
    <col min="37" max="37" width="9.140625" style="1" hidden="1" customWidth="1"/>
    <col min="38" max="38" width="13.85546875" style="1" hidden="1" customWidth="1"/>
    <col min="39" max="39" width="9.140625" style="1" hidden="1" customWidth="1"/>
    <col min="40" max="40" width="17.28515625" style="1" hidden="1" customWidth="1"/>
    <col min="41" max="41" width="0" style="1" hidden="1" customWidth="1"/>
    <col min="42" max="42" width="13.85546875" style="1" hidden="1" customWidth="1"/>
    <col min="43" max="43" width="1.7109375" style="1" customWidth="1"/>
    <col min="44" max="44" width="9.140625" style="1" customWidth="1"/>
    <col min="45" max="50" width="1.7109375" style="1" customWidth="1"/>
    <col min="51" max="16384" width="9.140625" style="1"/>
  </cols>
  <sheetData>
    <row r="1" spans="1:42" x14ac:dyDescent="0.2">
      <c r="A1" s="400" t="str">
        <f>UPPER((Kalend!E29)&amp;" - "&amp;(Kalend!C29))&amp;" - "&amp;LOWER(Kalend!D29)&amp;" - "&amp;(Kalend!A29)&amp;" kell "&amp;(Kalend!B29)&amp;" - "&amp;(Kalend!F29)</f>
        <v>EW102 - EESTI WABARIIK 102 - trio - L, 22.02.2020 kell 10:00 - Voka petangihall</v>
      </c>
      <c r="C1" s="477"/>
      <c r="D1" s="477"/>
      <c r="E1" s="477"/>
      <c r="F1" s="477"/>
      <c r="G1" s="477"/>
      <c r="H1" s="477"/>
      <c r="I1" s="477"/>
      <c r="J1" s="477"/>
      <c r="K1" s="477"/>
      <c r="L1" s="477"/>
      <c r="M1" s="477"/>
      <c r="N1" s="477"/>
      <c r="P1" s="447" t="s">
        <v>94</v>
      </c>
      <c r="Q1" s="448"/>
      <c r="R1" s="448"/>
      <c r="S1" s="448"/>
      <c r="T1" s="448"/>
      <c r="U1" s="70"/>
      <c r="V1" s="291"/>
      <c r="W1" s="271"/>
      <c r="X1" s="271"/>
      <c r="Y1" s="271"/>
      <c r="AD1" s="152" t="s">
        <v>94</v>
      </c>
      <c r="AE1" s="402"/>
      <c r="AF1" s="402"/>
      <c r="AG1" s="402"/>
      <c r="AH1" s="402"/>
      <c r="AI1" s="402"/>
      <c r="AJ1" s="402"/>
      <c r="AK1" s="402"/>
      <c r="AL1" s="402"/>
      <c r="AM1" s="402"/>
      <c r="AN1" s="402"/>
      <c r="AO1" s="532"/>
      <c r="AP1" s="532"/>
    </row>
    <row r="2" spans="1:42" hidden="1" x14ac:dyDescent="0.2">
      <c r="A2" s="477"/>
      <c r="C2" s="477"/>
      <c r="D2" s="477"/>
      <c r="E2" s="477"/>
      <c r="F2" s="477"/>
      <c r="G2" s="477"/>
      <c r="H2" s="477"/>
      <c r="I2" s="477"/>
      <c r="J2" s="477"/>
      <c r="K2" s="477"/>
      <c r="L2" s="477"/>
      <c r="M2" s="477"/>
      <c r="N2" s="477"/>
      <c r="O2" s="477"/>
      <c r="P2" s="271"/>
      <c r="Q2" s="271"/>
      <c r="R2" s="271"/>
      <c r="S2" s="271"/>
      <c r="T2" s="409"/>
      <c r="U2" s="409"/>
      <c r="V2" s="271"/>
      <c r="W2" s="271"/>
      <c r="X2" s="271"/>
      <c r="AD2" s="271"/>
      <c r="AE2" s="271"/>
      <c r="AF2" s="271"/>
      <c r="AG2" s="271"/>
      <c r="AH2" s="271"/>
      <c r="AI2" s="271"/>
      <c r="AJ2" s="412"/>
      <c r="AK2" s="271"/>
      <c r="AL2" s="271"/>
      <c r="AM2" s="271"/>
      <c r="AN2" s="271"/>
    </row>
    <row r="3" spans="1:42" hidden="1" x14ac:dyDescent="0.2">
      <c r="A3" s="477"/>
      <c r="C3" s="477"/>
      <c r="D3" s="477"/>
      <c r="E3" s="477"/>
      <c r="F3" s="477"/>
      <c r="G3" s="477"/>
      <c r="H3" s="477"/>
      <c r="I3" s="477"/>
      <c r="J3" s="477"/>
      <c r="K3" s="477"/>
      <c r="L3" s="477"/>
      <c r="M3" s="477"/>
      <c r="N3" s="477"/>
      <c r="O3" s="477"/>
      <c r="P3" s="271"/>
      <c r="Q3" s="271"/>
      <c r="R3" s="271"/>
      <c r="S3" s="271"/>
      <c r="T3" s="409"/>
      <c r="U3" s="409"/>
      <c r="V3" s="271"/>
      <c r="W3" s="271"/>
      <c r="X3" s="271"/>
      <c r="Y3" s="271"/>
      <c r="AE3" s="271"/>
      <c r="AG3" s="271"/>
      <c r="AH3" s="271"/>
      <c r="AI3" s="271"/>
      <c r="AJ3" s="271"/>
      <c r="AK3" s="271"/>
      <c r="AL3" s="271"/>
      <c r="AM3" s="271"/>
      <c r="AN3" s="271"/>
    </row>
    <row r="4" spans="1:42" hidden="1" x14ac:dyDescent="0.2">
      <c r="A4" s="477"/>
      <c r="C4" s="477"/>
      <c r="D4" s="477"/>
      <c r="E4" s="477"/>
      <c r="F4" s="477"/>
      <c r="G4" s="477"/>
      <c r="H4" s="477"/>
      <c r="I4" s="477"/>
      <c r="J4" s="477"/>
      <c r="K4" s="477"/>
      <c r="L4" s="477"/>
      <c r="M4" s="477"/>
      <c r="N4" s="477"/>
      <c r="O4" s="477"/>
      <c r="P4" s="271"/>
      <c r="Q4" s="271"/>
      <c r="R4" s="271"/>
      <c r="S4" s="271"/>
      <c r="T4" s="271"/>
      <c r="U4" s="271"/>
      <c r="V4" s="271"/>
      <c r="W4" s="271"/>
      <c r="X4" s="271"/>
      <c r="Y4" s="271"/>
      <c r="AE4" s="409"/>
      <c r="AF4" s="409"/>
      <c r="AG4" s="409"/>
      <c r="AH4" s="376"/>
      <c r="AI4" s="409"/>
      <c r="AJ4" s="409"/>
      <c r="AK4" s="409"/>
      <c r="AL4" s="409"/>
      <c r="AM4" s="409"/>
      <c r="AN4" s="409"/>
      <c r="AO4" s="409"/>
      <c r="AP4" s="409"/>
    </row>
    <row r="5" spans="1:42" x14ac:dyDescent="0.2">
      <c r="C5" s="477"/>
      <c r="D5" s="477"/>
      <c r="E5" s="477"/>
      <c r="F5" s="477"/>
      <c r="G5" s="477"/>
      <c r="H5" s="477"/>
      <c r="I5" s="477"/>
      <c r="J5" s="477"/>
      <c r="K5" s="477"/>
      <c r="L5" s="477"/>
      <c r="M5" s="477"/>
      <c r="N5" s="967" t="s">
        <v>476</v>
      </c>
      <c r="O5" s="477"/>
      <c r="P5" s="271"/>
      <c r="Q5" s="271"/>
      <c r="R5" s="271"/>
      <c r="S5" s="271"/>
      <c r="T5" s="271"/>
      <c r="U5" s="271"/>
      <c r="V5" s="271"/>
      <c r="W5" s="271"/>
      <c r="X5" s="271"/>
      <c r="Y5" s="271"/>
      <c r="AA5" s="271"/>
      <c r="AD5" s="964" t="s">
        <v>214</v>
      </c>
    </row>
    <row r="6" spans="1:42" ht="25.5" customHeight="1" x14ac:dyDescent="0.2">
      <c r="A6" s="316" t="s">
        <v>0</v>
      </c>
      <c r="B6" s="466"/>
      <c r="C6" s="467">
        <v>1</v>
      </c>
      <c r="D6" s="467">
        <v>2</v>
      </c>
      <c r="E6" s="467">
        <v>3</v>
      </c>
      <c r="F6" s="467"/>
      <c r="G6" s="467"/>
      <c r="H6" s="467" t="s">
        <v>168</v>
      </c>
      <c r="I6" s="468" t="s">
        <v>169</v>
      </c>
      <c r="J6" s="469" t="s">
        <v>257</v>
      </c>
      <c r="K6" s="470" t="s">
        <v>258</v>
      </c>
      <c r="L6" s="471" t="s">
        <v>259</v>
      </c>
      <c r="M6" s="471" t="s">
        <v>260</v>
      </c>
      <c r="N6" s="472" t="s">
        <v>170</v>
      </c>
      <c r="O6" s="472" t="s">
        <v>170</v>
      </c>
      <c r="P6" s="473" t="s">
        <v>261</v>
      </c>
      <c r="Q6" s="474" t="s">
        <v>21</v>
      </c>
      <c r="R6" s="474" t="b">
        <f>OR(AND(COUNTA(B7:B11)=3,COUNTA(C7:G11)=6),AND(COUNTA(B7:B11)=4,COUNTA(C7:G11)=12),AND(COUNTA(B7:B11)=5,COUNTA(C7:G11)=20))</f>
        <v>1</v>
      </c>
      <c r="S6" s="475" t="s">
        <v>262</v>
      </c>
      <c r="T6" s="476" t="s">
        <v>263</v>
      </c>
      <c r="U6" s="477"/>
      <c r="V6" s="477"/>
      <c r="W6" s="477"/>
      <c r="X6" s="477"/>
      <c r="Y6" s="477"/>
      <c r="Z6" s="477"/>
      <c r="AA6" s="478"/>
      <c r="AD6" s="272" t="s">
        <v>370</v>
      </c>
      <c r="AE6" s="273"/>
      <c r="AF6" s="273" t="s">
        <v>249</v>
      </c>
      <c r="AG6" s="273"/>
      <c r="AH6" s="403" t="s">
        <v>250</v>
      </c>
      <c r="AI6" s="273"/>
      <c r="AJ6" s="273" t="s">
        <v>251</v>
      </c>
      <c r="AK6" s="274"/>
      <c r="AL6" s="273" t="s">
        <v>252</v>
      </c>
      <c r="AM6" s="274"/>
      <c r="AN6" s="274" t="s">
        <v>472</v>
      </c>
      <c r="AO6" s="945"/>
      <c r="AP6" s="274" t="s">
        <v>473</v>
      </c>
    </row>
    <row r="7" spans="1:42" ht="25.5" x14ac:dyDescent="0.2">
      <c r="A7" s="316">
        <v>1</v>
      </c>
      <c r="B7" s="479" t="s">
        <v>551</v>
      </c>
      <c r="C7" s="319"/>
      <c r="D7" s="318">
        <v>13</v>
      </c>
      <c r="E7" s="318">
        <v>8</v>
      </c>
      <c r="F7" s="318"/>
      <c r="G7" s="318"/>
      <c r="H7" s="317" t="str">
        <f>(IF(D7-C8&gt;0,1)+IF(E7-C9&gt;0,1)+IF(F7-C10&gt;0,1)+IF(G7-C11&gt;0,1))&amp;"-"&amp;(IF(D7-C8&lt;0,1)+IF(E7-C9&lt;0,1)+IF(F7-C10&lt;0,1)+IF(G7-C11&lt;0,1))</f>
        <v>1-1</v>
      </c>
      <c r="I7" s="318" t="str">
        <f>IF(AND(B7&lt;&gt;"",R$6=TRUE),A$6&amp;RANK(S7,S$7:S$11,0)," ")</f>
        <v>A2</v>
      </c>
      <c r="J7" s="480">
        <f>IF(AND(Q7=1,Q8=1,D7&gt;C8),1)+IF(AND(Q7=1,Q9=1,E7&gt;C9),1)+IF(AND(Q7=1,Q10=1,F7&gt;C10),1)+IF(AND(Q7=1,Q11=1,G7&gt;C11),1)+IF(AND(Q7=2,Q8=2,D7&gt;C8),1)+IF(AND(Q7=2,Q9=2,E7&gt;C9),1)+IF(AND(Q7=2,Q10=2,F7&gt;C10),1)+IF(AND(Q7=2,Q11=2,G7&gt;C11),1)+IF(AND(Q7=3,Q8=3,D7&gt;C8),1)+IF(AND(Q7=3,Q9=3,E7&gt;C9),1)+IF(AND(Q7=3,Q10=3,F7&gt;C10),1)+IF(AND(Q7=3,Q11=3,G7&gt;C11),1)</f>
        <v>0</v>
      </c>
      <c r="K7" s="481">
        <f>SUM(AND(T7=T8,D7&gt;C8),AND(T7=T9,E7&gt;C9),AND(T7=T10,F7&gt;C10),AND(T7=T11,G7&gt;C11))</f>
        <v>0</v>
      </c>
      <c r="L7" s="482">
        <f>IF(AND(Q7=1,Q8=1),D7-C8)+IF(AND(Q7=1,Q9=1),E7-C9)+IF(AND(Q7=1,Q10=1),F7-C10)+IF(AND(Q7=1,Q11=1),G7-C11)+IF(AND(Q7=2,Q8=2),D7-C8)+IF(AND(Q7=2,Q9=2),E7-C9)+IF(AND(Q7=2,Q10=2),F7-C10)+IF(AND(Q7=2,Q11=2),G7-C11)+IF(AND(Q7=3,Q8=3),D7-C8)+IF(AND(Q7=3,Q9=3),E7-C9)+IF(AND(Q7=3,Q10=3),F7-C10)+IF(AND(Q7=3,Q11=3),G7-C11)+IF(AND(Q7=4,Q8=4),D7-C8)+IF(AND(Q7=4,Q9=4),E7-C9)+IF(AND(Q7=4,Q10=4),F7-C10)+IF(AND(Q7=4,Q11=4),G7-C11)</f>
        <v>0</v>
      </c>
      <c r="M7" s="483">
        <f>SUM(AND(R7=R8,D7&gt;C8),AND(R7=R9,E7&gt;C9),AND(R7=R10,F7&gt;C10),AND(R7=R11,G7&gt;C11))</f>
        <v>0</v>
      </c>
      <c r="N7" s="537" t="str">
        <f>SUM(C7:G7)&amp;"-"&amp;SUM(C7:C11)</f>
        <v>21-21</v>
      </c>
      <c r="O7" s="538">
        <f>D7+E7+F7+G7-C8-C9-C10-C11</f>
        <v>0</v>
      </c>
      <c r="P7" s="485">
        <f>SUM(C7:G7,C7:C11)/SUM(C7:C11)</f>
        <v>2</v>
      </c>
      <c r="Q7" s="320">
        <f>VALUE(LEFT(H7,1))</f>
        <v>1</v>
      </c>
      <c r="R7" s="321">
        <f>Q7*100000+J7*10000+K7*1000+100*L7</f>
        <v>100000</v>
      </c>
      <c r="S7" s="486">
        <f>R7+M7*0.1+IF(ISNONTEXT(B7),0,0.01)+0.0001*O7</f>
        <v>100000.01</v>
      </c>
      <c r="T7" s="487" t="str">
        <f>Q7&amp;J7</f>
        <v>10</v>
      </c>
      <c r="U7" s="477"/>
      <c r="V7" s="477"/>
      <c r="W7" s="477"/>
      <c r="X7" s="477"/>
      <c r="Y7" s="477"/>
      <c r="Z7" s="477"/>
      <c r="AA7" s="477"/>
      <c r="AD7" s="405">
        <f t="shared" ref="AD7:AD44" si="0">SUM(AE7:AP7)</f>
        <v>0</v>
      </c>
      <c r="AE7" s="406" t="str">
        <f>IFERROR(INDEX(V!$R:$R,MATCH(AF7,V!$L:$L,0)),"")</f>
        <v/>
      </c>
      <c r="AF7" s="407" t="str">
        <f>IFERROR(LEFT($B7,(FIND(",",$B7,1)-1)),"")</f>
        <v>Peterburg 2 - Mikhail Severov</v>
      </c>
      <c r="AG7" s="406" t="str">
        <f>IFERROR(INDEX(V!$R:$R,MATCH(AH7,V!$L:$L,0)),"")</f>
        <v/>
      </c>
      <c r="AH7" s="407" t="str">
        <f>IFERROR(MID($B7,FIND(", ",$B7)+2,256),"")</f>
        <v>Tatiana Kazanceva, Viktor Anuhin</v>
      </c>
      <c r="AI7" s="406" t="str">
        <f>IFERROR(INDEX(V!$R:$R,MATCH(AJ7,V!$L:$L,0)),"")</f>
        <v/>
      </c>
      <c r="AJ7" s="407" t="str">
        <f>IFERROR(MID($B7,FIND("^",SUBSTITUTE($B7,", ","^",1))+2,FIND("^",SUBSTITUTE($B7,", ","^",2))-FIND("^",SUBSTITUTE($B7,", ","^",1))-2),"")</f>
        <v>Tatiana Kazanceva</v>
      </c>
      <c r="AK7" s="406" t="str">
        <f>IFERROR(INDEX(V!$R:$R,MATCH(AL7,V!$L:$L,0)),"")</f>
        <v/>
      </c>
      <c r="AL7" s="407" t="str">
        <f>IFERROR(MID($B7,FIND(", ",$B7,FIND(", ",$B7,FIND(", ",$B7))+1)+2,30000),"")</f>
        <v>Viktor Anuhin</v>
      </c>
      <c r="AM7" s="406" t="str">
        <f>IFERROR(INDEX(V!$R:$R,MATCH(AN7,V!$L:$L,0)),"")</f>
        <v/>
      </c>
      <c r="AN7" s="407" t="str">
        <f>IFERROR(MID($B7,FIND(", ",$B7,FIND(", ",$B7)+1)+2,FIND(", ",$B7,FIND(", ",$B7,FIND(", ",$B7)+1)+1)-FIND(", ",$B7,FIND(", ",$B7)+1)-2),"")</f>
        <v/>
      </c>
      <c r="AO7" s="406" t="str">
        <f>IFERROR(INDEX(V!$R:$R,MATCH(AP7,V!$L:$L,0)),"")</f>
        <v/>
      </c>
      <c r="AP7" s="407" t="str">
        <f>IFERROR(MID($B7,FIND(", ",$B7,FIND(", ",$B7,FIND(", ",$B7)+1)+1)+2,30000),"")</f>
        <v/>
      </c>
    </row>
    <row r="8" spans="1:42" ht="25.5" x14ac:dyDescent="0.2">
      <c r="A8" s="316">
        <v>2</v>
      </c>
      <c r="B8" s="488" t="s">
        <v>553</v>
      </c>
      <c r="C8" s="318">
        <v>8</v>
      </c>
      <c r="D8" s="319"/>
      <c r="E8" s="318">
        <v>3</v>
      </c>
      <c r="F8" s="318"/>
      <c r="G8" s="318"/>
      <c r="H8" s="317" t="str">
        <f>(IF(C8-D7&gt;0,1)+IF(E8-D9&gt;0,1)+IF(F8-D10&gt;0,1)+IF(G8-D11&gt;0,1))&amp;"-"&amp;(IF(C8-D7&lt;0,1)+IF(E8-D9&lt;0,1)+IF(F8-D10&lt;0,1)+IF(G8-D11&lt;0,1))</f>
        <v>0-2</v>
      </c>
      <c r="I8" s="318" t="str">
        <f>IF(AND(B8&lt;&gt;"",R$6=TRUE),A$6&amp;RANK(S8,S$7:S$11,0)," ")</f>
        <v>A3</v>
      </c>
      <c r="J8" s="489">
        <f>IF(AND(Q8=1,Q7=1,C8&gt;D7),1)+IF(AND(Q8=1,Q9=1,E8&gt;D9),1)+IF(AND(Q8=1,Q10=1,F8&gt;D10),1)+IF(AND(Q8=1,Q11=1,G8&gt;D11),1)+IF(AND(Q8=2,Q7=2,C8&gt;D7),1)+IF(AND(Q8=2,Q9=2,E8&gt;D9),1)+IF(AND(Q8=2,Q10=2,F8&gt;D10),1)+IF(AND(Q8=2,Q11=2,G8&gt;D11),1)+IF(AND(Q8=3,Q7=3,C8&gt;D7),1)+IF(AND(Q8=3,Q9=3,E8&gt;D9),1)+IF(AND(Q8=3,Q10=3,F8&gt;D10),1)+IF(AND(Q8=3,Q11=3,G8&gt;D11),1)</f>
        <v>0</v>
      </c>
      <c r="K8" s="483">
        <f>SUM(AND(T8=T7,C8&gt;D7),AND(T8=T9,E8&gt;D9),AND(T8=T10,F8&gt;D10),AND(T8=T11,G8&gt;D11))</f>
        <v>0</v>
      </c>
      <c r="L8" s="490">
        <f>IF(AND(Q8=1,Q7=1),C8-D7)+IF(AND(Q8=1,Q9=1),E8-D9)+IF(AND(Q8=1,Q10=1),F8-D10)+IF(AND(Q8=1,Q11=1),G8-D11)+IF(AND(Q8=2,Q7=2),C8-D7)+IF(AND(Q8=2,Q9=2),E8-D9)+IF(AND(Q8=2,Q10=2),F8-D10)+IF(AND(Q8=2,Q11=2),G8-D11)+IF(AND(Q8=3,Q7=3),C8-D7)+IF(AND(Q8=3,Q9=3),E8-D9)+IF(AND(Q8=3,Q10=3),F8-D10)+IF(AND(Q8=3,Q11=3),G8-D11)+IF(AND(Q8=4,Q7=4),C8-D7)+IF(AND(Q8=4,Q9=4),E8-D9)+IF(AND(Q8=4,Q10=4),F8-D10)+IF(AND(Q8=4,Q11=4),G8-D11)</f>
        <v>0</v>
      </c>
      <c r="M8" s="483">
        <f>SUM(AND(R8=R7,C8&gt;D7),AND(R8=R9,E8&gt;D9),AND(R8=R10,F8&gt;D10),AND(R8=R11,G8&gt;D11))</f>
        <v>0</v>
      </c>
      <c r="N8" s="537" t="str">
        <f>SUM(C8:G8)&amp;"-"&amp;SUM(D7:D11)</f>
        <v>11-26</v>
      </c>
      <c r="O8" s="538">
        <f>C8+E8+F8+G8-D7-D9-D10-D11</f>
        <v>-15</v>
      </c>
      <c r="P8" s="485">
        <f>SUM(C8:G8,D7:D11)/SUM(D7:D11)</f>
        <v>1.4230769230769231</v>
      </c>
      <c r="Q8" s="491">
        <f>VALUE(LEFT(H8,1))</f>
        <v>0</v>
      </c>
      <c r="R8" s="321">
        <f>Q8*100000+J8*10000+K8*1000+100*L8</f>
        <v>0</v>
      </c>
      <c r="S8" s="486">
        <f>R8+M8*0.1+IF(ISNONTEXT(B8),0,0.01)+0.0001*O8</f>
        <v>8.5000000000000006E-3</v>
      </c>
      <c r="T8" s="487" t="str">
        <f>Q8&amp;J8</f>
        <v>00</v>
      </c>
      <c r="U8" s="477"/>
      <c r="V8" s="477"/>
      <c r="W8" s="477"/>
      <c r="X8" s="477"/>
      <c r="Y8" s="477"/>
      <c r="Z8" s="477"/>
      <c r="AA8" s="485"/>
      <c r="AD8" s="405">
        <f t="shared" si="0"/>
        <v>168</v>
      </c>
      <c r="AE8" s="406" t="str">
        <f>IFERROR(INDEX(V!$R:$R,MATCH(AF8,V!$L:$L,0)),"")</f>
        <v/>
      </c>
      <c r="AF8" s="407" t="str">
        <f t="shared" ref="AF8:AF44" si="1">IFERROR(LEFT($B8,(FIND(",",$B8,1)-1)),"")</f>
        <v>Urmased - Olav Türk</v>
      </c>
      <c r="AG8" s="406" t="str">
        <f>IFERROR(INDEX(V!$R:$R,MATCH(AH8,V!$L:$L,0)),"")</f>
        <v/>
      </c>
      <c r="AH8" s="407" t="str">
        <f t="shared" ref="AH8:AH44" si="2">IFERROR(MID($B8,FIND(", ",$B8)+2,256),"")</f>
        <v>Urmas Jõeäär, Urmas Randlaine</v>
      </c>
      <c r="AI8" s="406">
        <f>IFERROR(INDEX(V!$R:$R,MATCH(AJ8,V!$L:$L,0)),"")</f>
        <v>30</v>
      </c>
      <c r="AJ8" s="407" t="str">
        <f t="shared" ref="AJ8:AJ44" si="3">IFERROR(MID($B8,FIND("^",SUBSTITUTE($B8,", ","^",1))+2,FIND("^",SUBSTITUTE($B8,", ","^",2))-FIND("^",SUBSTITUTE($B8,", ","^",1))-2),"")</f>
        <v>Urmas Jõeäär</v>
      </c>
      <c r="AK8" s="406">
        <f>IFERROR(INDEX(V!$R:$R,MATCH(AL8,V!$L:$L,0)),"")</f>
        <v>138</v>
      </c>
      <c r="AL8" s="407" t="str">
        <f t="shared" ref="AL8:AL44" si="4">IFERROR(MID($B8,FIND(", ",$B8,FIND(", ",$B8,FIND(", ",$B8))+1)+2,30000),"")</f>
        <v>Urmas Randlaine</v>
      </c>
      <c r="AM8" s="406" t="str">
        <f>IFERROR(INDEX(V!$R:$R,MATCH(AN8,V!$L:$L,0)),"")</f>
        <v/>
      </c>
      <c r="AN8" s="407" t="str">
        <f t="shared" ref="AN8:AN44" si="5">IFERROR(MID($B8,FIND(", ",$B8,FIND(", ",$B8)+1)+2,FIND(", ",$B8,FIND(", ",$B8,FIND(", ",$B8)+1)+1)-FIND(", ",$B8,FIND(", ",$B8)+1)-2),"")</f>
        <v/>
      </c>
      <c r="AO8" s="406" t="str">
        <f>IFERROR(INDEX(V!$R:$R,MATCH(AP8,V!$L:$L,0)),"")</f>
        <v/>
      </c>
      <c r="AP8" s="407" t="str">
        <f t="shared" ref="AP8:AP44" si="6">IFERROR(MID($B8,FIND(", ",$B8,FIND(", ",$B8,FIND(", ",$B8)+1)+1)+2,30000),"")</f>
        <v/>
      </c>
    </row>
    <row r="9" spans="1:42" ht="25.5" x14ac:dyDescent="0.2">
      <c r="A9" s="316">
        <v>3</v>
      </c>
      <c r="B9" s="488" t="s">
        <v>552</v>
      </c>
      <c r="C9" s="318">
        <v>13</v>
      </c>
      <c r="D9" s="492">
        <v>13</v>
      </c>
      <c r="E9" s="319"/>
      <c r="F9" s="318"/>
      <c r="G9" s="318"/>
      <c r="H9" s="317" t="str">
        <f>(IF(C9-E7&gt;0,1)+IF(D9-E8&gt;0,1)+IF(F9-E10&gt;0,1)+IF(G9-E11&gt;0,1))&amp;"-"&amp;(IF(C9-E7&lt;0,1)+IF(D9-E8&lt;0,1)+IF(F9-E10&lt;0,1)+IF(G9-E11&lt;0,1))</f>
        <v>2-0</v>
      </c>
      <c r="I9" s="318" t="str">
        <f>IF(AND(B9&lt;&gt;"",R$6=TRUE),A$6&amp;RANK(S9,S$7:S$11,0)," ")</f>
        <v>A1</v>
      </c>
      <c r="J9" s="489">
        <f>IF(AND(Q9=1,Q7=1,C9&gt;E7),1)+IF(AND(Q9=1,Q8=1,D9&gt;E8),1)+IF(AND(Q9=1,Q10=1,F9&gt;E10),1)+IF(AND(Q9=1,Q11=1,G9&gt;E11),1)+IF(AND(Q9=2,Q7=2,C9&gt;E7),1)+IF(AND(Q9=2,Q8=2,D9&gt;E8),1)+IF(AND(Q9=2,Q10=2,F9&gt;E10),1)+IF(AND(Q9=2,Q11=2,G9&gt;E11),1)+IF(AND(Q9=3,Q7=3,C9&gt;E7),1)+IF(AND(Q9=3,Q8=3,D9&gt;E8),1)+IF(AND(Q9=3,Q10=3,F9&gt;E10),1)+IF(AND(Q9=3,Q11=3,G9&gt;E11),1)</f>
        <v>0</v>
      </c>
      <c r="K9" s="483">
        <f>SUM(AND(T9=T7,C9&gt;E7),AND(T9=T8,D9&gt;E8),AND(T9=T10,F9&gt;E10),AND(T9=T11,G9&gt;E11))</f>
        <v>0</v>
      </c>
      <c r="L9" s="490">
        <f>IF(AND(Q9=1,Q7=1),C9-E7)+IF(AND(Q9=1,Q8=1),D9-E8)+IF(AND(Q9=1,Q10=1),F9-E10)+IF(AND(Q9=1,Q11=1),G9-E11)+IF(AND(Q9=2,Q7=2),C9-E7)+IF(AND(Q9=2,Q8=2),D9-E8)+IF(AND(Q9=2,Q10=2),F9-E10)+IF(AND(Q9=2,Q11=2),G9-E11)+IF(AND(Q9=3,Q7=3),C9-E7)+IF(AND(Q9=3,Q8=3),D9-E8)+IF(AND(Q9=3,Q10=3),F9-E10)+IF(AND(Q9=3,Q11=3),G9-E11)+IF(AND(Q9=4,Q7=4),C9-E7)+IF(AND(Q9=4,Q8=4),D9-E8)+IF(AND(Q9=4,Q10=4),F9-E10)+IF(AND(Q9=4,Q11=4),G9-E11)</f>
        <v>0</v>
      </c>
      <c r="M9" s="483">
        <f>SUM(AND(R9=R7,C9&gt;E7),AND(R9=R8,D9&gt;E8),AND(R9=R10,F9&gt;E10),AND(R9=R11,G9&gt;E11))</f>
        <v>0</v>
      </c>
      <c r="N9" s="537" t="str">
        <f>SUM(C9:G9)&amp;"-"&amp;SUM(E7:E11)</f>
        <v>26-11</v>
      </c>
      <c r="O9" s="538">
        <f>C9+D9+F9+G9-E7-E8-E10-E11</f>
        <v>15</v>
      </c>
      <c r="P9" s="485">
        <f>SUM(C9:G9,E7:E11)/SUM(E7:E11)</f>
        <v>3.3636363636363638</v>
      </c>
      <c r="Q9" s="491">
        <f>VALUE(LEFT(H9,1))</f>
        <v>2</v>
      </c>
      <c r="R9" s="321">
        <f>Q9*100000+J9*10000+K9*1000+100*L9</f>
        <v>200000</v>
      </c>
      <c r="S9" s="486">
        <f>R9+M9*0.1+IF(ISNONTEXT(B9),0,0.01)+0.0001*O9</f>
        <v>200000.01150000002</v>
      </c>
      <c r="T9" s="487" t="str">
        <f>Q9&amp;J9</f>
        <v>20</v>
      </c>
      <c r="U9" s="477"/>
      <c r="V9" s="477"/>
      <c r="W9" s="477"/>
      <c r="X9" s="477"/>
      <c r="Y9" s="477"/>
      <c r="Z9" s="477"/>
      <c r="AA9" s="485"/>
      <c r="AD9" s="405">
        <f t="shared" si="0"/>
        <v>216</v>
      </c>
      <c r="AE9" s="406" t="str">
        <f>IFERROR(INDEX(V!$R:$R,MATCH(AF9,V!$L:$L,0)),"")</f>
        <v/>
      </c>
      <c r="AF9" s="407" t="str">
        <f>IFERROR(LEFT($B9,(FIND(",",$B9,1)-1)),"")</f>
        <v>Oja - Aarne Välja</v>
      </c>
      <c r="AG9" s="406" t="str">
        <f>IFERROR(INDEX(V!$R:$R,MATCH(AH9,V!$L:$L,0)),"")</f>
        <v/>
      </c>
      <c r="AH9" s="407" t="str">
        <f>IFERROR(MID($B9,FIND(", ",$B9)+2,256),"")</f>
        <v>Janek Tarto, Oksana Rõndenkova, Oleg Rõndenkov</v>
      </c>
      <c r="AI9" s="406">
        <f>IFERROR(INDEX(V!$R:$R,MATCH(AJ9,V!$L:$L,0)),"")</f>
        <v>90</v>
      </c>
      <c r="AJ9" s="407" t="str">
        <f>IFERROR(MID($B9,FIND("^",SUBSTITUTE($B9,", ","^",1))+2,FIND("^",SUBSTITUTE($B9,", ","^",2))-FIND("^",SUBSTITUTE($B9,", ","^",1))-2),"")</f>
        <v>Janek Tarto</v>
      </c>
      <c r="AK9" s="406" t="str">
        <f>IFERROR(INDEX(V!$R:$R,MATCH(AL9,V!$L:$L,0)),"")</f>
        <v/>
      </c>
      <c r="AL9" s="407" t="str">
        <f>IFERROR(MID($B9,FIND(", ",$B9,FIND(", ",$B9,FIND(", ",$B9))+1)+2,30000),"")</f>
        <v>Oksana Rõndenkova, Oleg Rõndenkov</v>
      </c>
      <c r="AM9" s="406" t="str">
        <f>IFERROR(INDEX(V!$R:$R,MATCH(AN9,V!$L:$L,0)),"")</f>
        <v/>
      </c>
      <c r="AN9" s="407" t="str">
        <f>IFERROR(MID($B9,FIND(", ",$B9,FIND(", ",$B9)+1)+2,FIND(", ",$B9,FIND(", ",$B9,FIND(", ",$B9)+1)+1)-FIND(", ",$B9,FIND(", ",$B9)+1)-2),"")</f>
        <v>Oksana Rõndenkova</v>
      </c>
      <c r="AO9" s="406">
        <f>IFERROR(INDEX(V!$R:$R,MATCH(AP9,V!$L:$L,0)),"")</f>
        <v>126</v>
      </c>
      <c r="AP9" s="407" t="str">
        <f>IFERROR(MID($B9,FIND(", ",$B9,FIND(", ",$B9,FIND(", ",$B9)+1)+1)+2,30000),"")</f>
        <v>Oleg Rõndenkov</v>
      </c>
    </row>
    <row r="10" spans="1:42" hidden="1" x14ac:dyDescent="0.2">
      <c r="A10" s="316">
        <v>4</v>
      </c>
      <c r="B10" s="493"/>
      <c r="C10" s="318"/>
      <c r="D10" s="492"/>
      <c r="E10" s="318"/>
      <c r="F10" s="319"/>
      <c r="G10" s="318"/>
      <c r="H10" s="317" t="str">
        <f>(IF(C10-F7&gt;0,1)+IF(D10-F8&gt;0,1)+IF(E10-F9&gt;0,1)+IF(G10-F11&gt;0,1))&amp;"-"&amp;(IF(C10-F7&lt;0,1)+IF(D10-F8&lt;0,1)+IF(E10-F9&lt;0,1)+IF(G10-F11&lt;0,1))</f>
        <v>0-0</v>
      </c>
      <c r="I10" s="318" t="str">
        <f>IF(AND(B10&lt;&gt;"",R$6=TRUE),A$6&amp;RANK(S10,S$7:S$11,0)," ")</f>
        <v xml:space="preserve"> </v>
      </c>
      <c r="J10" s="489">
        <f>IF(AND(Q10=1,Q7=1,C10&gt;F7),1)+IF(AND(Q10=1,Q8=1,D10&gt;F8),1)+IF(AND(Q10=1,Q9=1,E10&gt;F9),1)+IF(AND(Q10=1,Q11=1,G10&gt;F11),1)+IF(AND(Q10=2,Q7=2,C10&gt;F7),1)+IF(AND(Q10=2,Q8=2,D10&gt;F8),1)+IF(AND(Q10=2,Q9=2,E10&gt;F9),1)+IF(AND(Q10=2,Q11=2,G10&gt;F11),1)+IF(AND(Q10=3,Q7=3,C10&gt;F7),1)+IF(AND(Q10=3,Q8=3,D10&gt;F8),1)+IF(AND(Q10=3,Q9=3,E10&gt;F9),1)+IF(AND(Q10=3,Q11=3,G10&gt;F11),1)</f>
        <v>0</v>
      </c>
      <c r="K10" s="483">
        <f>SUM(AND(T10=T7,C10&gt;F7),AND(T10=T8,D10&gt;F8),AND(T10=T9,E10&gt;F9),AND(T10=T11,G10&gt;F11))</f>
        <v>0</v>
      </c>
      <c r="L10" s="490">
        <f>IF(AND(Q10=1,Q7=1),C10-F7)+IF(AND(Q10=1,Q8=1),D10-F8)+IF(AND(Q10=1,Q9=1),E10-F9)+IF(AND(Q10=1,Q11=1),G10-F11)+IF(AND(Q10=2,Q7=2),C10-F7)+IF(AND(Q10=2,Q8=2),D10-F8)+IF(AND(Q10=2,Q9=2),E10-F9)+IF(AND(Q10=2,Q11=2),G10-F11)+IF(AND(Q10=3,Q7=3),C10-F7)+IF(AND(Q10=3,Q8=3),D10-F8)+IF(AND(Q10=3,Q9=3),E10-F9)+IF(AND(Q10=3,Q11=3),G10-F11)+IF(AND(Q10=4,Q7=4),C10-F7)+IF(AND(Q10=4,Q8=4),D10-F8)+IF(AND(Q10=4,Q9=4),E10-F9)+IF(AND(Q10=4,Q11=4),G10-F11)</f>
        <v>0</v>
      </c>
      <c r="M10" s="483">
        <f>SUM(AND(R10=R7,C10&gt;F7),AND(R10=R8,D10&gt;F8),AND(R10=R9,E10&gt;F9),AND(R10=R11,G10&gt;F11))</f>
        <v>0</v>
      </c>
      <c r="N10" s="537" t="str">
        <f>SUM(C10:G10)&amp;"-"&amp;SUM(F7:F11)</f>
        <v>0-0</v>
      </c>
      <c r="O10" s="538">
        <f>C10+D10+E10+G10-F7-F8-F9-F11</f>
        <v>0</v>
      </c>
      <c r="P10" s="485" t="e">
        <f>SUM(C10:G10,F7:F11)/SUM(F7:F11)</f>
        <v>#DIV/0!</v>
      </c>
      <c r="Q10" s="491">
        <f>VALUE(LEFT(H10,1))</f>
        <v>0</v>
      </c>
      <c r="R10" s="321">
        <f>Q10*100000+J10*10000+K10*1000+100*L10</f>
        <v>0</v>
      </c>
      <c r="S10" s="486">
        <f>R10+M10*0.1+IF(ISNONTEXT(B10),0,0.01)+0.0001*O10</f>
        <v>0</v>
      </c>
      <c r="T10" s="487" t="str">
        <f>Q10&amp;J10</f>
        <v>00</v>
      </c>
      <c r="U10" s="477"/>
      <c r="V10" s="477"/>
      <c r="W10" s="477"/>
      <c r="X10" s="477"/>
      <c r="Y10" s="477"/>
      <c r="Z10" s="477"/>
      <c r="AA10" s="485"/>
      <c r="AD10" s="405">
        <f t="shared" si="0"/>
        <v>0</v>
      </c>
      <c r="AE10" s="406" t="str">
        <f>IFERROR(INDEX(V!$R:$R,MATCH(AF10,V!$L:$L,0)),"")</f>
        <v/>
      </c>
      <c r="AF10" s="407" t="str">
        <f t="shared" si="1"/>
        <v/>
      </c>
      <c r="AG10" s="406" t="str">
        <f>IFERROR(INDEX(V!$R:$R,MATCH(AH10,V!$L:$L,0)),"")</f>
        <v/>
      </c>
      <c r="AH10" s="407" t="str">
        <f t="shared" si="2"/>
        <v/>
      </c>
      <c r="AI10" s="406" t="str">
        <f>IFERROR(INDEX(V!$R:$R,MATCH(AJ10,V!$L:$L,0)),"")</f>
        <v/>
      </c>
      <c r="AJ10" s="407" t="str">
        <f t="shared" si="3"/>
        <v/>
      </c>
      <c r="AK10" s="406" t="str">
        <f>IFERROR(INDEX(V!$R:$R,MATCH(AL10,V!$L:$L,0)),"")</f>
        <v/>
      </c>
      <c r="AL10" s="407" t="str">
        <f t="shared" si="4"/>
        <v/>
      </c>
      <c r="AM10" s="406" t="str">
        <f>IFERROR(INDEX(V!$R:$R,MATCH(AN10,V!$L:$L,0)),"")</f>
        <v/>
      </c>
      <c r="AN10" s="407" t="str">
        <f t="shared" si="5"/>
        <v/>
      </c>
      <c r="AO10" s="406" t="str">
        <f>IFERROR(INDEX(V!$R:$R,MATCH(AP10,V!$L:$L,0)),"")</f>
        <v/>
      </c>
      <c r="AP10" s="407" t="str">
        <f t="shared" si="6"/>
        <v/>
      </c>
    </row>
    <row r="11" spans="1:42" hidden="1" x14ac:dyDescent="0.2">
      <c r="A11" s="316">
        <v>5</v>
      </c>
      <c r="B11" s="493"/>
      <c r="C11" s="318"/>
      <c r="D11" s="318"/>
      <c r="E11" s="318"/>
      <c r="F11" s="318"/>
      <c r="G11" s="319"/>
      <c r="H11" s="317" t="str">
        <f>(IF(C11-G7&gt;0,1)+IF(D11-G8&gt;0,1)+IF(E11-G9&gt;0,1)+IF(F11-G10&gt;0,1))&amp;"-"&amp;(IF(C11-G7&lt;0,1)+IF(D11-G8&lt;0,1)+IF(E11-G9&lt;0,1)+IF(F11-G10&lt;0,1))</f>
        <v>0-0</v>
      </c>
      <c r="I11" s="318" t="str">
        <f>IF(AND(B11&lt;&gt;"",R$6=TRUE),A$6&amp;RANK(S11,S$7:S$11,0)," ")</f>
        <v xml:space="preserve"> </v>
      </c>
      <c r="J11" s="489">
        <f>IF(AND(Q11=1,Q7=1,C11&gt;G7),1)+IF(AND(Q11=1,Q8=1,D11&gt;G8),1)+IF(AND(Q11=1,Q9=1,E11&gt;G9),1)+IF(AND(Q11=1,Q10=1,F11&gt;G10),1)+IF(AND(Q11=2,Q7=2,C11&gt;G7),1)+IF(AND(Q11=2,Q8=2,D11&gt;G8),1)+IF(AND(Q11=2,Q9=2,E11&gt;G9),1)+IF(AND(Q11=2,Q10=2,F11&gt;G10),1)+IF(AND(Q11=3,Q7=3,C11&gt;G7),1)+IF(AND(Q11=3,Q8=3,D11&gt;G8),1)+IF(AND(Q11=3,Q9=3,E11&gt;G9),1)+IF(AND(Q11=3,Q10=3,F11&gt;G10),1)</f>
        <v>0</v>
      </c>
      <c r="K11" s="483">
        <f>SUM(AND(T11=T7,C11&gt;G7),AND(T11=T8,D11&gt;G8),AND(T11=T9,E11&gt;G9),AND(T11=T10,F11&gt;G10))</f>
        <v>0</v>
      </c>
      <c r="L11" s="490">
        <f>IF(AND(Q11=1,Q7=1),C11-G7)+IF(AND(Q11=1,Q8=1),D11-G8)+IF(AND(Q11=1,Q9=1),E11-G9)+IF(AND(Q11=1,Q10=1),F11-G10)+IF(AND(Q11=2,Q7=2),C11-G7)+IF(AND(Q11=2,Q8=2),D11-G8)+IF(AND(Q11=2,Q9=2),E11-G9)+IF(AND(Q11=2,Q10=2),F11-G10)+IF(AND(Q11=3,Q7=3),C11-G7)+IF(AND(Q11=3,Q8=3),D11-G8)+IF(AND(Q11=3,Q9=3),E11-G9)+IF(AND(Q11=3,Q10=3),F11-G10)+IF(AND(Q11=4,Q7=4),C11-G7)+IF(AND(Q11=4,Q8=4),D11-G8)+IF(AND(Q11=4,Q9=4),E11-G9)+IF(AND(Q11=4,Q10=4),F11-G10)</f>
        <v>0</v>
      </c>
      <c r="M11" s="483">
        <f>SUM(AND(R11=R7,C11&gt;G7),AND(R11=R8,D11&gt;G8),AND(R11=R9,E11&gt;G9),AND(R11=R10,F11&gt;G10))</f>
        <v>0</v>
      </c>
      <c r="N11" s="537" t="str">
        <f>SUM(C11:G11)&amp;"-"&amp;SUM(G7:G11)</f>
        <v>0-0</v>
      </c>
      <c r="O11" s="538">
        <f>C11+D11+E11+F11-G7-G8-G9-G10</f>
        <v>0</v>
      </c>
      <c r="P11" s="485" t="e">
        <f>SUM(C11:G11,G7:G11)/SUM(G7:G11)</f>
        <v>#DIV/0!</v>
      </c>
      <c r="Q11" s="491">
        <f>VALUE(LEFT(H11,1))</f>
        <v>0</v>
      </c>
      <c r="R11" s="321">
        <f>Q11*100000+J11*10000+K11*1000+100*L11</f>
        <v>0</v>
      </c>
      <c r="S11" s="486">
        <f>R11+M11*0.1+IF(ISNONTEXT(B11),0,0.01)+0.0001*O11</f>
        <v>0</v>
      </c>
      <c r="T11" s="487" t="str">
        <f>Q11&amp;J11</f>
        <v>00</v>
      </c>
      <c r="U11" s="477"/>
      <c r="V11" s="477"/>
      <c r="W11" s="477"/>
      <c r="X11" s="477"/>
      <c r="Y11" s="477"/>
      <c r="Z11" s="477"/>
      <c r="AA11" s="485"/>
      <c r="AD11" s="405">
        <f t="shared" si="0"/>
        <v>0</v>
      </c>
      <c r="AE11" s="406" t="str">
        <f>IFERROR(INDEX(V!$R:$R,MATCH(AF11,V!$L:$L,0)),"")</f>
        <v/>
      </c>
      <c r="AF11" s="407" t="str">
        <f t="shared" si="1"/>
        <v/>
      </c>
      <c r="AG11" s="406" t="str">
        <f>IFERROR(INDEX(V!$R:$R,MATCH(AH11,V!$L:$L,0)),"")</f>
        <v/>
      </c>
      <c r="AH11" s="407" t="str">
        <f t="shared" si="2"/>
        <v/>
      </c>
      <c r="AI11" s="406" t="str">
        <f>IFERROR(INDEX(V!$R:$R,MATCH(AJ11,V!$L:$L,0)),"")</f>
        <v/>
      </c>
      <c r="AJ11" s="407" t="str">
        <f t="shared" si="3"/>
        <v/>
      </c>
      <c r="AK11" s="406" t="str">
        <f>IFERROR(INDEX(V!$R:$R,MATCH(AL11,V!$L:$L,0)),"")</f>
        <v/>
      </c>
      <c r="AL11" s="407" t="str">
        <f t="shared" si="4"/>
        <v/>
      </c>
      <c r="AM11" s="406" t="str">
        <f>IFERROR(INDEX(V!$R:$R,MATCH(AN11,V!$L:$L,0)),"")</f>
        <v/>
      </c>
      <c r="AN11" s="407" t="str">
        <f t="shared" si="5"/>
        <v/>
      </c>
      <c r="AO11" s="406" t="str">
        <f>IFERROR(INDEX(V!$R:$R,MATCH(AP11,V!$L:$L,0)),"")</f>
        <v/>
      </c>
      <c r="AP11" s="407" t="str">
        <f t="shared" si="6"/>
        <v/>
      </c>
    </row>
    <row r="12" spans="1:42" ht="25.5" customHeight="1" x14ac:dyDescent="0.2">
      <c r="A12" s="494"/>
      <c r="B12" s="495"/>
      <c r="C12" s="496"/>
      <c r="D12" s="497"/>
      <c r="E12" s="498"/>
      <c r="F12" s="498"/>
      <c r="G12" s="499"/>
      <c r="H12" s="500"/>
      <c r="I12" s="501"/>
      <c r="J12" s="477"/>
      <c r="K12" s="477"/>
      <c r="L12" s="477"/>
      <c r="M12" s="477"/>
      <c r="N12" s="539"/>
      <c r="O12" s="539"/>
      <c r="P12" s="477"/>
      <c r="Q12" s="477"/>
      <c r="R12" s="502" t="s">
        <v>264</v>
      </c>
      <c r="S12" s="477"/>
      <c r="T12" s="477"/>
      <c r="U12" s="477"/>
      <c r="V12" s="477"/>
      <c r="W12" s="477"/>
      <c r="X12" s="477"/>
      <c r="Y12" s="477"/>
      <c r="Z12" s="477"/>
      <c r="AA12" s="485"/>
      <c r="AD12" s="405">
        <f t="shared" si="0"/>
        <v>0</v>
      </c>
      <c r="AE12" s="406" t="str">
        <f>IFERROR(INDEX(V!$R:$R,MATCH(AF12,V!$L:$L,0)),"")</f>
        <v/>
      </c>
      <c r="AF12" s="407" t="str">
        <f t="shared" si="1"/>
        <v/>
      </c>
      <c r="AG12" s="406" t="str">
        <f>IFERROR(INDEX(V!$R:$R,MATCH(AH12,V!$L:$L,0)),"")</f>
        <v/>
      </c>
      <c r="AH12" s="407" t="str">
        <f t="shared" si="2"/>
        <v/>
      </c>
      <c r="AI12" s="406" t="str">
        <f>IFERROR(INDEX(V!$R:$R,MATCH(AJ12,V!$L:$L,0)),"")</f>
        <v/>
      </c>
      <c r="AJ12" s="407" t="str">
        <f t="shared" si="3"/>
        <v/>
      </c>
      <c r="AK12" s="406" t="str">
        <f>IFERROR(INDEX(V!$R:$R,MATCH(AL12,V!$L:$L,0)),"")</f>
        <v/>
      </c>
      <c r="AL12" s="407" t="str">
        <f t="shared" si="4"/>
        <v/>
      </c>
      <c r="AM12" s="406" t="str">
        <f>IFERROR(INDEX(V!$R:$R,MATCH(AN12,V!$L:$L,0)),"")</f>
        <v/>
      </c>
      <c r="AN12" s="407" t="str">
        <f t="shared" si="5"/>
        <v/>
      </c>
      <c r="AO12" s="406" t="str">
        <f>IFERROR(INDEX(V!$R:$R,MATCH(AP12,V!$L:$L,0)),"")</f>
        <v/>
      </c>
      <c r="AP12" s="407" t="str">
        <f t="shared" si="6"/>
        <v/>
      </c>
    </row>
    <row r="13" spans="1:42" ht="25.5" customHeight="1" x14ac:dyDescent="0.2">
      <c r="A13" s="316" t="s">
        <v>1</v>
      </c>
      <c r="B13" s="503"/>
      <c r="C13" s="467">
        <v>1</v>
      </c>
      <c r="D13" s="467">
        <v>2</v>
      </c>
      <c r="E13" s="467">
        <v>3</v>
      </c>
      <c r="F13" s="467"/>
      <c r="G13" s="467"/>
      <c r="H13" s="468" t="s">
        <v>168</v>
      </c>
      <c r="I13" s="468" t="s">
        <v>169</v>
      </c>
      <c r="J13" s="504" t="s">
        <v>257</v>
      </c>
      <c r="K13" s="505" t="s">
        <v>258</v>
      </c>
      <c r="L13" s="506" t="s">
        <v>259</v>
      </c>
      <c r="M13" s="506" t="s">
        <v>260</v>
      </c>
      <c r="N13" s="472" t="s">
        <v>170</v>
      </c>
      <c r="O13" s="472" t="s">
        <v>170</v>
      </c>
      <c r="P13" s="473" t="s">
        <v>261</v>
      </c>
      <c r="Q13" s="507" t="s">
        <v>21</v>
      </c>
      <c r="R13" s="507" t="b">
        <f>OR(AND(COUNTA(B14:B18)=3,COUNTA(C14:G18)=6),AND(COUNTA(B14:B18)=4,COUNTA(C14:G18)=12),AND(COUNTA(B14:B18)=5,COUNTA(C14:G18)=20))</f>
        <v>1</v>
      </c>
      <c r="S13" s="508" t="s">
        <v>262</v>
      </c>
      <c r="T13" s="509" t="s">
        <v>263</v>
      </c>
      <c r="U13" s="477"/>
      <c r="V13" s="477"/>
      <c r="W13" s="477"/>
      <c r="X13" s="477"/>
      <c r="Y13" s="477"/>
      <c r="Z13" s="477"/>
      <c r="AA13" s="485"/>
      <c r="AD13" s="405">
        <f t="shared" si="0"/>
        <v>0</v>
      </c>
      <c r="AE13" s="406" t="str">
        <f>IFERROR(INDEX(V!$R:$R,MATCH(AF13,V!$L:$L,0)),"")</f>
        <v/>
      </c>
      <c r="AF13" s="407" t="str">
        <f t="shared" si="1"/>
        <v/>
      </c>
      <c r="AG13" s="406" t="str">
        <f>IFERROR(INDEX(V!$R:$R,MATCH(AH13,V!$L:$L,0)),"")</f>
        <v/>
      </c>
      <c r="AH13" s="407" t="str">
        <f t="shared" si="2"/>
        <v/>
      </c>
      <c r="AI13" s="406" t="str">
        <f>IFERROR(INDEX(V!$R:$R,MATCH(AJ13,V!$L:$L,0)),"")</f>
        <v/>
      </c>
      <c r="AJ13" s="407" t="str">
        <f t="shared" si="3"/>
        <v/>
      </c>
      <c r="AK13" s="406" t="str">
        <f>IFERROR(INDEX(V!$R:$R,MATCH(AL13,V!$L:$L,0)),"")</f>
        <v/>
      </c>
      <c r="AL13" s="407" t="str">
        <f t="shared" si="4"/>
        <v/>
      </c>
      <c r="AM13" s="406" t="str">
        <f>IFERROR(INDEX(V!$R:$R,MATCH(AN13,V!$L:$L,0)),"")</f>
        <v/>
      </c>
      <c r="AN13" s="407" t="str">
        <f t="shared" si="5"/>
        <v/>
      </c>
      <c r="AO13" s="406" t="str">
        <f>IFERROR(INDEX(V!$R:$R,MATCH(AP13,V!$L:$L,0)),"")</f>
        <v/>
      </c>
      <c r="AP13" s="407" t="str">
        <f t="shared" si="6"/>
        <v/>
      </c>
    </row>
    <row r="14" spans="1:42" ht="25.5" x14ac:dyDescent="0.2">
      <c r="A14" s="316">
        <v>1</v>
      </c>
      <c r="B14" s="510" t="s">
        <v>554</v>
      </c>
      <c r="C14" s="319"/>
      <c r="D14" s="318">
        <v>5</v>
      </c>
      <c r="E14" s="318">
        <v>11</v>
      </c>
      <c r="F14" s="318"/>
      <c r="G14" s="318"/>
      <c r="H14" s="317" t="str">
        <f>(IF(D14-C15&gt;0,1)+IF(E14-C16&gt;0,1)+IF(F14-C17&gt;0,1)+IF(G14-C18&gt;0,1))&amp;"-"&amp;(IF(D14-C15&lt;0,1)+IF(E14-C16&lt;0,1)+IF(F14-C17&lt;0,1)+IF(G14-C18&lt;0,1))</f>
        <v>0-2</v>
      </c>
      <c r="I14" s="318" t="str">
        <f>IF(AND(B14&lt;&gt;"",R$6=TRUE),A$13&amp;RANK(S14,S$14:S$18,0)," ")</f>
        <v>B3</v>
      </c>
      <c r="J14" s="480">
        <f>IF(AND(Q14=1,Q15=1,D14&gt;C15),1)+IF(AND(Q14=1,Q16=1,E14&gt;C16),1)+IF(AND(Q14=1,Q17=1,F14&gt;C17),1)+IF(AND(Q14=1,Q18=1,G14&gt;C18),1)+IF(AND(Q14=2,Q15=2,D14&gt;C15),1)+IF(AND(Q14=2,Q16=2,E14&gt;C16),1)+IF(AND(Q14=2,Q17=2,F14&gt;C17),1)+IF(AND(Q14=2,Q18=2,G14&gt;C18),1)+IF(AND(Q14=3,Q15=3,D14&gt;C15),1)+IF(AND(Q14=3,Q16=3,E14&gt;C16),1)+IF(AND(Q14=3,Q17=3,F14&gt;C17),1)+IF(AND(Q14=3,Q18=3,G14&gt;C18),1)</f>
        <v>0</v>
      </c>
      <c r="K14" s="481">
        <f>SUM(AND(T14=T15,D14&gt;C15),AND(T14=T16,E14&gt;C16),AND(T14=T17,F14&gt;C17),AND(T14=T18,G14&gt;C18))</f>
        <v>0</v>
      </c>
      <c r="L14" s="482">
        <f>IF(AND(Q14=1,Q15=1),D14-C15)+IF(AND(Q14=1,Q16=1),E14-C16)+IF(AND(Q14=1,Q17=1),F14-C17)+IF(AND(Q14=1,Q18=1),G14-C18)+IF(AND(Q14=2,Q15=2),D14-C15)+IF(AND(Q14=2,Q16=2),E14-C16)+IF(AND(Q14=2,Q17=2),F14-C17)+IF(AND(Q14=2,Q18=2),G14-C18)+IF(AND(Q14=3,Q15=3),D14-C15)+IF(AND(Q14=3,Q16=3),E14-C16)+IF(AND(Q14=3,Q17=3),F14-C17)+IF(AND(Q14=3,Q18=3),G14-C18)+IF(AND(Q14=4,Q15=4),D14-C15)+IF(AND(Q14=4,Q16=4),E14-C16)+IF(AND(Q14=4,Q17=4),F14-C17)+IF(AND(Q14=4,Q18=4),G14-C18)</f>
        <v>0</v>
      </c>
      <c r="M14" s="483">
        <f>SUM(AND(R14=R15,D14&gt;C15),AND(R14=R16,E14&gt;C16),AND(R14=R17,F14&gt;C17),AND(R14=R18,G14&gt;C18))</f>
        <v>0</v>
      </c>
      <c r="N14" s="537" t="str">
        <f>SUM(C14:G14)&amp;"-"&amp;SUM(C14:C18)</f>
        <v>16-26</v>
      </c>
      <c r="O14" s="538">
        <f>D14+E14+F14+G14-C15-C16-C17-C18</f>
        <v>-10</v>
      </c>
      <c r="P14" s="485">
        <f>SUM(C14:G14,C14:C18)/SUM(C14:C18)</f>
        <v>1.6153846153846154</v>
      </c>
      <c r="Q14" s="320">
        <f>VALUE(LEFT(H14,1))</f>
        <v>0</v>
      </c>
      <c r="R14" s="321">
        <f>Q14*100000+J14*10000+K14*1000+100*L14</f>
        <v>0</v>
      </c>
      <c r="S14" s="486">
        <f>R14+M14*0.1+IF(ISNONTEXT(B14),0,0.01)+0.0001*O14</f>
        <v>9.0000000000000011E-3</v>
      </c>
      <c r="T14" s="487" t="str">
        <f>Q14&amp;J14</f>
        <v>00</v>
      </c>
      <c r="U14" s="477"/>
      <c r="V14" s="477"/>
      <c r="W14" s="477"/>
      <c r="X14" s="477"/>
      <c r="Y14" s="477"/>
      <c r="Z14" s="477"/>
      <c r="AA14" s="485"/>
      <c r="AD14" s="405">
        <f t="shared" si="0"/>
        <v>272.5</v>
      </c>
      <c r="AE14" s="406" t="str">
        <f>IFERROR(INDEX(V!$R:$R,MATCH(AF14,V!$L:$L,0)),"")</f>
        <v/>
      </c>
      <c r="AF14" s="407" t="str">
        <f t="shared" si="1"/>
        <v>Team Ruudi - Janek Kiisk</v>
      </c>
      <c r="AG14" s="406" t="str">
        <f>IFERROR(INDEX(V!$R:$R,MATCH(AH14,V!$L:$L,0)),"")</f>
        <v/>
      </c>
      <c r="AH14" s="407" t="str">
        <f t="shared" si="2"/>
        <v>Johannes Neiland, Karla Purgats, Ruudi Väärtnõu</v>
      </c>
      <c r="AI14" s="406">
        <f>IFERROR(INDEX(V!$R:$R,MATCH(AJ14,V!$L:$L,0)),"")</f>
        <v>122</v>
      </c>
      <c r="AJ14" s="407" t="str">
        <f t="shared" si="3"/>
        <v>Johannes Neiland</v>
      </c>
      <c r="AK14" s="406" t="str">
        <f>IFERROR(INDEX(V!$R:$R,MATCH(AL14,V!$L:$L,0)),"")</f>
        <v/>
      </c>
      <c r="AL14" s="407" t="str">
        <f t="shared" si="4"/>
        <v>Karla Purgats, Ruudi Väärtnõu</v>
      </c>
      <c r="AM14" s="406">
        <f>IFERROR(INDEX(V!$R:$R,MATCH(AN14,V!$L:$L,0)),"")</f>
        <v>150.5</v>
      </c>
      <c r="AN14" s="407" t="str">
        <f t="shared" si="5"/>
        <v>Karla Purgats</v>
      </c>
      <c r="AO14" s="406" t="str">
        <f>IFERROR(INDEX(V!$R:$R,MATCH(AP14,V!$L:$L,0)),"")</f>
        <v/>
      </c>
      <c r="AP14" s="407" t="str">
        <f t="shared" si="6"/>
        <v>Ruudi Väärtnõu</v>
      </c>
    </row>
    <row r="15" spans="1:42" ht="25.5" x14ac:dyDescent="0.2">
      <c r="A15" s="316">
        <v>2</v>
      </c>
      <c r="B15" s="479" t="s">
        <v>555</v>
      </c>
      <c r="C15" s="318">
        <v>13</v>
      </c>
      <c r="D15" s="319"/>
      <c r="E15" s="318">
        <v>13</v>
      </c>
      <c r="F15" s="318"/>
      <c r="G15" s="318"/>
      <c r="H15" s="317" t="str">
        <f>(IF(C15-D14&gt;0,1)+IF(E15-D16&gt;0,1)+IF(F15-D17&gt;0,1)+IF(G15-D18&gt;0,1))&amp;"-"&amp;(IF(C15-D14&lt;0,1)+IF(E15-D16&lt;0,1)+IF(F15-D17&lt;0,1)+IF(G15-D18&lt;0,1))</f>
        <v>2-0</v>
      </c>
      <c r="I15" s="318" t="str">
        <f>IF(AND(B15&lt;&gt;"",R$6=TRUE),A$13&amp;RANK(S15,S$14:S$18,0)," ")</f>
        <v>B1</v>
      </c>
      <c r="J15" s="489">
        <f>IF(AND(Q15=1,Q14=1,C15&gt;D14),1)+IF(AND(Q15=1,Q16=1,E15&gt;D16),1)+IF(AND(Q15=1,Q17=1,F15&gt;D17),1)+IF(AND(Q15=1,Q18=1,G15&gt;D18),1)+IF(AND(Q15=2,Q14=2,C15&gt;D14),1)+IF(AND(Q15=2,Q16=2,E15&gt;D16),1)+IF(AND(Q15=2,Q17=2,F15&gt;D17),1)+IF(AND(Q15=2,Q18=2,G15&gt;D18),1)+IF(AND(Q15=3,Q14=3,C15&gt;D14),1)+IF(AND(Q15=3,Q16=3,E15&gt;D16),1)+IF(AND(Q15=3,Q17=3,F15&gt;D17),1)+IF(AND(Q15=3,Q18=3,G15&gt;D18),1)</f>
        <v>0</v>
      </c>
      <c r="K15" s="483">
        <f>SUM(AND(T15=T14,C15&gt;D14),AND(T15=T16,E15&gt;D16),AND(T15=T17,F15&gt;D17),AND(T15=T18,G15&gt;D18))</f>
        <v>0</v>
      </c>
      <c r="L15" s="490">
        <f>IF(AND(Q15=1,Q14=1),C15-D14)+IF(AND(Q15=1,Q16=1),E15-D16)+IF(AND(Q15=1,Q17=1),F15-D17)+IF(AND(Q15=1,Q18=1),G15-D18)+IF(AND(Q15=2,Q14=2),C15-D14)+IF(AND(Q15=2,Q16=2),E15-D16)+IF(AND(Q15=2,Q17=2),F15-D17)+IF(AND(Q15=2,Q18=2),G15-D18)+IF(AND(Q15=3,Q14=3),C15-D14)+IF(AND(Q15=3,Q16=3),E15-D16)+IF(AND(Q15=3,Q17=3),F15-D17)+IF(AND(Q15=3,Q18=3),G15-D18)+IF(AND(Q15=4,Q14=4),C15-D14)+IF(AND(Q15=4,Q16=4),E15-D16)+IF(AND(Q15=4,Q17=4),F15-D17)+IF(AND(Q15=4,Q18=4),G15-D18)</f>
        <v>0</v>
      </c>
      <c r="M15" s="483">
        <f>SUM(AND(R15=R14,C15&gt;D14),AND(R15=R16,E15&gt;D16),AND(R15=R17,F15&gt;D17),AND(R15=R18,G15&gt;D18))</f>
        <v>0</v>
      </c>
      <c r="N15" s="537" t="str">
        <f>SUM(C15:G15)&amp;"-"&amp;SUM(D14:D18)</f>
        <v>26-10</v>
      </c>
      <c r="O15" s="538">
        <f>C15+E15+F15+G15-D14-D16-D17-D18</f>
        <v>16</v>
      </c>
      <c r="P15" s="485">
        <f>SUM(C15:G15,D14:D18)/SUM(D14:D18)</f>
        <v>3.6</v>
      </c>
      <c r="Q15" s="491">
        <f>VALUE(LEFT(H15,1))</f>
        <v>2</v>
      </c>
      <c r="R15" s="321">
        <f>Q15*100000+J15*10000+K15*1000+100*L15</f>
        <v>200000</v>
      </c>
      <c r="S15" s="486">
        <f>R15+M15*0.1+IF(ISNONTEXT(B15),0,0.01)+0.0001*O15</f>
        <v>200000.0116</v>
      </c>
      <c r="T15" s="487" t="str">
        <f>Q15&amp;J15</f>
        <v>20</v>
      </c>
      <c r="U15" s="477"/>
      <c r="V15" s="477"/>
      <c r="W15" s="477"/>
      <c r="X15" s="477"/>
      <c r="Y15" s="477"/>
      <c r="Z15" s="477"/>
      <c r="AA15" s="485"/>
      <c r="AD15" s="405">
        <f t="shared" si="0"/>
        <v>279.5</v>
      </c>
      <c r="AE15" s="406" t="str">
        <f>IFERROR(INDEX(V!$R:$R,MATCH(AF15,V!$L:$L,0)),"")</f>
        <v/>
      </c>
      <c r="AF15" s="407" t="str">
        <f t="shared" si="1"/>
        <v>Vans - Kenneth Muusikus</v>
      </c>
      <c r="AG15" s="406" t="str">
        <f>IFERROR(INDEX(V!$R:$R,MATCH(AH15,V!$L:$L,0)),"")</f>
        <v/>
      </c>
      <c r="AH15" s="407" t="str">
        <f t="shared" si="2"/>
        <v>Matti Vinni, Ülo Piik</v>
      </c>
      <c r="AI15" s="406">
        <f>IFERROR(INDEX(V!$R:$R,MATCH(AJ15,V!$L:$L,0)),"")</f>
        <v>168</v>
      </c>
      <c r="AJ15" s="407" t="str">
        <f t="shared" si="3"/>
        <v>Matti Vinni</v>
      </c>
      <c r="AK15" s="406">
        <f>IFERROR(INDEX(V!$R:$R,MATCH(AL15,V!$L:$L,0)),"")</f>
        <v>111.5</v>
      </c>
      <c r="AL15" s="407" t="str">
        <f t="shared" si="4"/>
        <v>Ülo Piik</v>
      </c>
      <c r="AM15" s="406" t="str">
        <f>IFERROR(INDEX(V!$R:$R,MATCH(AN15,V!$L:$L,0)),"")</f>
        <v/>
      </c>
      <c r="AN15" s="407" t="str">
        <f t="shared" si="5"/>
        <v/>
      </c>
      <c r="AO15" s="406" t="str">
        <f>IFERROR(INDEX(V!$R:$R,MATCH(AP15,V!$L:$L,0)),"")</f>
        <v/>
      </c>
      <c r="AP15" s="407" t="str">
        <f t="shared" si="6"/>
        <v/>
      </c>
    </row>
    <row r="16" spans="1:42" ht="25.5" x14ac:dyDescent="0.2">
      <c r="A16" s="316">
        <v>3</v>
      </c>
      <c r="B16" s="493" t="s">
        <v>556</v>
      </c>
      <c r="C16" s="318">
        <v>13</v>
      </c>
      <c r="D16" s="492">
        <v>5</v>
      </c>
      <c r="E16" s="319"/>
      <c r="F16" s="318"/>
      <c r="G16" s="318"/>
      <c r="H16" s="317" t="str">
        <f>(IF(C16-E14&gt;0,1)+IF(D16-E15&gt;0,1)+IF(F16-E17&gt;0,1)+IF(G16-E18&gt;0,1))&amp;"-"&amp;(IF(C16-E14&lt;0,1)+IF(D16-E15&lt;0,1)+IF(F16-E17&lt;0,1)+IF(G16-E18&lt;0,1))</f>
        <v>1-1</v>
      </c>
      <c r="I16" s="318" t="str">
        <f>IF(AND(B16&lt;&gt;"",R$6=TRUE),A$13&amp;RANK(S16,S$14:S$18,0)," ")</f>
        <v>B2</v>
      </c>
      <c r="J16" s="489">
        <f>IF(AND(Q16=1,Q14=1,C16&gt;E14),1)+IF(AND(Q16=1,Q15=1,D16&gt;E15),1)+IF(AND(Q16=1,Q17=1,F16&gt;E17),1)+IF(AND(Q16=1,Q18=1,G16&gt;E18),1)+IF(AND(Q16=2,Q14=2,C16&gt;E14),1)+IF(AND(Q16=2,Q15=2,D16&gt;E15),1)+IF(AND(Q16=2,Q17=2,F16&gt;E17),1)+IF(AND(Q16=2,Q18=2,G16&gt;E18),1)+IF(AND(Q16=3,Q14=3,C16&gt;E14),1)+IF(AND(Q16=3,Q15=3,D16&gt;E15),1)+IF(AND(Q16=3,Q17=3,F16&gt;E17),1)+IF(AND(Q16=3,Q18=3,G16&gt;E18),1)</f>
        <v>0</v>
      </c>
      <c r="K16" s="483">
        <f>SUM(AND(T16=T14,C16&gt;E14),AND(T16=T15,D16&gt;E15),AND(T16=T17,F16&gt;E17),AND(T16=T18,G16&gt;E18))</f>
        <v>0</v>
      </c>
      <c r="L16" s="490">
        <f>IF(AND(Q16=1,Q14=1),C16-E14)+IF(AND(Q16=1,Q15=1),D16-E15)+IF(AND(Q16=1,Q17=1),F16-E17)+IF(AND(Q16=1,Q18=1),G16-E18)+IF(AND(Q16=2,Q14=2),C16-E14)+IF(AND(Q16=2,Q15=2),D16-E15)+IF(AND(Q16=2,Q17=2),F16-E17)+IF(AND(Q16=2,Q18=2),G16-E18)+IF(AND(Q16=3,Q14=3),C16-E14)+IF(AND(Q16=3,Q15=3),D16-E15)+IF(AND(Q16=3,Q17=3),F16-E17)+IF(AND(Q16=3,Q18=3),G16-E18)+IF(AND(Q16=4,Q14=4),C16-E14)+IF(AND(Q16=4,Q15=4),D16-E15)+IF(AND(Q16=4,Q17=4),F16-E17)+IF(AND(Q16=4,Q18=4),G16-E18)</f>
        <v>0</v>
      </c>
      <c r="M16" s="483">
        <f>SUM(AND(R16=R14,C16&gt;E14),AND(R16=R15,D16&gt;E15),AND(R16=R17,F16&gt;E17),AND(R16=R18,G16&gt;E18))</f>
        <v>0</v>
      </c>
      <c r="N16" s="537" t="str">
        <f>SUM(C16:G16)&amp;"-"&amp;SUM(E14:E18)</f>
        <v>18-24</v>
      </c>
      <c r="O16" s="538">
        <f>C16+D16+F16+G16-E14-E15-E17-E18</f>
        <v>-6</v>
      </c>
      <c r="P16" s="485">
        <f>SUM(C16:G16,E14:E18)/SUM(E14:E18)</f>
        <v>1.75</v>
      </c>
      <c r="Q16" s="491">
        <f>VALUE(LEFT(H16,1))</f>
        <v>1</v>
      </c>
      <c r="R16" s="321">
        <f>Q16*100000+J16*10000+K16*1000+100*L16</f>
        <v>100000</v>
      </c>
      <c r="S16" s="486">
        <f>R16+M16*0.1+IF(ISNONTEXT(B16),0,0.01)+0.0001*O16</f>
        <v>100000.0094</v>
      </c>
      <c r="T16" s="487" t="str">
        <f>Q16&amp;J16</f>
        <v>10</v>
      </c>
      <c r="U16" s="477"/>
      <c r="V16" s="477"/>
      <c r="W16" s="477"/>
      <c r="X16" s="477"/>
      <c r="Y16" s="477"/>
      <c r="Z16" s="477"/>
      <c r="AA16" s="485"/>
      <c r="AD16" s="405">
        <f t="shared" si="0"/>
        <v>0</v>
      </c>
      <c r="AE16" s="406" t="str">
        <f>IFERROR(INDEX(V!$R:$R,MATCH(AF16,V!$L:$L,0)),"")</f>
        <v/>
      </c>
      <c r="AF16" s="407" t="str">
        <f t="shared" si="1"/>
        <v>Juuniorid - Henri Mitt</v>
      </c>
      <c r="AG16" s="406" t="str">
        <f>IFERROR(INDEX(V!$R:$R,MATCH(AH16,V!$L:$L,0)),"")</f>
        <v/>
      </c>
      <c r="AH16" s="407" t="str">
        <f t="shared" si="2"/>
        <v>Kevin Sten Liik, Marko Tarassov</v>
      </c>
      <c r="AI16" s="406" t="str">
        <f>IFERROR(INDEX(V!$R:$R,MATCH(AJ16,V!$L:$L,0)),"")</f>
        <v/>
      </c>
      <c r="AJ16" s="407" t="str">
        <f t="shared" si="3"/>
        <v>Kevin Sten Liik</v>
      </c>
      <c r="AK16" s="406" t="str">
        <f>IFERROR(INDEX(V!$R:$R,MATCH(AL16,V!$L:$L,0)),"")</f>
        <v/>
      </c>
      <c r="AL16" s="407" t="str">
        <f t="shared" si="4"/>
        <v>Marko Tarassov</v>
      </c>
      <c r="AM16" s="406" t="str">
        <f>IFERROR(INDEX(V!$R:$R,MATCH(AN16,V!$L:$L,0)),"")</f>
        <v/>
      </c>
      <c r="AN16" s="407" t="str">
        <f t="shared" si="5"/>
        <v/>
      </c>
      <c r="AO16" s="406" t="str">
        <f>IFERROR(INDEX(V!$R:$R,MATCH(AP16,V!$L:$L,0)),"")</f>
        <v/>
      </c>
      <c r="AP16" s="407" t="str">
        <f t="shared" si="6"/>
        <v/>
      </c>
    </row>
    <row r="17" spans="1:42" hidden="1" x14ac:dyDescent="0.2">
      <c r="A17" s="316">
        <v>4</v>
      </c>
      <c r="B17" s="493"/>
      <c r="C17" s="318"/>
      <c r="D17" s="492"/>
      <c r="E17" s="318"/>
      <c r="F17" s="319"/>
      <c r="G17" s="511"/>
      <c r="H17" s="317" t="str">
        <f>(IF(C17-F14&gt;0,1)+IF(D17-F15&gt;0,1)+IF(E17-F16&gt;0,1)+IF(G17-F18&gt;0,1))&amp;"-"&amp;(IF(C17-F14&lt;0,1)+IF(D17-F15&lt;0,1)+IF(E17-F16&lt;0,1)+IF(G17-F18&lt;0,1))</f>
        <v>0-0</v>
      </c>
      <c r="I17" s="318" t="str">
        <f>IF(AND(B17&lt;&gt;"",R$6=TRUE),A$13&amp;RANK(S17,S$14:S$18,0)," ")</f>
        <v xml:space="preserve"> </v>
      </c>
      <c r="J17" s="489">
        <f>IF(AND(Q17=1,Q14=1,C17&gt;F14),1)+IF(AND(Q17=1,Q15=1,D17&gt;F15),1)+IF(AND(Q17=1,Q16=1,E17&gt;F16),1)+IF(AND(Q17=1,Q18=1,G17&gt;F18),1)+IF(AND(Q17=2,Q14=2,C17&gt;F14),1)+IF(AND(Q17=2,Q15=2,D17&gt;F15),1)+IF(AND(Q17=2,Q16=2,E17&gt;F16),1)+IF(AND(Q17=2,Q18=2,G17&gt;F18),1)+IF(AND(Q17=3,Q14=3,C17&gt;F14),1)+IF(AND(Q17=3,Q15=3,D17&gt;F15),1)+IF(AND(Q17=3,Q16=3,E17&gt;F16),1)+IF(AND(Q17=3,Q18=3,G17&gt;F18),1)</f>
        <v>0</v>
      </c>
      <c r="K17" s="483">
        <f>SUM(AND(T17=T14,C17&gt;F14),AND(T17=T15,D17&gt;F15),AND(T17=T16,E17&gt;F16),AND(T17=T18,G17&gt;F18))</f>
        <v>0</v>
      </c>
      <c r="L17" s="490">
        <f>IF(AND(Q17=1,Q14=1),C17-F14)+IF(AND(Q17=1,Q15=1),D17-F15)+IF(AND(Q17=1,Q16=1),E17-F16)+IF(AND(Q17=1,Q18=1),G17-F18)+IF(AND(Q17=2,Q14=2),C17-F14)+IF(AND(Q17=2,Q15=2),D17-F15)+IF(AND(Q17=2,Q16=2),E17-F16)+IF(AND(Q17=2,Q18=2),G17-F18)+IF(AND(Q17=3,Q14=3),C17-F14)+IF(AND(Q17=3,Q15=3),D17-F15)+IF(AND(Q17=3,Q16=3),E17-F16)+IF(AND(Q17=3,Q18=3),G17-F18)+IF(AND(Q17=4,Q14=4),C17-F14)+IF(AND(Q17=4,Q15=4),D17-F15)+IF(AND(Q17=4,Q16=4),E17-F16)+IF(AND(Q17=4,Q18=4),G17-F18)</f>
        <v>0</v>
      </c>
      <c r="M17" s="483">
        <f>SUM(AND(R17=R14,C17&gt;F14),AND(R17=R15,D17&gt;F15),AND(R17=R16,E17&gt;F16),AND(R17=R18,G17&gt;F18))</f>
        <v>0</v>
      </c>
      <c r="N17" s="537" t="str">
        <f>SUM(C17:G17)&amp;"-"&amp;SUM(F14:F18)</f>
        <v>0-0</v>
      </c>
      <c r="O17" s="538">
        <f>C17+D17+E17+G17-F14-F15-F16-F18</f>
        <v>0</v>
      </c>
      <c r="P17" s="485" t="e">
        <f>SUM(C17:G17,F14:F18)/SUM(F14:F18)</f>
        <v>#DIV/0!</v>
      </c>
      <c r="Q17" s="491">
        <f>VALUE(LEFT(H17,1))</f>
        <v>0</v>
      </c>
      <c r="R17" s="321">
        <f>Q17*100000+J17*10000+K17*1000+100*L17</f>
        <v>0</v>
      </c>
      <c r="S17" s="486">
        <f>R17+M17*0.1+IF(ISNONTEXT(B17),0,0.01)+0.0001*O17</f>
        <v>0</v>
      </c>
      <c r="T17" s="487" t="str">
        <f>Q17&amp;J17</f>
        <v>00</v>
      </c>
      <c r="U17" s="477"/>
      <c r="V17" s="477"/>
      <c r="W17" s="477"/>
      <c r="X17" s="477"/>
      <c r="Y17" s="477"/>
      <c r="Z17" s="477"/>
      <c r="AA17" s="485"/>
      <c r="AD17" s="405">
        <f t="shared" si="0"/>
        <v>0</v>
      </c>
      <c r="AE17" s="406" t="str">
        <f>IFERROR(INDEX(V!$R:$R,MATCH(AF17,V!$L:$L,0)),"")</f>
        <v/>
      </c>
      <c r="AF17" s="407" t="str">
        <f t="shared" si="1"/>
        <v/>
      </c>
      <c r="AG17" s="406" t="str">
        <f>IFERROR(INDEX(V!$R:$R,MATCH(AH17,V!$L:$L,0)),"")</f>
        <v/>
      </c>
      <c r="AH17" s="407" t="str">
        <f t="shared" si="2"/>
        <v/>
      </c>
      <c r="AI17" s="406" t="str">
        <f>IFERROR(INDEX(V!$R:$R,MATCH(AJ17,V!$L:$L,0)),"")</f>
        <v/>
      </c>
      <c r="AJ17" s="407" t="str">
        <f t="shared" si="3"/>
        <v/>
      </c>
      <c r="AK17" s="406" t="str">
        <f>IFERROR(INDEX(V!$R:$R,MATCH(AL17,V!$L:$L,0)),"")</f>
        <v/>
      </c>
      <c r="AL17" s="407" t="str">
        <f t="shared" si="4"/>
        <v/>
      </c>
      <c r="AM17" s="406" t="str">
        <f>IFERROR(INDEX(V!$R:$R,MATCH(AN17,V!$L:$L,0)),"")</f>
        <v/>
      </c>
      <c r="AN17" s="407" t="str">
        <f t="shared" si="5"/>
        <v/>
      </c>
      <c r="AO17" s="406" t="str">
        <f>IFERROR(INDEX(V!$R:$R,MATCH(AP17,V!$L:$L,0)),"")</f>
        <v/>
      </c>
      <c r="AP17" s="407" t="str">
        <f t="shared" si="6"/>
        <v/>
      </c>
    </row>
    <row r="18" spans="1:42" hidden="1" x14ac:dyDescent="0.2">
      <c r="A18" s="316">
        <v>5</v>
      </c>
      <c r="B18" s="493"/>
      <c r="C18" s="318"/>
      <c r="D18" s="318"/>
      <c r="E18" s="318"/>
      <c r="F18" s="318"/>
      <c r="G18" s="319"/>
      <c r="H18" s="317" t="str">
        <f>(IF(C18-G14&gt;0,1)+IF(D18-G15&gt;0,1)+IF(E18-G16&gt;0,1)+IF(F18-G17&gt;0,1))&amp;"-"&amp;(IF(C18-G14&lt;0,1)+IF(D18-G15&lt;0,1)+IF(E18-G16&lt;0,1)+IF(F18-G17&lt;0,1))</f>
        <v>0-0</v>
      </c>
      <c r="I18" s="318" t="str">
        <f>IF(AND(B18&lt;&gt;"",R$6=TRUE),A$13&amp;RANK(S18,S$14:S$18,0)," ")</f>
        <v xml:space="preserve"> </v>
      </c>
      <c r="J18" s="489">
        <f>IF(AND(Q18=1,Q14=1,C18&gt;G14),1)+IF(AND(Q18=1,Q15=1,D18&gt;G15),1)+IF(AND(Q18=1,Q16=1,E18&gt;G16),1)+IF(AND(Q18=1,Q17=1,F18&gt;G17),1)+IF(AND(Q18=2,Q14=2,C18&gt;G14),1)+IF(AND(Q18=2,Q15=2,D18&gt;G15),1)+IF(AND(Q18=2,Q16=2,E18&gt;G16),1)+IF(AND(Q18=2,Q17=2,F18&gt;G17),1)+IF(AND(Q18=3,Q14=3,C18&gt;G14),1)+IF(AND(Q18=3,Q15=3,D18&gt;G15),1)+IF(AND(Q18=3,Q16=3,E18&gt;G16),1)+IF(AND(Q18=3,Q17=3,F18&gt;G17),1)</f>
        <v>0</v>
      </c>
      <c r="K18" s="483">
        <f>SUM(AND(T18=T14,C18&gt;G14),AND(T18=T15,D18&gt;G15),AND(T18=T16,E18&gt;G16),AND(T18=T17,F18&gt;G17))</f>
        <v>0</v>
      </c>
      <c r="L18" s="490">
        <f>IF(AND(Q18=1,Q14=1),C18-G14)+IF(AND(Q18=1,Q15=1),D18-G15)+IF(AND(Q18=1,Q16=1),E18-G16)+IF(AND(Q18=1,Q17=1),F18-G17)+IF(AND(Q18=2,Q14=2),C18-G14)+IF(AND(Q18=2,Q15=2),D18-G15)+IF(AND(Q18=2,Q16=2),E18-G16)+IF(AND(Q18=2,Q17=2),F18-G17)+IF(AND(Q18=3,Q14=3),C18-G14)+IF(AND(Q18=3,Q15=3),D18-G15)+IF(AND(Q18=3,Q16=3),E18-G16)+IF(AND(Q18=3,Q17=3),F18-G17)+IF(AND(Q18=4,Q14=4),C18-G14)+IF(AND(Q18=4,Q15=4),D18-G15)+IF(AND(Q18=4,Q16=4),E18-G16)+IF(AND(Q18=4,Q17=4),F18-G17)</f>
        <v>0</v>
      </c>
      <c r="M18" s="483">
        <f>SUM(AND(R18=R14,C18&gt;G14),AND(R18=R15,D18&gt;G15),AND(R18=R16,E18&gt;G16),AND(R18=R17,F18&gt;G17))</f>
        <v>0</v>
      </c>
      <c r="N18" s="537" t="str">
        <f>SUM(C18:G18)&amp;"-"&amp;SUM(G14:G18)</f>
        <v>0-0</v>
      </c>
      <c r="O18" s="538">
        <f>C18+D18+E18+F18-G14-G15-G16-G17</f>
        <v>0</v>
      </c>
      <c r="P18" s="485" t="e">
        <f>SUM(C18:G18,G14:G18)/SUM(G14:G18)</f>
        <v>#DIV/0!</v>
      </c>
      <c r="Q18" s="491">
        <f>VALUE(LEFT(H18,1))</f>
        <v>0</v>
      </c>
      <c r="R18" s="321">
        <f>Q18*100000+J18*10000+K18*1000+100*L18</f>
        <v>0</v>
      </c>
      <c r="S18" s="486">
        <f>R18+M18*0.1+IF(ISNONTEXT(B18),0,0.01)+0.0001*O18</f>
        <v>0</v>
      </c>
      <c r="T18" s="487" t="str">
        <f>Q18&amp;J18</f>
        <v>00</v>
      </c>
      <c r="U18" s="477"/>
      <c r="V18" s="477"/>
      <c r="W18" s="477"/>
      <c r="X18" s="477"/>
      <c r="Y18" s="477"/>
      <c r="Z18" s="477"/>
      <c r="AA18" s="485"/>
      <c r="AD18" s="405">
        <f t="shared" si="0"/>
        <v>0</v>
      </c>
      <c r="AE18" s="406" t="str">
        <f>IFERROR(INDEX(V!$R:$R,MATCH(AF18,V!$L:$L,0)),"")</f>
        <v/>
      </c>
      <c r="AF18" s="407" t="str">
        <f t="shared" si="1"/>
        <v/>
      </c>
      <c r="AG18" s="406" t="str">
        <f>IFERROR(INDEX(V!$R:$R,MATCH(AH18,V!$L:$L,0)),"")</f>
        <v/>
      </c>
      <c r="AH18" s="407" t="str">
        <f t="shared" si="2"/>
        <v/>
      </c>
      <c r="AI18" s="406" t="str">
        <f>IFERROR(INDEX(V!$R:$R,MATCH(AJ18,V!$L:$L,0)),"")</f>
        <v/>
      </c>
      <c r="AJ18" s="407" t="str">
        <f t="shared" si="3"/>
        <v/>
      </c>
      <c r="AK18" s="406" t="str">
        <f>IFERROR(INDEX(V!$R:$R,MATCH(AL18,V!$L:$L,0)),"")</f>
        <v/>
      </c>
      <c r="AL18" s="407" t="str">
        <f t="shared" si="4"/>
        <v/>
      </c>
      <c r="AM18" s="406" t="str">
        <f>IFERROR(INDEX(V!$R:$R,MATCH(AN18,V!$L:$L,0)),"")</f>
        <v/>
      </c>
      <c r="AN18" s="407" t="str">
        <f t="shared" si="5"/>
        <v/>
      </c>
      <c r="AO18" s="406" t="str">
        <f>IFERROR(INDEX(V!$R:$R,MATCH(AP18,V!$L:$L,0)),"")</f>
        <v/>
      </c>
      <c r="AP18" s="407" t="str">
        <f t="shared" si="6"/>
        <v/>
      </c>
    </row>
    <row r="19" spans="1:42" ht="25.5" customHeight="1" x14ac:dyDescent="0.2">
      <c r="A19" s="494"/>
      <c r="B19" s="495"/>
      <c r="C19" s="496"/>
      <c r="D19" s="497"/>
      <c r="E19" s="496"/>
      <c r="F19" s="498"/>
      <c r="G19" s="499"/>
      <c r="H19" s="500"/>
      <c r="I19" s="512"/>
      <c r="J19" s="477"/>
      <c r="K19" s="477"/>
      <c r="L19" s="477"/>
      <c r="M19" s="477"/>
      <c r="N19" s="539"/>
      <c r="O19" s="539"/>
      <c r="P19" s="477"/>
      <c r="Q19" s="477"/>
      <c r="R19" s="502" t="s">
        <v>264</v>
      </c>
      <c r="S19" s="477"/>
      <c r="T19" s="477"/>
      <c r="U19" s="477"/>
      <c r="V19" s="477"/>
      <c r="W19" s="477"/>
      <c r="X19" s="477"/>
      <c r="Y19" s="477"/>
      <c r="Z19" s="477"/>
      <c r="AA19" s="485"/>
      <c r="AD19" s="405">
        <f t="shared" si="0"/>
        <v>0</v>
      </c>
      <c r="AE19" s="406" t="str">
        <f>IFERROR(INDEX(V!$R:$R,MATCH(AF19,V!$L:$L,0)),"")</f>
        <v/>
      </c>
      <c r="AF19" s="407" t="str">
        <f t="shared" si="1"/>
        <v/>
      </c>
      <c r="AG19" s="406" t="str">
        <f>IFERROR(INDEX(V!$R:$R,MATCH(AH19,V!$L:$L,0)),"")</f>
        <v/>
      </c>
      <c r="AH19" s="407" t="str">
        <f t="shared" si="2"/>
        <v/>
      </c>
      <c r="AI19" s="406" t="str">
        <f>IFERROR(INDEX(V!$R:$R,MATCH(AJ19,V!$L:$L,0)),"")</f>
        <v/>
      </c>
      <c r="AJ19" s="407" t="str">
        <f t="shared" si="3"/>
        <v/>
      </c>
      <c r="AK19" s="406" t="str">
        <f>IFERROR(INDEX(V!$R:$R,MATCH(AL19,V!$L:$L,0)),"")</f>
        <v/>
      </c>
      <c r="AL19" s="407" t="str">
        <f t="shared" si="4"/>
        <v/>
      </c>
      <c r="AM19" s="406" t="str">
        <f>IFERROR(INDEX(V!$R:$R,MATCH(AN19,V!$L:$L,0)),"")</f>
        <v/>
      </c>
      <c r="AN19" s="407" t="str">
        <f t="shared" si="5"/>
        <v/>
      </c>
      <c r="AO19" s="406" t="str">
        <f>IFERROR(INDEX(V!$R:$R,MATCH(AP19,V!$L:$L,0)),"")</f>
        <v/>
      </c>
      <c r="AP19" s="407" t="str">
        <f t="shared" si="6"/>
        <v/>
      </c>
    </row>
    <row r="20" spans="1:42" ht="25.5" customHeight="1" x14ac:dyDescent="0.2">
      <c r="A20" s="316" t="s">
        <v>2</v>
      </c>
      <c r="B20" s="503"/>
      <c r="C20" s="467">
        <v>1</v>
      </c>
      <c r="D20" s="467">
        <v>2</v>
      </c>
      <c r="E20" s="467">
        <v>3</v>
      </c>
      <c r="F20" s="467"/>
      <c r="G20" s="467"/>
      <c r="H20" s="468" t="s">
        <v>168</v>
      </c>
      <c r="I20" s="468" t="s">
        <v>169</v>
      </c>
      <c r="J20" s="504" t="s">
        <v>257</v>
      </c>
      <c r="K20" s="505" t="s">
        <v>258</v>
      </c>
      <c r="L20" s="506" t="s">
        <v>259</v>
      </c>
      <c r="M20" s="506" t="s">
        <v>260</v>
      </c>
      <c r="N20" s="472" t="s">
        <v>170</v>
      </c>
      <c r="O20" s="472" t="s">
        <v>170</v>
      </c>
      <c r="P20" s="473" t="s">
        <v>261</v>
      </c>
      <c r="Q20" s="507" t="s">
        <v>21</v>
      </c>
      <c r="R20" s="507" t="b">
        <f>OR(AND(COUNTA(B21:B25)=3,COUNTA(C21:G25)=6),AND(COUNTA(B21:B25)=4,COUNTA(C21:G25)=12),AND(COUNTA(B21:B25)=5,COUNTA(C21:G25)=20))</f>
        <v>1</v>
      </c>
      <c r="S20" s="508" t="s">
        <v>262</v>
      </c>
      <c r="T20" s="509" t="s">
        <v>263</v>
      </c>
      <c r="U20" s="477"/>
      <c r="V20" s="477"/>
      <c r="W20" s="477"/>
      <c r="X20" s="477"/>
      <c r="Y20" s="477"/>
      <c r="Z20" s="477"/>
      <c r="AA20" s="477"/>
      <c r="AD20" s="405">
        <f t="shared" si="0"/>
        <v>0</v>
      </c>
      <c r="AE20" s="406" t="str">
        <f>IFERROR(INDEX(V!$R:$R,MATCH(AF20,V!$L:$L,0)),"")</f>
        <v/>
      </c>
      <c r="AF20" s="407" t="str">
        <f t="shared" si="1"/>
        <v/>
      </c>
      <c r="AG20" s="406" t="str">
        <f>IFERROR(INDEX(V!$R:$R,MATCH(AH20,V!$L:$L,0)),"")</f>
        <v/>
      </c>
      <c r="AH20" s="407" t="str">
        <f t="shared" si="2"/>
        <v/>
      </c>
      <c r="AI20" s="406" t="str">
        <f>IFERROR(INDEX(V!$R:$R,MATCH(AJ20,V!$L:$L,0)),"")</f>
        <v/>
      </c>
      <c r="AJ20" s="407" t="str">
        <f t="shared" si="3"/>
        <v/>
      </c>
      <c r="AK20" s="406" t="str">
        <f>IFERROR(INDEX(V!$R:$R,MATCH(AL20,V!$L:$L,0)),"")</f>
        <v/>
      </c>
      <c r="AL20" s="407" t="str">
        <f t="shared" si="4"/>
        <v/>
      </c>
      <c r="AM20" s="406" t="str">
        <f>IFERROR(INDEX(V!$R:$R,MATCH(AN20,V!$L:$L,0)),"")</f>
        <v/>
      </c>
      <c r="AN20" s="407" t="str">
        <f t="shared" si="5"/>
        <v/>
      </c>
      <c r="AO20" s="406" t="str">
        <f>IFERROR(INDEX(V!$R:$R,MATCH(AP20,V!$L:$L,0)),"")</f>
        <v/>
      </c>
      <c r="AP20" s="407" t="str">
        <f t="shared" si="6"/>
        <v/>
      </c>
    </row>
    <row r="21" spans="1:42" ht="25.5" x14ac:dyDescent="0.2">
      <c r="A21" s="316">
        <v>1</v>
      </c>
      <c r="B21" s="479" t="s">
        <v>557</v>
      </c>
      <c r="C21" s="319"/>
      <c r="D21" s="318">
        <v>13</v>
      </c>
      <c r="E21" s="318">
        <v>13</v>
      </c>
      <c r="F21" s="318"/>
      <c r="G21" s="318"/>
      <c r="H21" s="317" t="str">
        <f>(IF(D21-C22&gt;0,1)+IF(E21-C23&gt;0,1)+IF(F21-C24&gt;0,1)+IF(G21-C25&gt;0,1))&amp;"-"&amp;(IF(D21-C22&lt;0,1)+IF(E21-C23&lt;0,1)+IF(F21-C24&lt;0,1)+IF(G21-C25&lt;0,1))</f>
        <v>2-0</v>
      </c>
      <c r="I21" s="318" t="str">
        <f>IF(AND(B21&lt;&gt;"",R$20=TRUE),A$20&amp;RANK(S21,S$21:S$25,0)," ")</f>
        <v>C1</v>
      </c>
      <c r="J21" s="480">
        <f>IF(AND(Q21=1,Q22=1,D21&gt;C22),1)+IF(AND(Q21=1,Q23=1,E21&gt;C23),1)+IF(AND(Q21=1,Q24=1,F21&gt;C24),1)+IF(AND(Q21=1,Q25=1,G21&gt;C25),1)+IF(AND(Q21=2,Q22=2,D21&gt;C22),1)+IF(AND(Q21=2,Q23=2,E21&gt;C23),1)+IF(AND(Q21=2,Q24=2,F21&gt;C24),1)+IF(AND(Q21=2,Q25=2,G21&gt;C25),1)+IF(AND(Q21=3,Q22=3,D21&gt;C22),1)+IF(AND(Q21=3,Q23=3,E21&gt;C23),1)+IF(AND(Q21=3,Q24=3,F21&gt;C24),1)+IF(AND(Q21=3,Q25=3,G21&gt;C25),1)</f>
        <v>0</v>
      </c>
      <c r="K21" s="481">
        <f>SUM(AND(T21=T22,D21&gt;C22),AND(T21=T23,E21&gt;C23),AND(T21=T24,F21&gt;C24),AND(T21=T25,G21&gt;C25))</f>
        <v>0</v>
      </c>
      <c r="L21" s="482">
        <f>IF(AND(Q21=1,Q22=1),D21-C22)+IF(AND(Q21=1,Q23=1),E21-C23)+IF(AND(Q21=1,Q24=1),F21-C24)+IF(AND(Q21=1,Q25=1),G21-C25)+IF(AND(Q21=2,Q22=2),D21-C22)+IF(AND(Q21=2,Q23=2),E21-C23)+IF(AND(Q21=2,Q24=2),F21-C24)+IF(AND(Q21=2,Q25=2),G21-C25)+IF(AND(Q21=3,Q22=3),D21-C22)+IF(AND(Q21=3,Q23=3),E21-C23)+IF(AND(Q21=3,Q24=3),F21-C24)+IF(AND(Q21=3,Q25=3),G21-C25)+IF(AND(Q21=4,Q22=4),D21-C22)+IF(AND(Q21=4,Q23=4),E21-C23)+IF(AND(Q21=4,Q24=4),F21-C24)+IF(AND(Q21=4,Q25=4),G21-C25)</f>
        <v>0</v>
      </c>
      <c r="M21" s="483">
        <f>SUM(AND(R21=R22,D21&gt;C22),AND(R21=R23,E21&gt;C23),AND(R21=R24,F21&gt;C24),AND(R21=R25,G21&gt;C25))</f>
        <v>0</v>
      </c>
      <c r="N21" s="537" t="str">
        <f>SUM(C21:G21)&amp;"-"&amp;SUM(C21:C25)</f>
        <v>26-22</v>
      </c>
      <c r="O21" s="538">
        <f>D21+E21+F21+G21-C22-C23-C24-C25</f>
        <v>4</v>
      </c>
      <c r="P21" s="485">
        <f>SUM(C21:G21,C21:C25)/SUM(C21:C25)</f>
        <v>2.1818181818181817</v>
      </c>
      <c r="Q21" s="320">
        <f>VALUE(LEFT(H21,1))</f>
        <v>2</v>
      </c>
      <c r="R21" s="321">
        <f>Q21*100000+J21*10000+K21*1000+100*L21</f>
        <v>200000</v>
      </c>
      <c r="S21" s="486">
        <f>R21+M21*0.1+IF(ISNONTEXT(B21),0,0.01)+0.0001*O21</f>
        <v>200000.0104</v>
      </c>
      <c r="T21" s="487" t="str">
        <f>Q21&amp;J21</f>
        <v>20</v>
      </c>
      <c r="U21" s="477"/>
      <c r="V21" s="477"/>
      <c r="W21" s="477"/>
      <c r="X21" s="477"/>
      <c r="Y21" s="477"/>
      <c r="Z21" s="477"/>
      <c r="AA21" s="477"/>
      <c r="AD21" s="405">
        <f t="shared" si="0"/>
        <v>356</v>
      </c>
      <c r="AE21" s="406" t="str">
        <f>IFERROR(INDEX(V!$R:$R,MATCH(AF21,V!$L:$L,0)),"")</f>
        <v/>
      </c>
      <c r="AF21" s="407" t="str">
        <f t="shared" si="1"/>
        <v>SMS - Jaan Sepp</v>
      </c>
      <c r="AG21" s="406" t="str">
        <f>IFERROR(INDEX(V!$R:$R,MATCH(AH21,V!$L:$L,0)),"")</f>
        <v/>
      </c>
      <c r="AH21" s="407" t="str">
        <f t="shared" si="2"/>
        <v>Oskar Sepp, Mait Metsla</v>
      </c>
      <c r="AI21" s="406">
        <f>IFERROR(INDEX(V!$R:$R,MATCH(AJ21,V!$L:$L,0)),"")</f>
        <v>178</v>
      </c>
      <c r="AJ21" s="407" t="str">
        <f t="shared" si="3"/>
        <v>Oskar Sepp</v>
      </c>
      <c r="AK21" s="406">
        <f>IFERROR(INDEX(V!$R:$R,MATCH(AL21,V!$L:$L,0)),"")</f>
        <v>178</v>
      </c>
      <c r="AL21" s="407" t="str">
        <f t="shared" si="4"/>
        <v>Mait Metsla</v>
      </c>
      <c r="AM21" s="406" t="str">
        <f>IFERROR(INDEX(V!$R:$R,MATCH(AN21,V!$L:$L,0)),"")</f>
        <v/>
      </c>
      <c r="AN21" s="407" t="str">
        <f t="shared" si="5"/>
        <v/>
      </c>
      <c r="AO21" s="406" t="str">
        <f>IFERROR(INDEX(V!$R:$R,MATCH(AP21,V!$L:$L,0)),"")</f>
        <v/>
      </c>
      <c r="AP21" s="407" t="str">
        <f t="shared" si="6"/>
        <v/>
      </c>
    </row>
    <row r="22" spans="1:42" ht="25.5" x14ac:dyDescent="0.2">
      <c r="A22" s="316">
        <v>2</v>
      </c>
      <c r="B22" s="488" t="s">
        <v>558</v>
      </c>
      <c r="C22" s="318">
        <v>11</v>
      </c>
      <c r="D22" s="319"/>
      <c r="E22" s="318">
        <v>9</v>
      </c>
      <c r="F22" s="318"/>
      <c r="G22" s="318"/>
      <c r="H22" s="317" t="str">
        <f>(IF(C22-D21&gt;0,1)+IF(E22-D23&gt;0,1)+IF(F22-D24&gt;0,1)+IF(G22-D25&gt;0,1))&amp;"-"&amp;(IF(C22-D21&lt;0,1)+IF(E22-D23&lt;0,1)+IF(F22-D24&lt;0,1)+IF(G22-D25&lt;0,1))</f>
        <v>0-2</v>
      </c>
      <c r="I22" s="318" t="str">
        <f t="shared" ref="I22:I25" si="7">IF(AND(B22&lt;&gt;"",R$20=TRUE),A$20&amp;RANK(S22,S$21:S$25,0)," ")</f>
        <v>C3</v>
      </c>
      <c r="J22" s="489">
        <f>IF(AND(Q22=1,Q21=1,C22&gt;D21),1)+IF(AND(Q22=1,Q23=1,E22&gt;D23),1)+IF(AND(Q22=1,Q24=1,F22&gt;D24),1)+IF(AND(Q22=1,Q25=1,G22&gt;D25),1)+IF(AND(Q22=2,Q21=2,C22&gt;D21),1)+IF(AND(Q22=2,Q23=2,E22&gt;D23),1)+IF(AND(Q22=2,Q24=2,F22&gt;D24),1)+IF(AND(Q22=2,Q25=2,G22&gt;D25),1)+IF(AND(Q22=3,Q21=3,C22&gt;D21),1)+IF(AND(Q22=3,Q23=3,E22&gt;D23),1)+IF(AND(Q22=3,Q24=3,F22&gt;D24),1)+IF(AND(Q22=3,Q25=3,G22&gt;D25),1)</f>
        <v>0</v>
      </c>
      <c r="K22" s="483">
        <f>SUM(AND(T22=T21,C22&gt;D21),AND(T22=T23,E22&gt;D23),AND(T22=T24,F22&gt;D24),AND(T22=T25,G22&gt;D25))</f>
        <v>0</v>
      </c>
      <c r="L22" s="490">
        <f>IF(AND(Q22=1,Q21=1),C22-D21)+IF(AND(Q22=1,Q23=1),E22-D23)+IF(AND(Q22=1,Q24=1),F22-D24)+IF(AND(Q22=1,Q25=1),G22-D25)+IF(AND(Q22=2,Q21=2),C22-D21)+IF(AND(Q22=2,Q23=2),E22-D23)+IF(AND(Q22=2,Q24=2),F22-D24)+IF(AND(Q22=2,Q25=2),G22-D25)+IF(AND(Q22=3,Q21=3),C22-D21)+IF(AND(Q22=3,Q23=3),E22-D23)+IF(AND(Q22=3,Q24=3),F22-D24)+IF(AND(Q22=3,Q25=3),G22-D25)+IF(AND(Q22=4,Q21=4),C22-D21)+IF(AND(Q22=4,Q23=4),E22-D23)+IF(AND(Q22=4,Q24=4),F22-D24)+IF(AND(Q22=4,Q25=4),G22-D25)</f>
        <v>0</v>
      </c>
      <c r="M22" s="483">
        <f>SUM(AND(R22=R21,C22&gt;D21),AND(R22=R23,E22&gt;D23),AND(R22=R24,F22&gt;D24),AND(R22=R25,G22&gt;D25))</f>
        <v>0</v>
      </c>
      <c r="N22" s="537" t="str">
        <f>SUM(C22:G22)&amp;"-"&amp;SUM(D21:D25)</f>
        <v>20-26</v>
      </c>
      <c r="O22" s="538">
        <f>C22+E22+F22+G22-D21-D23-D24-D25</f>
        <v>-6</v>
      </c>
      <c r="P22" s="485">
        <f>SUM(C22:G22,D21:D25)/SUM(D21:D25)</f>
        <v>1.7692307692307692</v>
      </c>
      <c r="Q22" s="491">
        <f>VALUE(LEFT(H22,1))</f>
        <v>0</v>
      </c>
      <c r="R22" s="321">
        <f>Q22*100000+J22*10000+K22*1000+100*L22</f>
        <v>0</v>
      </c>
      <c r="S22" s="486">
        <f>R22+M22*0.1+IF(ISNONTEXT(B22),0,0.01)+0.0001*O22</f>
        <v>9.4000000000000004E-3</v>
      </c>
      <c r="T22" s="487" t="str">
        <f>Q22&amp;J22</f>
        <v>00</v>
      </c>
      <c r="U22" s="477"/>
      <c r="V22" s="477"/>
      <c r="W22" s="477"/>
      <c r="X22" s="477"/>
      <c r="Y22" s="477"/>
      <c r="Z22" s="477"/>
      <c r="AA22" s="477"/>
      <c r="AD22" s="405">
        <f t="shared" si="0"/>
        <v>177</v>
      </c>
      <c r="AE22" s="406" t="str">
        <f>IFERROR(INDEX(V!$R:$R,MATCH(AF22,V!$L:$L,0)),"")</f>
        <v/>
      </c>
      <c r="AF22" s="407" t="str">
        <f t="shared" si="1"/>
        <v>Nadi - Tõnu Kapper</v>
      </c>
      <c r="AG22" s="406" t="str">
        <f>IFERROR(INDEX(V!$R:$R,MATCH(AH22,V!$L:$L,0)),"")</f>
        <v/>
      </c>
      <c r="AH22" s="407" t="str">
        <f t="shared" si="2"/>
        <v>Vello Vasser, Vladimir Ogneštšikov</v>
      </c>
      <c r="AI22" s="406">
        <f>IFERROR(INDEX(V!$R:$R,MATCH(AJ22,V!$L:$L,0)),"")</f>
        <v>25</v>
      </c>
      <c r="AJ22" s="407" t="str">
        <f t="shared" si="3"/>
        <v>Vello Vasser</v>
      </c>
      <c r="AK22" s="406">
        <f>IFERROR(INDEX(V!$R:$R,MATCH(AL22,V!$L:$L,0)),"")</f>
        <v>152</v>
      </c>
      <c r="AL22" s="407" t="str">
        <f t="shared" si="4"/>
        <v>Vladimir Ogneštšikov</v>
      </c>
      <c r="AM22" s="406" t="str">
        <f>IFERROR(INDEX(V!$R:$R,MATCH(AN22,V!$L:$L,0)),"")</f>
        <v/>
      </c>
      <c r="AN22" s="407" t="str">
        <f t="shared" si="5"/>
        <v/>
      </c>
      <c r="AO22" s="406" t="str">
        <f>IFERROR(INDEX(V!$R:$R,MATCH(AP22,V!$L:$L,0)),"")</f>
        <v/>
      </c>
      <c r="AP22" s="407" t="str">
        <f t="shared" si="6"/>
        <v/>
      </c>
    </row>
    <row r="23" spans="1:42" ht="25.5" x14ac:dyDescent="0.2">
      <c r="A23" s="316">
        <v>3</v>
      </c>
      <c r="B23" s="488" t="s">
        <v>549</v>
      </c>
      <c r="C23" s="318">
        <v>11</v>
      </c>
      <c r="D23" s="492">
        <v>13</v>
      </c>
      <c r="E23" s="319"/>
      <c r="F23" s="318"/>
      <c r="G23" s="318"/>
      <c r="H23" s="317" t="str">
        <f>(IF(C23-E21&gt;0,1)+IF(D23-E22&gt;0,1)+IF(F23-E24&gt;0,1)+IF(G23-E25&gt;0,1))&amp;"-"&amp;(IF(C23-E21&lt;0,1)+IF(D23-E22&lt;0,1)+IF(F23-E24&lt;0,1)+IF(G23-E25&lt;0,1))</f>
        <v>1-1</v>
      </c>
      <c r="I23" s="318" t="str">
        <f t="shared" si="7"/>
        <v>C2</v>
      </c>
      <c r="J23" s="489">
        <f>IF(AND(Q23=1,Q21=1,C23&gt;E21),1)+IF(AND(Q23=1,Q22=1,D23&gt;E22),1)+IF(AND(Q23=1,Q24=1,F23&gt;E24),1)+IF(AND(Q23=1,Q25=1,G23&gt;E25),1)+IF(AND(Q23=2,Q21=2,C23&gt;E21),1)+IF(AND(Q23=2,Q22=2,D23&gt;E22),1)+IF(AND(Q23=2,Q24=2,F23&gt;E24),1)+IF(AND(Q23=2,Q25=2,G23&gt;E25),1)+IF(AND(Q23=3,Q21=3,C23&gt;E21),1)+IF(AND(Q23=3,Q22=3,D23&gt;E22),1)+IF(AND(Q23=3,Q24=3,F23&gt;E24),1)+IF(AND(Q23=3,Q25=3,G23&gt;E25),1)</f>
        <v>0</v>
      </c>
      <c r="K23" s="483">
        <f>SUM(AND(T23=T21,C23&gt;E21),AND(T23=T22,D23&gt;E22),AND(T23=T24,F23&gt;E24),AND(T23=T25,G23&gt;E25))</f>
        <v>0</v>
      </c>
      <c r="L23" s="490">
        <f>IF(AND(Q23=1,Q21=1),C23-E21)+IF(AND(Q23=1,Q22=1),D23-E22)+IF(AND(Q23=1,Q24=1),F23-E24)+IF(AND(Q23=1,Q25=1),G23-E25)+IF(AND(Q23=2,Q21=2),C23-E21)+IF(AND(Q23=2,Q22=2),D23-E22)+IF(AND(Q23=2,Q24=2),F23-E24)+IF(AND(Q23=2,Q25=2),G23-E25)+IF(AND(Q23=3,Q21=3),C23-E21)+IF(AND(Q23=3,Q22=3),D23-E22)+IF(AND(Q23=3,Q24=3),F23-E24)+IF(AND(Q23=3,Q25=3),G23-E25)+IF(AND(Q23=4,Q21=4),C23-E21)+IF(AND(Q23=4,Q22=4),D23-E22)+IF(AND(Q23=4,Q24=4),F23-E24)+IF(AND(Q23=4,Q25=4),G23-E25)</f>
        <v>0</v>
      </c>
      <c r="M23" s="483">
        <f>SUM(AND(R23=R21,C23&gt;E21),AND(R23=R22,D23&gt;E22),AND(R23=R24,F23&gt;E24),AND(R23=R25,G23&gt;E25))</f>
        <v>0</v>
      </c>
      <c r="N23" s="537" t="str">
        <f>SUM(C23:G23)&amp;"-"&amp;SUM(E21:E25)</f>
        <v>24-22</v>
      </c>
      <c r="O23" s="538">
        <f>C23+D23+F23+G23-E21-E22-E24-E25</f>
        <v>2</v>
      </c>
      <c r="P23" s="485">
        <f>SUM(C23:G23,E21:E25)/SUM(E21:E25)</f>
        <v>2.0909090909090908</v>
      </c>
      <c r="Q23" s="491">
        <f>VALUE(LEFT(H23,1))</f>
        <v>1</v>
      </c>
      <c r="R23" s="321">
        <f>Q23*100000+J23*10000+K23*1000+100*L23</f>
        <v>100000</v>
      </c>
      <c r="S23" s="486">
        <f>R23+M23*0.1+IF(ISNONTEXT(B23),0,0.01)+0.0001*O23</f>
        <v>100000.01019999999</v>
      </c>
      <c r="T23" s="487" t="str">
        <f>Q23&amp;J23</f>
        <v>10</v>
      </c>
      <c r="U23" s="477"/>
      <c r="V23" s="477"/>
      <c r="W23" s="477"/>
      <c r="X23" s="477"/>
      <c r="Y23" s="477"/>
      <c r="Z23" s="477"/>
      <c r="AA23" s="477"/>
      <c r="AD23" s="405">
        <f t="shared" si="0"/>
        <v>0</v>
      </c>
      <c r="AE23" s="406" t="str">
        <f>IFERROR(INDEX(V!$R:$R,MATCH(AF23,V!$L:$L,0)),"")</f>
        <v/>
      </c>
      <c r="AF23" s="407" t="str">
        <f t="shared" si="1"/>
        <v>Tartu 2 - Aimar Poom</v>
      </c>
      <c r="AG23" s="406" t="str">
        <f>IFERROR(INDEX(V!$R:$R,MATCH(AH23,V!$L:$L,0)),"")</f>
        <v/>
      </c>
      <c r="AH23" s="407" t="str">
        <f t="shared" si="2"/>
        <v>Igor Kostin, Kertu Palm</v>
      </c>
      <c r="AI23" s="406" t="str">
        <f>IFERROR(INDEX(V!$R:$R,MATCH(AJ23,V!$L:$L,0)),"")</f>
        <v/>
      </c>
      <c r="AJ23" s="407" t="str">
        <f t="shared" si="3"/>
        <v>Igor Kostin</v>
      </c>
      <c r="AK23" s="406" t="str">
        <f>IFERROR(INDEX(V!$R:$R,MATCH(AL23,V!$L:$L,0)),"")</f>
        <v/>
      </c>
      <c r="AL23" s="407" t="str">
        <f t="shared" si="4"/>
        <v>Kertu Palm</v>
      </c>
      <c r="AM23" s="406" t="str">
        <f>IFERROR(INDEX(V!$R:$R,MATCH(AN23,V!$L:$L,0)),"")</f>
        <v/>
      </c>
      <c r="AN23" s="407" t="str">
        <f t="shared" si="5"/>
        <v/>
      </c>
      <c r="AO23" s="406" t="str">
        <f>IFERROR(INDEX(V!$R:$R,MATCH(AP23,V!$L:$L,0)),"")</f>
        <v/>
      </c>
      <c r="AP23" s="407" t="str">
        <f t="shared" si="6"/>
        <v/>
      </c>
    </row>
    <row r="24" spans="1:42" hidden="1" x14ac:dyDescent="0.2">
      <c r="A24" s="316">
        <v>4</v>
      </c>
      <c r="B24" s="488"/>
      <c r="C24" s="318"/>
      <c r="D24" s="492"/>
      <c r="E24" s="318"/>
      <c r="F24" s="319"/>
      <c r="G24" s="511"/>
      <c r="H24" s="317" t="str">
        <f>(IF(C24-F21&gt;0,1)+IF(D24-F22&gt;0,1)+IF(E24-F23&gt;0,1)+IF(G24-F25&gt;0,1))&amp;"-"&amp;(IF(C24-F21&lt;0,1)+IF(D24-F22&lt;0,1)+IF(E24-F23&lt;0,1)+IF(G24-F25&lt;0,1))</f>
        <v>0-0</v>
      </c>
      <c r="I24" s="318" t="str">
        <f t="shared" si="7"/>
        <v xml:space="preserve"> </v>
      </c>
      <c r="J24" s="489">
        <f>IF(AND(Q24=1,Q21=1,C24&gt;F21),1)+IF(AND(Q24=1,Q22=1,D24&gt;F22),1)+IF(AND(Q24=1,Q23=1,E24&gt;F23),1)+IF(AND(Q24=1,Q25=1,G24&gt;F25),1)+IF(AND(Q24=2,Q21=2,C24&gt;F21),1)+IF(AND(Q24=2,Q22=2,D24&gt;F22),1)+IF(AND(Q24=2,Q23=2,E24&gt;F23),1)+IF(AND(Q24=2,Q25=2,G24&gt;F25),1)+IF(AND(Q24=3,Q21=3,C24&gt;F21),1)+IF(AND(Q24=3,Q22=3,D24&gt;F22),1)+IF(AND(Q24=3,Q23=3,E24&gt;F23),1)+IF(AND(Q24=3,Q25=3,G24&gt;F25),1)</f>
        <v>0</v>
      </c>
      <c r="K24" s="483">
        <f>SUM(AND(T24=T21,C24&gt;F21),AND(T24=T22,D24&gt;F22),AND(T24=T23,E24&gt;F23),AND(T24=T25,G24&gt;F25))</f>
        <v>0</v>
      </c>
      <c r="L24" s="490">
        <f>IF(AND(Q24=1,Q21=1),C24-F21)+IF(AND(Q24=1,Q22=1),D24-F22)+IF(AND(Q24=1,Q23=1),E24-F23)+IF(AND(Q24=1,Q25=1),G24-F25)+IF(AND(Q24=2,Q21=2),C24-F21)+IF(AND(Q24=2,Q22=2),D24-F22)+IF(AND(Q24=2,Q23=2),E24-F23)+IF(AND(Q24=2,Q25=2),G24-F25)+IF(AND(Q24=3,Q21=3),C24-F21)+IF(AND(Q24=3,Q22=3),D24-F22)+IF(AND(Q24=3,Q23=3),E24-F23)+IF(AND(Q24=3,Q25=3),G24-F25)+IF(AND(Q24=4,Q21=4),C24-F21)+IF(AND(Q24=4,Q22=4),D24-F22)+IF(AND(Q24=4,Q23=4),E24-F23)+IF(AND(Q24=4,Q25=4),G24-F25)</f>
        <v>0</v>
      </c>
      <c r="M24" s="483">
        <f>SUM(AND(R24=R21,C24&gt;F21),AND(R24=R22,D24&gt;F22),AND(R24=R23,E24&gt;F23),AND(R24=R25,G24&gt;F25))</f>
        <v>0</v>
      </c>
      <c r="N24" s="537" t="str">
        <f>SUM(C24:G24)&amp;"-"&amp;SUM(F21:F25)</f>
        <v>0-0</v>
      </c>
      <c r="O24" s="538">
        <f>C24+D24+E24+G24-F21-F22-F23-F25</f>
        <v>0</v>
      </c>
      <c r="P24" s="485" t="e">
        <f>SUM(C24:G24,F21:F25)/SUM(F21:F25)</f>
        <v>#DIV/0!</v>
      </c>
      <c r="Q24" s="491">
        <f>VALUE(LEFT(H24,1))</f>
        <v>0</v>
      </c>
      <c r="R24" s="321">
        <f>Q24*100000+J24*10000+K24*1000+100*L24</f>
        <v>0</v>
      </c>
      <c r="S24" s="486">
        <f>R24+M24*0.1+IF(ISNONTEXT(B24),0,0.01)+0.0001*O24</f>
        <v>0</v>
      </c>
      <c r="T24" s="487" t="str">
        <f>Q24&amp;J24</f>
        <v>00</v>
      </c>
      <c r="U24" s="477"/>
      <c r="V24" s="477"/>
      <c r="W24" s="477"/>
      <c r="X24" s="477"/>
      <c r="Y24" s="477"/>
      <c r="Z24" s="477"/>
      <c r="AA24" s="477"/>
      <c r="AD24" s="405">
        <f t="shared" si="0"/>
        <v>0</v>
      </c>
      <c r="AE24" s="406" t="str">
        <f>IFERROR(INDEX(V!$R:$R,MATCH(AF24,V!$L:$L,0)),"")</f>
        <v/>
      </c>
      <c r="AF24" s="407" t="str">
        <f t="shared" si="1"/>
        <v/>
      </c>
      <c r="AG24" s="406" t="str">
        <f>IFERROR(INDEX(V!$R:$R,MATCH(AH24,V!$L:$L,0)),"")</f>
        <v/>
      </c>
      <c r="AH24" s="407" t="str">
        <f t="shared" si="2"/>
        <v/>
      </c>
      <c r="AI24" s="406" t="str">
        <f>IFERROR(INDEX(V!$R:$R,MATCH(AJ24,V!$L:$L,0)),"")</f>
        <v/>
      </c>
      <c r="AJ24" s="407" t="str">
        <f t="shared" si="3"/>
        <v/>
      </c>
      <c r="AK24" s="406" t="str">
        <f>IFERROR(INDEX(V!$R:$R,MATCH(AL24,V!$L:$L,0)),"")</f>
        <v/>
      </c>
      <c r="AL24" s="407" t="str">
        <f t="shared" si="4"/>
        <v/>
      </c>
      <c r="AM24" s="406" t="str">
        <f>IFERROR(INDEX(V!$R:$R,MATCH(AN24,V!$L:$L,0)),"")</f>
        <v/>
      </c>
      <c r="AN24" s="407" t="str">
        <f t="shared" si="5"/>
        <v/>
      </c>
      <c r="AO24" s="406" t="str">
        <f>IFERROR(INDEX(V!$R:$R,MATCH(AP24,V!$L:$L,0)),"")</f>
        <v/>
      </c>
      <c r="AP24" s="407" t="str">
        <f t="shared" si="6"/>
        <v/>
      </c>
    </row>
    <row r="25" spans="1:42" hidden="1" x14ac:dyDescent="0.2">
      <c r="A25" s="316">
        <v>5</v>
      </c>
      <c r="B25" s="493"/>
      <c r="C25" s="318"/>
      <c r="D25" s="318"/>
      <c r="E25" s="318"/>
      <c r="F25" s="318"/>
      <c r="G25" s="319"/>
      <c r="H25" s="317" t="str">
        <f>(IF(C25-G21&gt;0,1)+IF(D25-G22&gt;0,1)+IF(E25-G23&gt;0,1)+IF(F25-G24&gt;0,1))&amp;"-"&amp;(IF(C25-G21&lt;0,1)+IF(D25-G22&lt;0,1)+IF(E25-G23&lt;0,1)+IF(F25-G24&lt;0,1))</f>
        <v>0-0</v>
      </c>
      <c r="I25" s="318" t="str">
        <f t="shared" si="7"/>
        <v xml:space="preserve"> </v>
      </c>
      <c r="J25" s="489">
        <f>IF(AND(Q25=1,Q21=1,C25&gt;G21),1)+IF(AND(Q25=1,Q22=1,D25&gt;G22),1)+IF(AND(Q25=1,Q23=1,E25&gt;G23),1)+IF(AND(Q25=1,Q24=1,F25&gt;G24),1)+IF(AND(Q25=2,Q21=2,C25&gt;G21),1)+IF(AND(Q25=2,Q22=2,D25&gt;G22),1)+IF(AND(Q25=2,Q23=2,E25&gt;G23),1)+IF(AND(Q25=2,Q24=2,F25&gt;G24),1)+IF(AND(Q25=3,Q21=3,C25&gt;G21),1)+IF(AND(Q25=3,Q22=3,D25&gt;G22),1)+IF(AND(Q25=3,Q23=3,E25&gt;G23),1)+IF(AND(Q25=3,Q24=3,F25&gt;G24),1)</f>
        <v>0</v>
      </c>
      <c r="K25" s="483">
        <f>SUM(AND(T25=T21,C25&gt;G21),AND(T25=T22,D25&gt;G22),AND(T25=T23,E25&gt;G23),AND(T25=T24,F25&gt;G24))</f>
        <v>0</v>
      </c>
      <c r="L25" s="490">
        <f>IF(AND(Q25=1,Q21=1),C25-G21)+IF(AND(Q25=1,Q22=1),D25-G22)+IF(AND(Q25=1,Q23=1),E25-G23)+IF(AND(Q25=1,Q24=1),F25-G24)+IF(AND(Q25=2,Q21=2),C25-G21)+IF(AND(Q25=2,Q22=2),D25-G22)+IF(AND(Q25=2,Q23=2),E25-G23)+IF(AND(Q25=2,Q24=2),F25-G24)+IF(AND(Q25=3,Q21=3),C25-G21)+IF(AND(Q25=3,Q22=3),D25-G22)+IF(AND(Q25=3,Q23=3),E25-G23)+IF(AND(Q25=3,Q24=3),F25-G24)+IF(AND(Q25=4,Q21=4),C25-G21)+IF(AND(Q25=4,Q22=4),D25-G22)+IF(AND(Q25=4,Q23=4),E25-G23)+IF(AND(Q25=4,Q24=4),F25-G24)</f>
        <v>0</v>
      </c>
      <c r="M25" s="483">
        <f>SUM(AND(R25=R21,C25&gt;G21),AND(R25=R22,D25&gt;G22),AND(R25=R23,E25&gt;G23),AND(R25=R24,F25&gt;G24))</f>
        <v>0</v>
      </c>
      <c r="N25" s="537" t="str">
        <f>SUM(C25:G25)&amp;"-"&amp;SUM(G21:G25)</f>
        <v>0-0</v>
      </c>
      <c r="O25" s="538">
        <f>C25+D25+E25+F25-G21-G22-G23-G24</f>
        <v>0</v>
      </c>
      <c r="P25" s="485" t="e">
        <f>SUM(C25:G25,G21:G25)/SUM(G21:G25)</f>
        <v>#DIV/0!</v>
      </c>
      <c r="Q25" s="491">
        <f>VALUE(LEFT(H25,1))</f>
        <v>0</v>
      </c>
      <c r="R25" s="321">
        <f>Q25*100000+J25*10000+K25*1000+100*L25</f>
        <v>0</v>
      </c>
      <c r="S25" s="486">
        <f>R25+M25*0.1+IF(ISNONTEXT(B25),0,0.01)+0.0001*O25</f>
        <v>0</v>
      </c>
      <c r="T25" s="487" t="str">
        <f>Q25&amp;J25</f>
        <v>00</v>
      </c>
      <c r="U25" s="477"/>
      <c r="V25" s="477"/>
      <c r="W25" s="477"/>
      <c r="X25" s="477"/>
      <c r="Y25" s="477"/>
      <c r="Z25" s="477"/>
      <c r="AA25" s="477"/>
      <c r="AD25" s="405">
        <f t="shared" si="0"/>
        <v>0</v>
      </c>
      <c r="AE25" s="406" t="str">
        <f>IFERROR(INDEX(V!$R:$R,MATCH(AF25,V!$L:$L,0)),"")</f>
        <v/>
      </c>
      <c r="AF25" s="407" t="str">
        <f t="shared" si="1"/>
        <v/>
      </c>
      <c r="AG25" s="406" t="str">
        <f>IFERROR(INDEX(V!$R:$R,MATCH(AH25,V!$L:$L,0)),"")</f>
        <v/>
      </c>
      <c r="AH25" s="407" t="str">
        <f t="shared" si="2"/>
        <v/>
      </c>
      <c r="AI25" s="406" t="str">
        <f>IFERROR(INDEX(V!$R:$R,MATCH(AJ25,V!$L:$L,0)),"")</f>
        <v/>
      </c>
      <c r="AJ25" s="407" t="str">
        <f t="shared" si="3"/>
        <v/>
      </c>
      <c r="AK25" s="406" t="str">
        <f>IFERROR(INDEX(V!$R:$R,MATCH(AL25,V!$L:$L,0)),"")</f>
        <v/>
      </c>
      <c r="AL25" s="407" t="str">
        <f t="shared" si="4"/>
        <v/>
      </c>
      <c r="AM25" s="406" t="str">
        <f>IFERROR(INDEX(V!$R:$R,MATCH(AN25,V!$L:$L,0)),"")</f>
        <v/>
      </c>
      <c r="AN25" s="407" t="str">
        <f t="shared" si="5"/>
        <v/>
      </c>
      <c r="AO25" s="406" t="str">
        <f>IFERROR(INDEX(V!$R:$R,MATCH(AP25,V!$L:$L,0)),"")</f>
        <v/>
      </c>
      <c r="AP25" s="407" t="str">
        <f t="shared" si="6"/>
        <v/>
      </c>
    </row>
    <row r="26" spans="1:42" ht="25.5" customHeight="1" x14ac:dyDescent="0.2">
      <c r="A26" s="513"/>
      <c r="B26" s="514"/>
      <c r="C26" s="499"/>
      <c r="D26" s="499"/>
      <c r="E26" s="499"/>
      <c r="F26" s="515"/>
      <c r="G26" s="515"/>
      <c r="H26" s="516"/>
      <c r="I26" s="517"/>
      <c r="J26" s="477"/>
      <c r="K26" s="477"/>
      <c r="L26" s="477"/>
      <c r="M26" s="477"/>
      <c r="N26" s="539"/>
      <c r="O26" s="539"/>
      <c r="P26" s="477"/>
      <c r="Q26" s="477"/>
      <c r="R26" s="502" t="s">
        <v>264</v>
      </c>
      <c r="S26" s="477"/>
      <c r="T26" s="477"/>
      <c r="U26" s="477"/>
      <c r="V26" s="477"/>
      <c r="W26" s="477"/>
      <c r="X26" s="477"/>
      <c r="Y26" s="477"/>
      <c r="Z26" s="477"/>
      <c r="AA26" s="477"/>
      <c r="AD26" s="405">
        <f t="shared" si="0"/>
        <v>0</v>
      </c>
      <c r="AE26" s="406" t="str">
        <f>IFERROR(INDEX(V!$R:$R,MATCH(AF26,V!$L:$L,0)),"")</f>
        <v/>
      </c>
      <c r="AF26" s="407" t="str">
        <f t="shared" si="1"/>
        <v/>
      </c>
      <c r="AG26" s="406" t="str">
        <f>IFERROR(INDEX(V!$R:$R,MATCH(AH26,V!$L:$L,0)),"")</f>
        <v/>
      </c>
      <c r="AH26" s="407" t="str">
        <f t="shared" si="2"/>
        <v/>
      </c>
      <c r="AI26" s="406" t="str">
        <f>IFERROR(INDEX(V!$R:$R,MATCH(AJ26,V!$L:$L,0)),"")</f>
        <v/>
      </c>
      <c r="AJ26" s="407" t="str">
        <f t="shared" si="3"/>
        <v/>
      </c>
      <c r="AK26" s="406" t="str">
        <f>IFERROR(INDEX(V!$R:$R,MATCH(AL26,V!$L:$L,0)),"")</f>
        <v/>
      </c>
      <c r="AL26" s="407" t="str">
        <f t="shared" si="4"/>
        <v/>
      </c>
      <c r="AM26" s="406" t="str">
        <f>IFERROR(INDEX(V!$R:$R,MATCH(AN26,V!$L:$L,0)),"")</f>
        <v/>
      </c>
      <c r="AN26" s="407" t="str">
        <f t="shared" si="5"/>
        <v/>
      </c>
      <c r="AO26" s="406" t="str">
        <f>IFERROR(INDEX(V!$R:$R,MATCH(AP26,V!$L:$L,0)),"")</f>
        <v/>
      </c>
      <c r="AP26" s="407" t="str">
        <f t="shared" si="6"/>
        <v/>
      </c>
    </row>
    <row r="27" spans="1:42" ht="25.5" customHeight="1" x14ac:dyDescent="0.2">
      <c r="A27" s="316" t="s">
        <v>3</v>
      </c>
      <c r="B27" s="503"/>
      <c r="C27" s="467">
        <v>1</v>
      </c>
      <c r="D27" s="467">
        <v>2</v>
      </c>
      <c r="E27" s="467">
        <v>3</v>
      </c>
      <c r="F27" s="467"/>
      <c r="G27" s="467"/>
      <c r="H27" s="468" t="s">
        <v>168</v>
      </c>
      <c r="I27" s="468" t="s">
        <v>169</v>
      </c>
      <c r="J27" s="504" t="s">
        <v>257</v>
      </c>
      <c r="K27" s="505" t="s">
        <v>258</v>
      </c>
      <c r="L27" s="506" t="s">
        <v>259</v>
      </c>
      <c r="M27" s="506" t="s">
        <v>260</v>
      </c>
      <c r="N27" s="472" t="s">
        <v>170</v>
      </c>
      <c r="O27" s="472" t="s">
        <v>170</v>
      </c>
      <c r="P27" s="473" t="s">
        <v>261</v>
      </c>
      <c r="Q27" s="507" t="s">
        <v>21</v>
      </c>
      <c r="R27" s="507" t="b">
        <f>OR(AND(COUNTA(B28:B32)=3,COUNTA(C28:G32)=6),AND(COUNTA(B28:B32)=4,COUNTA(C28:G32)=12),AND(COUNTA(B28:B32)=5,COUNTA(C28:G32)=20))</f>
        <v>1</v>
      </c>
      <c r="S27" s="508" t="s">
        <v>262</v>
      </c>
      <c r="T27" s="509" t="s">
        <v>263</v>
      </c>
      <c r="U27" s="477"/>
      <c r="V27" s="477"/>
      <c r="W27" s="477"/>
      <c r="X27" s="477"/>
      <c r="Y27" s="477"/>
      <c r="Z27" s="477"/>
      <c r="AA27" s="477"/>
      <c r="AD27" s="405">
        <f t="shared" si="0"/>
        <v>0</v>
      </c>
      <c r="AE27" s="406" t="str">
        <f>IFERROR(INDEX(V!$R:$R,MATCH(AF27,V!$L:$L,0)),"")</f>
        <v/>
      </c>
      <c r="AF27" s="407" t="str">
        <f t="shared" si="1"/>
        <v/>
      </c>
      <c r="AG27" s="406" t="str">
        <f>IFERROR(INDEX(V!$R:$R,MATCH(AH27,V!$L:$L,0)),"")</f>
        <v/>
      </c>
      <c r="AH27" s="407" t="str">
        <f t="shared" si="2"/>
        <v/>
      </c>
      <c r="AI27" s="406" t="str">
        <f>IFERROR(INDEX(V!$R:$R,MATCH(AJ27,V!$L:$L,0)),"")</f>
        <v/>
      </c>
      <c r="AJ27" s="407" t="str">
        <f t="shared" si="3"/>
        <v/>
      </c>
      <c r="AK27" s="406" t="str">
        <f>IFERROR(INDEX(V!$R:$R,MATCH(AL27,V!$L:$L,0)),"")</f>
        <v/>
      </c>
      <c r="AL27" s="407" t="str">
        <f t="shared" si="4"/>
        <v/>
      </c>
      <c r="AM27" s="406" t="str">
        <f>IFERROR(INDEX(V!$R:$R,MATCH(AN27,V!$L:$L,0)),"")</f>
        <v/>
      </c>
      <c r="AN27" s="407" t="str">
        <f t="shared" si="5"/>
        <v/>
      </c>
      <c r="AO27" s="406" t="str">
        <f>IFERROR(INDEX(V!$R:$R,MATCH(AP27,V!$L:$L,0)),"")</f>
        <v/>
      </c>
      <c r="AP27" s="407" t="str">
        <f t="shared" si="6"/>
        <v/>
      </c>
    </row>
    <row r="28" spans="1:42" ht="25.5" x14ac:dyDescent="0.2">
      <c r="A28" s="316">
        <v>1</v>
      </c>
      <c r="B28" s="518" t="s">
        <v>559</v>
      </c>
      <c r="C28" s="319"/>
      <c r="D28" s="318">
        <v>1</v>
      </c>
      <c r="E28" s="318">
        <v>3</v>
      </c>
      <c r="F28" s="318"/>
      <c r="G28" s="318"/>
      <c r="H28" s="317" t="str">
        <f>(IF(D28-C29&gt;0,1)+IF(E28-C30&gt;0,1)+IF(F28-C31&gt;0,1)+IF(G28-C32&gt;0,1))&amp;"-"&amp;(IF(D28-C29&lt;0,1)+IF(E28-C30&lt;0,1)+IF(F28-C31&lt;0,1)+IF(G28-C32&lt;0,1))</f>
        <v>0-2</v>
      </c>
      <c r="I28" s="318" t="str">
        <f>IF(AND(B28&lt;&gt;"",R$27=TRUE),A$27&amp;RANK(S28,S$28:S$32,0)," ")</f>
        <v>D3</v>
      </c>
      <c r="J28" s="480">
        <f>IF(AND(Q28=1,Q29=1,D28&gt;C29),1)+IF(AND(Q28=1,Q30=1,E28&gt;C30),1)+IF(AND(Q28=1,Q31=1,F28&gt;C31),1)+IF(AND(Q28=1,Q32=1,G28&gt;C32),1)+IF(AND(Q28=2,Q29=2,D28&gt;C29),1)+IF(AND(Q28=2,Q30=2,E28&gt;C30),1)+IF(AND(Q28=2,Q31=2,F28&gt;C31),1)+IF(AND(Q28=2,Q32=2,G28&gt;C32),1)+IF(AND(Q28=3,Q29=3,D28&gt;C29),1)+IF(AND(Q28=3,Q30=3,E28&gt;C30),1)+IF(AND(Q28=3,Q31=3,F28&gt;C31),1)+IF(AND(Q28=3,Q32=3,G28&gt;C32),1)</f>
        <v>0</v>
      </c>
      <c r="K28" s="481">
        <f>SUM(AND(T28=T29,D28&gt;C29),AND(T28=T30,E28&gt;C30),AND(T28=T31,F28&gt;C31),AND(T28=T32,G28&gt;C32))</f>
        <v>0</v>
      </c>
      <c r="L28" s="482">
        <f>IF(AND(Q28=1,Q29=1),D28-C29)+IF(AND(Q28=1,Q30=1),E28-C30)+IF(AND(Q28=1,Q31=1),F28-C31)+IF(AND(Q28=1,Q32=1),G28-C32)+IF(AND(Q28=2,Q29=2),D28-C29)+IF(AND(Q28=2,Q30=2),E28-C30)+IF(AND(Q28=2,Q31=2),F28-C31)+IF(AND(Q28=2,Q32=2),G28-C32)+IF(AND(Q28=3,Q29=3),D28-C29)+IF(AND(Q28=3,Q30=3),E28-C30)+IF(AND(Q28=3,Q31=3),F28-C31)+IF(AND(Q28=3,Q32=3),G28-C32)+IF(AND(Q28=4,Q29=4),D28-C29)+IF(AND(Q28=4,Q30=4),E28-C30)+IF(AND(Q28=4,Q31=4),F28-C31)+IF(AND(Q28=4,Q32=4),G28-C32)</f>
        <v>0</v>
      </c>
      <c r="M28" s="483">
        <f>SUM(AND(R28=R29,D28&gt;C29),AND(R28=R30,E28&gt;C30),AND(R28=R31,F28&gt;C31),AND(R28=R32,G28&gt;C32))</f>
        <v>0</v>
      </c>
      <c r="N28" s="537" t="str">
        <f>SUM(C28:G28)&amp;"-"&amp;SUM(C28:C32)</f>
        <v>4-26</v>
      </c>
      <c r="O28" s="538">
        <f>D28+E28+F28+G28-C29-C30-C31-C32</f>
        <v>-22</v>
      </c>
      <c r="P28" s="485">
        <f>SUM(C28:G28,C28:C32)/SUM(C28:C32)</f>
        <v>1.1538461538461537</v>
      </c>
      <c r="Q28" s="320">
        <f>VALUE(LEFT(H28,1))</f>
        <v>0</v>
      </c>
      <c r="R28" s="321">
        <f>Q28*100000+J28*10000+K28*1000+100*L28</f>
        <v>0</v>
      </c>
      <c r="S28" s="486">
        <f>R28+M28*0.1+IF(ISNONTEXT(B28),0,0.01)+0.0001*O28</f>
        <v>7.7999999999999996E-3</v>
      </c>
      <c r="T28" s="487" t="str">
        <f>Q28&amp;J28</f>
        <v>00</v>
      </c>
      <c r="U28" s="477"/>
      <c r="V28" s="477"/>
      <c r="W28" s="477"/>
      <c r="X28" s="477"/>
      <c r="Y28" s="477"/>
      <c r="Z28" s="477"/>
      <c r="AA28" s="477"/>
      <c r="AD28" s="405">
        <f t="shared" si="0"/>
        <v>10</v>
      </c>
      <c r="AE28" s="406" t="str">
        <f>IFERROR(INDEX(V!$R:$R,MATCH(AF28,V!$L:$L,0)),"")</f>
        <v/>
      </c>
      <c r="AF28" s="407" t="str">
        <f t="shared" si="1"/>
        <v>Tartu juuniorid - Aurelia Meldre</v>
      </c>
      <c r="AG28" s="406" t="str">
        <f>IFERROR(INDEX(V!$R:$R,MATCH(AH28,V!$L:$L,0)),"")</f>
        <v/>
      </c>
      <c r="AH28" s="407" t="str">
        <f t="shared" si="2"/>
        <v>Daniel Lehtsaar, Roland Põld</v>
      </c>
      <c r="AI28" s="406">
        <f>IFERROR(INDEX(V!$R:$R,MATCH(AJ28,V!$L:$L,0)),"")</f>
        <v>5</v>
      </c>
      <c r="AJ28" s="407" t="str">
        <f t="shared" si="3"/>
        <v>Daniel Lehtsaar</v>
      </c>
      <c r="AK28" s="406">
        <f>IFERROR(INDEX(V!$R:$R,MATCH(AL28,V!$L:$L,0)),"")</f>
        <v>5</v>
      </c>
      <c r="AL28" s="407" t="str">
        <f t="shared" si="4"/>
        <v>Roland Põld</v>
      </c>
      <c r="AM28" s="406" t="str">
        <f>IFERROR(INDEX(V!$R:$R,MATCH(AN28,V!$L:$L,0)),"")</f>
        <v/>
      </c>
      <c r="AN28" s="407" t="str">
        <f t="shared" si="5"/>
        <v/>
      </c>
      <c r="AO28" s="406" t="str">
        <f>IFERROR(INDEX(V!$R:$R,MATCH(AP28,V!$L:$L,0)),"")</f>
        <v/>
      </c>
      <c r="AP28" s="407" t="str">
        <f t="shared" si="6"/>
        <v/>
      </c>
    </row>
    <row r="29" spans="1:42" ht="25.5" x14ac:dyDescent="0.2">
      <c r="A29" s="316">
        <v>2</v>
      </c>
      <c r="B29" s="488" t="s">
        <v>560</v>
      </c>
      <c r="C29" s="318">
        <v>13</v>
      </c>
      <c r="D29" s="319"/>
      <c r="E29" s="318">
        <v>13</v>
      </c>
      <c r="F29" s="318"/>
      <c r="G29" s="318"/>
      <c r="H29" s="317" t="str">
        <f>(IF(C29-D28&gt;0,1)+IF(E29-D30&gt;0,1)+IF(F29-D31&gt;0,1)+IF(G29-D32&gt;0,1))&amp;"-"&amp;(IF(C29-D28&lt;0,1)+IF(E29-D30&lt;0,1)+IF(F29-D31&lt;0,1)+IF(G29-D32&lt;0,1))</f>
        <v>2-0</v>
      </c>
      <c r="I29" s="318" t="str">
        <f t="shared" ref="I29:I32" si="8">IF(AND(B29&lt;&gt;"",R$27=TRUE),A$27&amp;RANK(S29,S$28:S$32,0)," ")</f>
        <v>D1</v>
      </c>
      <c r="J29" s="489">
        <f>IF(AND(Q29=1,Q28=1,C29&gt;D28),1)+IF(AND(Q29=1,Q30=1,E29&gt;D30),1)+IF(AND(Q29=1,Q31=1,F29&gt;D31),1)+IF(AND(Q29=1,Q32=1,G29&gt;D32),1)+IF(AND(Q29=2,Q28=2,C29&gt;D28),1)+IF(AND(Q29=2,Q30=2,E29&gt;D30),1)+IF(AND(Q29=2,Q31=2,F29&gt;D31),1)+IF(AND(Q29=2,Q32=2,G29&gt;D32),1)+IF(AND(Q29=3,Q28=3,C29&gt;D28),1)+IF(AND(Q29=3,Q30=3,E29&gt;D30),1)+IF(AND(Q29=3,Q31=3,F29&gt;D31),1)+IF(AND(Q29=3,Q32=3,G29&gt;D32),1)</f>
        <v>0</v>
      </c>
      <c r="K29" s="483">
        <f>SUM(AND(T29=T28,C29&gt;D28),AND(T29=T30,E29&gt;D30),AND(T29=T31,F29&gt;D31),AND(T29=T32,G29&gt;D32))</f>
        <v>0</v>
      </c>
      <c r="L29" s="490">
        <f>IF(AND(Q29=1,Q28=1),C29-D28)+IF(AND(Q29=1,Q30=1),E29-D30)+IF(AND(Q29=1,Q31=1),F29-D31)+IF(AND(Q29=1,Q32=1),G29-D32)+IF(AND(Q29=2,Q28=2),C29-D28)+IF(AND(Q29=2,Q30=2),E29-D30)+IF(AND(Q29=2,Q31=2),F29-D31)+IF(AND(Q29=2,Q32=2),G29-D32)+IF(AND(Q29=3,Q28=3),C29-D28)+IF(AND(Q29=3,Q30=3),E29-D30)+IF(AND(Q29=3,Q31=3),F29-D31)+IF(AND(Q29=3,Q32=3),G29-D32)+IF(AND(Q29=4,Q28=4),C29-D28)+IF(AND(Q29=4,Q30=4),E29-D30)+IF(AND(Q29=4,Q31=4),F29-D31)+IF(AND(Q29=4,Q32=4),G29-D32)</f>
        <v>0</v>
      </c>
      <c r="M29" s="483">
        <f>SUM(AND(R29=R28,C29&gt;D28),AND(R29=R30,E29&gt;D30),AND(R29=R31,F29&gt;D31),AND(R29=R32,G29&gt;D32))</f>
        <v>0</v>
      </c>
      <c r="N29" s="537" t="str">
        <f>SUM(C29:G29)&amp;"-"&amp;SUM(D28:D32)</f>
        <v>26-4</v>
      </c>
      <c r="O29" s="538">
        <f>C29+E29+F29+G29-D28-D30-D31-D32</f>
        <v>22</v>
      </c>
      <c r="P29" s="485">
        <f>SUM(C29:G29,D28:D32)/SUM(D28:D32)</f>
        <v>7.5</v>
      </c>
      <c r="Q29" s="491">
        <f>VALUE(LEFT(H29,1))</f>
        <v>2</v>
      </c>
      <c r="R29" s="321">
        <f>Q29*100000+J29*10000+K29*1000+100*L29</f>
        <v>200000</v>
      </c>
      <c r="S29" s="486">
        <f>R29+M29*0.1+IF(ISNONTEXT(B29),0,0.01)+0.0001*O29</f>
        <v>200000.0122</v>
      </c>
      <c r="T29" s="487" t="str">
        <f>Q29&amp;J29</f>
        <v>20</v>
      </c>
      <c r="U29" s="477"/>
      <c r="V29" s="477"/>
      <c r="W29" s="477"/>
      <c r="X29" s="477"/>
      <c r="Y29" s="477"/>
      <c r="Z29" s="477"/>
      <c r="AA29" s="477"/>
      <c r="AD29" s="405">
        <f t="shared" si="0"/>
        <v>224</v>
      </c>
      <c r="AE29" s="406" t="str">
        <f>IFERROR(INDEX(V!$R:$R,MATCH(AF29,V!$L:$L,0)),"")</f>
        <v/>
      </c>
      <c r="AF29" s="407" t="str">
        <f t="shared" si="1"/>
        <v>Narvakad - Argo Sepp</v>
      </c>
      <c r="AG29" s="406" t="str">
        <f>IFERROR(INDEX(V!$R:$R,MATCH(AH29,V!$L:$L,0)),"")</f>
        <v/>
      </c>
      <c r="AH29" s="407" t="str">
        <f t="shared" si="2"/>
        <v>Ljudmila Varendi, Viktor Švarõgin</v>
      </c>
      <c r="AI29" s="406">
        <f>IFERROR(INDEX(V!$R:$R,MATCH(AJ29,V!$L:$L,0)),"")</f>
        <v>112</v>
      </c>
      <c r="AJ29" s="407" t="str">
        <f t="shared" si="3"/>
        <v>Ljudmila Varendi</v>
      </c>
      <c r="AK29" s="406">
        <f>IFERROR(INDEX(V!$R:$R,MATCH(AL29,V!$L:$L,0)),"")</f>
        <v>112</v>
      </c>
      <c r="AL29" s="407" t="str">
        <f t="shared" si="4"/>
        <v>Viktor Švarõgin</v>
      </c>
      <c r="AM29" s="406" t="str">
        <f>IFERROR(INDEX(V!$R:$R,MATCH(AN29,V!$L:$L,0)),"")</f>
        <v/>
      </c>
      <c r="AN29" s="407" t="str">
        <f t="shared" si="5"/>
        <v/>
      </c>
      <c r="AO29" s="406" t="str">
        <f>IFERROR(INDEX(V!$R:$R,MATCH(AP29,V!$L:$L,0)),"")</f>
        <v/>
      </c>
      <c r="AP29" s="407" t="str">
        <f t="shared" si="6"/>
        <v/>
      </c>
    </row>
    <row r="30" spans="1:42" ht="25.5" x14ac:dyDescent="0.2">
      <c r="A30" s="316">
        <v>3</v>
      </c>
      <c r="B30" s="488" t="s">
        <v>561</v>
      </c>
      <c r="C30" s="318">
        <v>13</v>
      </c>
      <c r="D30" s="492">
        <v>3</v>
      </c>
      <c r="E30" s="319"/>
      <c r="F30" s="318"/>
      <c r="G30" s="318"/>
      <c r="H30" s="317" t="str">
        <f>(IF(C30-E28&gt;0,1)+IF(D30-E29&gt;0,1)+IF(F30-E31&gt;0,1)+IF(G30-E32&gt;0,1))&amp;"-"&amp;(IF(C30-E28&lt;0,1)+IF(D30-E29&lt;0,1)+IF(F30-E31&lt;0,1)+IF(G30-E32&lt;0,1))</f>
        <v>1-1</v>
      </c>
      <c r="I30" s="318" t="str">
        <f t="shared" si="8"/>
        <v>D2</v>
      </c>
      <c r="J30" s="489">
        <f>IF(AND(Q30=1,Q28=1,C30&gt;E28),1)+IF(AND(Q30=1,Q29=1,D30&gt;E29),1)+IF(AND(Q30=1,Q31=1,F30&gt;E31),1)+IF(AND(Q30=1,Q32=1,G30&gt;E32),1)+IF(AND(Q30=2,Q28=2,C30&gt;E28),1)+IF(AND(Q30=2,Q29=2,D30&gt;E29),1)+IF(AND(Q30=2,Q31=2,F30&gt;E31),1)+IF(AND(Q30=2,Q32=2,G30&gt;E32),1)+IF(AND(Q30=3,Q28=3,C30&gt;E28),1)+IF(AND(Q30=3,Q29=3,D30&gt;E29),1)+IF(AND(Q30=3,Q31=3,F30&gt;E31),1)+IF(AND(Q30=3,Q32=3,G30&gt;E32),1)</f>
        <v>0</v>
      </c>
      <c r="K30" s="483">
        <f>SUM(AND(T30=T28,C30&gt;E28),AND(T30=T29,D30&gt;E29),AND(T30=T31,F30&gt;E31),AND(T30=T32,G30&gt;E32))</f>
        <v>0</v>
      </c>
      <c r="L30" s="490">
        <f>IF(AND(Q30=1,Q28=1),C30-E28)+IF(AND(Q30=1,Q29=1),D30-E29)+IF(AND(Q30=1,Q31=1),F30-E31)+IF(AND(Q30=1,Q32=1),G30-E32)+IF(AND(Q30=2,Q28=2),C30-E28)+IF(AND(Q30=2,Q29=2),D30-E29)+IF(AND(Q30=2,Q31=2),F30-E31)+IF(AND(Q30=2,Q32=2),G30-E32)+IF(AND(Q30=3,Q28=3),C30-E28)+IF(AND(Q30=3,Q29=3),D30-E29)+IF(AND(Q30=3,Q31=3),F30-E31)+IF(AND(Q30=3,Q32=3),G30-E32)+IF(AND(Q30=4,Q28=4),C30-E28)+IF(AND(Q30=4,Q29=4),D30-E29)+IF(AND(Q30=4,Q31=4),F30-E31)+IF(AND(Q30=4,Q32=4),G30-E32)</f>
        <v>0</v>
      </c>
      <c r="M30" s="483">
        <f>SUM(AND(R30=R28,C30&gt;E28),AND(R30=R29,D30&gt;E29),AND(R30=R31,F30&gt;E31),AND(R30=R32,G30&gt;E32))</f>
        <v>0</v>
      </c>
      <c r="N30" s="537" t="str">
        <f>SUM(C30:G30)&amp;"-"&amp;SUM(E28:E32)</f>
        <v>16-16</v>
      </c>
      <c r="O30" s="538">
        <f>C30+D30+F30+G30-E28-E29-E31-E32</f>
        <v>0</v>
      </c>
      <c r="P30" s="485">
        <f>SUM(C30:G30,E28:E32)/SUM(E28:E32)</f>
        <v>2</v>
      </c>
      <c r="Q30" s="491">
        <f>VALUE(LEFT(H30,1))</f>
        <v>1</v>
      </c>
      <c r="R30" s="321">
        <f>Q30*100000+J30*10000+K30*1000+100*L30</f>
        <v>100000</v>
      </c>
      <c r="S30" s="486">
        <f>R30+M30*0.1+IF(ISNONTEXT(B30),0,0.01)+0.0001*O30</f>
        <v>100000.01</v>
      </c>
      <c r="T30" s="487" t="str">
        <f>Q30&amp;J30</f>
        <v>10</v>
      </c>
      <c r="U30" s="477"/>
      <c r="V30" s="477"/>
      <c r="W30" s="477"/>
      <c r="X30" s="477"/>
      <c r="Y30" s="477"/>
      <c r="Z30" s="477"/>
      <c r="AA30" s="477"/>
      <c r="AD30" s="405">
        <f t="shared" si="0"/>
        <v>149</v>
      </c>
      <c r="AE30" s="406" t="str">
        <f>IFERROR(INDEX(V!$R:$R,MATCH(AF30,V!$L:$L,0)),"")</f>
        <v/>
      </c>
      <c r="AF30" s="407" t="str">
        <f t="shared" si="1"/>
        <v>Ennud - Enn Tokman</v>
      </c>
      <c r="AG30" s="406" t="str">
        <f>IFERROR(INDEX(V!$R:$R,MATCH(AH30,V!$L:$L,0)),"")</f>
        <v/>
      </c>
      <c r="AH30" s="407" t="str">
        <f t="shared" si="2"/>
        <v>Jaan Saar, Peep Peenema</v>
      </c>
      <c r="AI30" s="406">
        <f>IFERROR(INDEX(V!$R:$R,MATCH(AJ30,V!$L:$L,0)),"")</f>
        <v>81</v>
      </c>
      <c r="AJ30" s="407" t="str">
        <f t="shared" si="3"/>
        <v>Jaan Saar</v>
      </c>
      <c r="AK30" s="406">
        <f>IFERROR(INDEX(V!$R:$R,MATCH(AL30,V!$L:$L,0)),"")</f>
        <v>68</v>
      </c>
      <c r="AL30" s="407" t="str">
        <f t="shared" si="4"/>
        <v>Peep Peenema</v>
      </c>
      <c r="AM30" s="406" t="str">
        <f>IFERROR(INDEX(V!$R:$R,MATCH(AN30,V!$L:$L,0)),"")</f>
        <v/>
      </c>
      <c r="AN30" s="407" t="str">
        <f t="shared" si="5"/>
        <v/>
      </c>
      <c r="AO30" s="406" t="str">
        <f>IFERROR(INDEX(V!$R:$R,MATCH(AP30,V!$L:$L,0)),"")</f>
        <v/>
      </c>
      <c r="AP30" s="407" t="str">
        <f t="shared" si="6"/>
        <v/>
      </c>
    </row>
    <row r="31" spans="1:42" hidden="1" x14ac:dyDescent="0.2">
      <c r="A31" s="316">
        <v>4</v>
      </c>
      <c r="B31" s="493"/>
      <c r="C31" s="318"/>
      <c r="D31" s="492"/>
      <c r="E31" s="318"/>
      <c r="F31" s="319"/>
      <c r="G31" s="511"/>
      <c r="H31" s="317" t="str">
        <f>(IF(C31-F28&gt;0,1)+IF(D31-F29&gt;0,1)+IF(E31-F30&gt;0,1)+IF(G31-F32&gt;0,1))&amp;"-"&amp;(IF(C31-F28&lt;0,1)+IF(D31-F29&lt;0,1)+IF(E31-F30&lt;0,1)+IF(G31-F32&lt;0,1))</f>
        <v>0-0</v>
      </c>
      <c r="I31" s="318" t="str">
        <f t="shared" si="8"/>
        <v xml:space="preserve"> </v>
      </c>
      <c r="J31" s="489">
        <f>IF(AND(Q31=1,Q28=1,C31&gt;F28),1)+IF(AND(Q31=1,Q29=1,D31&gt;F29),1)+IF(AND(Q31=1,Q30=1,E31&gt;F30),1)+IF(AND(Q31=1,Q32=1,G31&gt;F32),1)+IF(AND(Q31=2,Q28=2,C31&gt;F28),1)+IF(AND(Q31=2,Q29=2,D31&gt;F29),1)+IF(AND(Q31=2,Q30=2,E31&gt;F30),1)+IF(AND(Q31=2,Q32=2,G31&gt;F32),1)+IF(AND(Q31=3,Q28=3,C31&gt;F28),1)+IF(AND(Q31=3,Q29=3,D31&gt;F29),1)+IF(AND(Q31=3,Q30=3,E31&gt;F30),1)+IF(AND(Q31=3,Q32=3,G31&gt;F32),1)</f>
        <v>0</v>
      </c>
      <c r="K31" s="483">
        <f>SUM(AND(T31=T28,C31&gt;F28),AND(T31=T29,D31&gt;F29),AND(T31=T30,E31&gt;F30),AND(T31=T32,G31&gt;F32))</f>
        <v>0</v>
      </c>
      <c r="L31" s="490">
        <f>IF(AND(Q31=1,Q28=1),C31-F28)+IF(AND(Q31=1,Q29=1),D31-F29)+IF(AND(Q31=1,Q30=1),E31-F30)+IF(AND(Q31=1,Q32=1),G31-F32)+IF(AND(Q31=2,Q28=2),C31-F28)+IF(AND(Q31=2,Q29=2),D31-F29)+IF(AND(Q31=2,Q30=2),E31-F30)+IF(AND(Q31=2,Q32=2),G31-F32)+IF(AND(Q31=3,Q28=3),C31-F28)+IF(AND(Q31=3,Q29=3),D31-F29)+IF(AND(Q31=3,Q30=3),E31-F30)+IF(AND(Q31=3,Q32=3),G31-F32)+IF(AND(Q31=4,Q28=4),C31-F28)+IF(AND(Q31=4,Q29=4),D31-F29)+IF(AND(Q31=4,Q30=4),E31-F30)+IF(AND(Q31=4,Q32=4),G31-F32)</f>
        <v>0</v>
      </c>
      <c r="M31" s="483">
        <f>SUM(AND(R31=R28,C31&gt;F28),AND(R31=R29,D31&gt;F29),AND(R31=R30,E31&gt;F30),AND(R31=R32,G31&gt;F32))</f>
        <v>0</v>
      </c>
      <c r="N31" s="537" t="str">
        <f>SUM(C31:G31)&amp;"-"&amp;SUM(F28:F32)</f>
        <v>0-0</v>
      </c>
      <c r="O31" s="538">
        <f>C31+D31+E31+G31-F28-F29-F30-F32</f>
        <v>0</v>
      </c>
      <c r="P31" s="485" t="e">
        <f>SUM(C31:G31,F28:F32)/SUM(F28:F32)</f>
        <v>#DIV/0!</v>
      </c>
      <c r="Q31" s="491">
        <f>VALUE(LEFT(H31,1))</f>
        <v>0</v>
      </c>
      <c r="R31" s="321">
        <f>Q31*100000+J31*10000+K31*1000+100*L31</f>
        <v>0</v>
      </c>
      <c r="S31" s="486">
        <f>R31+M31*0.1+IF(ISNONTEXT(B31),0,0.01)+0.0001*O31</f>
        <v>0</v>
      </c>
      <c r="T31" s="487" t="str">
        <f>Q31&amp;J31</f>
        <v>00</v>
      </c>
      <c r="U31" s="477"/>
      <c r="V31" s="477"/>
      <c r="W31" s="477"/>
      <c r="X31" s="477"/>
      <c r="Y31" s="477"/>
      <c r="Z31" s="477"/>
      <c r="AA31" s="477"/>
      <c r="AD31" s="405">
        <f t="shared" si="0"/>
        <v>0</v>
      </c>
      <c r="AE31" s="406" t="str">
        <f>IFERROR(INDEX(V!$R:$R,MATCH(AF31,V!$L:$L,0)),"")</f>
        <v/>
      </c>
      <c r="AF31" s="407" t="str">
        <f t="shared" si="1"/>
        <v/>
      </c>
      <c r="AG31" s="406" t="str">
        <f>IFERROR(INDEX(V!$R:$R,MATCH(AH31,V!$L:$L,0)),"")</f>
        <v/>
      </c>
      <c r="AH31" s="407" t="str">
        <f t="shared" si="2"/>
        <v/>
      </c>
      <c r="AI31" s="406" t="str">
        <f>IFERROR(INDEX(V!$R:$R,MATCH(AJ31,V!$L:$L,0)),"")</f>
        <v/>
      </c>
      <c r="AJ31" s="407" t="str">
        <f t="shared" si="3"/>
        <v/>
      </c>
      <c r="AK31" s="406" t="str">
        <f>IFERROR(INDEX(V!$R:$R,MATCH(AL31,V!$L:$L,0)),"")</f>
        <v/>
      </c>
      <c r="AL31" s="407" t="str">
        <f t="shared" si="4"/>
        <v/>
      </c>
      <c r="AM31" s="406" t="str">
        <f>IFERROR(INDEX(V!$R:$R,MATCH(AN31,V!$L:$L,0)),"")</f>
        <v/>
      </c>
      <c r="AN31" s="407" t="str">
        <f t="shared" si="5"/>
        <v/>
      </c>
      <c r="AO31" s="406" t="str">
        <f>IFERROR(INDEX(V!$R:$R,MATCH(AP31,V!$L:$L,0)),"")</f>
        <v/>
      </c>
      <c r="AP31" s="407" t="str">
        <f t="shared" si="6"/>
        <v/>
      </c>
    </row>
    <row r="32" spans="1:42" hidden="1" x14ac:dyDescent="0.2">
      <c r="A32" s="316">
        <v>5</v>
      </c>
      <c r="B32" s="493"/>
      <c r="C32" s="318"/>
      <c r="D32" s="318"/>
      <c r="E32" s="318"/>
      <c r="F32" s="318"/>
      <c r="G32" s="319"/>
      <c r="H32" s="317" t="str">
        <f>(IF(C32-G28&gt;0,1)+IF(D32-G29&gt;0,1)+IF(E32-G30&gt;0,1)+IF(F32-G31&gt;0,1))&amp;"-"&amp;(IF(C32-G28&lt;0,1)+IF(D32-G29&lt;0,1)+IF(E32-G30&lt;0,1)+IF(F32-G31&lt;0,1))</f>
        <v>0-0</v>
      </c>
      <c r="I32" s="318" t="str">
        <f t="shared" si="8"/>
        <v xml:space="preserve"> </v>
      </c>
      <c r="J32" s="489">
        <f>IF(AND(Q32=1,Q28=1,C32&gt;G28),1)+IF(AND(Q32=1,Q29=1,D32&gt;G29),1)+IF(AND(Q32=1,Q30=1,E32&gt;G30),1)+IF(AND(Q32=1,Q31=1,F32&gt;G31),1)+IF(AND(Q32=2,Q28=2,C32&gt;G28),1)+IF(AND(Q32=2,Q29=2,D32&gt;G29),1)+IF(AND(Q32=2,Q30=2,E32&gt;G30),1)+IF(AND(Q32=2,Q31=2,F32&gt;G31),1)+IF(AND(Q32=3,Q28=3,C32&gt;G28),1)+IF(AND(Q32=3,Q29=3,D32&gt;G29),1)+IF(AND(Q32=3,Q30=3,E32&gt;G30),1)+IF(AND(Q32=3,Q31=3,F32&gt;G31),1)</f>
        <v>0</v>
      </c>
      <c r="K32" s="483">
        <f>SUM(AND(T32=T28,C32&gt;G28),AND(T32=T29,D32&gt;G29),AND(T32=T30,E32&gt;G30),AND(T32=T31,F32&gt;G31))</f>
        <v>0</v>
      </c>
      <c r="L32" s="490">
        <f>IF(AND(Q32=1,Q28=1),C32-G28)+IF(AND(Q32=1,Q29=1),D32-G29)+IF(AND(Q32=1,Q30=1),E32-G30)+IF(AND(Q32=1,Q31=1),F32-G31)+IF(AND(Q32=2,Q28=2),C32-G28)+IF(AND(Q32=2,Q29=2),D32-G29)+IF(AND(Q32=2,Q30=2),E32-G30)+IF(AND(Q32=2,Q31=2),F32-G31)+IF(AND(Q32=3,Q28=3),C32-G28)+IF(AND(Q32=3,Q29=3),D32-G29)+IF(AND(Q32=3,Q30=3),E32-G30)+IF(AND(Q32=3,Q31=3),F32-G31)+IF(AND(Q32=4,Q28=4),C32-G28)+IF(AND(Q32=4,Q29=4),D32-G29)+IF(AND(Q32=4,Q30=4),E32-G30)+IF(AND(Q32=4,Q31=4),F32-G31)</f>
        <v>0</v>
      </c>
      <c r="M32" s="483">
        <f>SUM(AND(R32=R28,C32&gt;G28),AND(R32=R29,D32&gt;G29),AND(R32=R30,E32&gt;G30),AND(R32=R31,F32&gt;G31))</f>
        <v>0</v>
      </c>
      <c r="N32" s="537" t="str">
        <f>SUM(C32:G32)&amp;"-"&amp;SUM(G28:G32)</f>
        <v>0-0</v>
      </c>
      <c r="O32" s="538">
        <f>C32+D32+E32+F32-G28-G29-G30-G31</f>
        <v>0</v>
      </c>
      <c r="P32" s="485" t="e">
        <f>SUM(C32:G32,G28:G32)/SUM(G28:G32)</f>
        <v>#DIV/0!</v>
      </c>
      <c r="Q32" s="491">
        <f>VALUE(LEFT(H32,1))</f>
        <v>0</v>
      </c>
      <c r="R32" s="321">
        <f>Q32*100000+J32*10000+K32*1000+100*L32</f>
        <v>0</v>
      </c>
      <c r="S32" s="486">
        <f>R32+M32*0.1+IF(ISNONTEXT(B32),0,0.01)+0.0001*O32</f>
        <v>0</v>
      </c>
      <c r="T32" s="487" t="str">
        <f>Q32&amp;J32</f>
        <v>00</v>
      </c>
      <c r="U32" s="477"/>
      <c r="V32" s="477"/>
      <c r="W32" s="477"/>
      <c r="X32" s="477"/>
      <c r="Y32" s="477"/>
      <c r="Z32" s="477"/>
      <c r="AA32" s="477"/>
      <c r="AD32" s="405">
        <f t="shared" si="0"/>
        <v>0</v>
      </c>
      <c r="AE32" s="406" t="str">
        <f>IFERROR(INDEX(V!$R:$R,MATCH(AF32,V!$L:$L,0)),"")</f>
        <v/>
      </c>
      <c r="AF32" s="407" t="str">
        <f t="shared" si="1"/>
        <v/>
      </c>
      <c r="AG32" s="406" t="str">
        <f>IFERROR(INDEX(V!$R:$R,MATCH(AH32,V!$L:$L,0)),"")</f>
        <v/>
      </c>
      <c r="AH32" s="407" t="str">
        <f t="shared" si="2"/>
        <v/>
      </c>
      <c r="AI32" s="406" t="str">
        <f>IFERROR(INDEX(V!$R:$R,MATCH(AJ32,V!$L:$L,0)),"")</f>
        <v/>
      </c>
      <c r="AJ32" s="407" t="str">
        <f t="shared" si="3"/>
        <v/>
      </c>
      <c r="AK32" s="406" t="str">
        <f>IFERROR(INDEX(V!$R:$R,MATCH(AL32,V!$L:$L,0)),"")</f>
        <v/>
      </c>
      <c r="AL32" s="407" t="str">
        <f t="shared" si="4"/>
        <v/>
      </c>
      <c r="AM32" s="406" t="str">
        <f>IFERROR(INDEX(V!$R:$R,MATCH(AN32,V!$L:$L,0)),"")</f>
        <v/>
      </c>
      <c r="AN32" s="407" t="str">
        <f t="shared" si="5"/>
        <v/>
      </c>
      <c r="AO32" s="406" t="str">
        <f>IFERROR(INDEX(V!$R:$R,MATCH(AP32,V!$L:$L,0)),"")</f>
        <v/>
      </c>
      <c r="AP32" s="407" t="str">
        <f t="shared" si="6"/>
        <v/>
      </c>
    </row>
    <row r="33" spans="1:42" ht="25.5" customHeight="1" x14ac:dyDescent="0.2">
      <c r="A33" s="494"/>
      <c r="B33" s="519"/>
      <c r="C33" s="499"/>
      <c r="D33" s="499"/>
      <c r="E33" s="499"/>
      <c r="F33" s="496"/>
      <c r="G33" s="499"/>
      <c r="H33" s="520"/>
      <c r="I33" s="521"/>
      <c r="J33" s="477"/>
      <c r="K33" s="477"/>
      <c r="L33" s="477"/>
      <c r="M33" s="477"/>
      <c r="N33" s="539"/>
      <c r="O33" s="539"/>
      <c r="P33" s="477"/>
      <c r="Q33" s="477"/>
      <c r="R33" s="502" t="s">
        <v>264</v>
      </c>
      <c r="S33" s="477"/>
      <c r="T33" s="477"/>
      <c r="U33" s="477"/>
      <c r="V33" s="477"/>
      <c r="W33" s="477"/>
      <c r="X33" s="477"/>
      <c r="Y33" s="477"/>
      <c r="Z33" s="477"/>
      <c r="AA33" s="477"/>
      <c r="AD33" s="405">
        <f t="shared" si="0"/>
        <v>0</v>
      </c>
      <c r="AE33" s="406" t="str">
        <f>IFERROR(INDEX(V!$R:$R,MATCH(AF33,V!$L:$L,0)),"")</f>
        <v/>
      </c>
      <c r="AF33" s="407" t="str">
        <f t="shared" si="1"/>
        <v/>
      </c>
      <c r="AG33" s="406" t="str">
        <f>IFERROR(INDEX(V!$R:$R,MATCH(AH33,V!$L:$L,0)),"")</f>
        <v/>
      </c>
      <c r="AH33" s="407" t="str">
        <f t="shared" si="2"/>
        <v/>
      </c>
      <c r="AI33" s="406" t="str">
        <f>IFERROR(INDEX(V!$R:$R,MATCH(AJ33,V!$L:$L,0)),"")</f>
        <v/>
      </c>
      <c r="AJ33" s="407" t="str">
        <f t="shared" si="3"/>
        <v/>
      </c>
      <c r="AK33" s="406" t="str">
        <f>IFERROR(INDEX(V!$R:$R,MATCH(AL33,V!$L:$L,0)),"")</f>
        <v/>
      </c>
      <c r="AL33" s="407" t="str">
        <f t="shared" si="4"/>
        <v/>
      </c>
      <c r="AM33" s="406" t="str">
        <f>IFERROR(INDEX(V!$R:$R,MATCH(AN33,V!$L:$L,0)),"")</f>
        <v/>
      </c>
      <c r="AN33" s="407" t="str">
        <f t="shared" si="5"/>
        <v/>
      </c>
      <c r="AO33" s="406" t="str">
        <f>IFERROR(INDEX(V!$R:$R,MATCH(AP33,V!$L:$L,0)),"")</f>
        <v/>
      </c>
      <c r="AP33" s="407" t="str">
        <f t="shared" si="6"/>
        <v/>
      </c>
    </row>
    <row r="34" spans="1:42" ht="25.5" customHeight="1" x14ac:dyDescent="0.2">
      <c r="A34" s="316" t="s">
        <v>4</v>
      </c>
      <c r="B34" s="503"/>
      <c r="C34" s="467">
        <v>1</v>
      </c>
      <c r="D34" s="467">
        <v>2</v>
      </c>
      <c r="E34" s="467">
        <v>3</v>
      </c>
      <c r="F34" s="467"/>
      <c r="G34" s="467"/>
      <c r="H34" s="467" t="s">
        <v>168</v>
      </c>
      <c r="I34" s="468" t="s">
        <v>169</v>
      </c>
      <c r="J34" s="504" t="s">
        <v>257</v>
      </c>
      <c r="K34" s="505" t="s">
        <v>258</v>
      </c>
      <c r="L34" s="506" t="s">
        <v>259</v>
      </c>
      <c r="M34" s="506" t="s">
        <v>260</v>
      </c>
      <c r="N34" s="472" t="s">
        <v>170</v>
      </c>
      <c r="O34" s="472" t="s">
        <v>170</v>
      </c>
      <c r="P34" s="473" t="s">
        <v>261</v>
      </c>
      <c r="Q34" s="507" t="s">
        <v>21</v>
      </c>
      <c r="R34" s="507" t="b">
        <f>OR(AND(COUNTA(B35:B39)=3,COUNTA(C35:G39)=6),AND(COUNTA(B35:B39)=4,COUNTA(C35:G39)=12),AND(COUNTA(B35:B39)=5,COUNTA(C35:G39)=20))</f>
        <v>1</v>
      </c>
      <c r="S34" s="508" t="s">
        <v>262</v>
      </c>
      <c r="T34" s="509" t="s">
        <v>263</v>
      </c>
      <c r="U34" s="477"/>
      <c r="V34" s="477"/>
      <c r="W34" s="477"/>
      <c r="X34" s="477"/>
      <c r="Y34" s="477"/>
      <c r="Z34" s="477"/>
      <c r="AA34" s="477"/>
      <c r="AD34" s="405">
        <f t="shared" si="0"/>
        <v>0</v>
      </c>
      <c r="AE34" s="406" t="str">
        <f>IFERROR(INDEX(V!$R:$R,MATCH(AF34,V!$L:$L,0)),"")</f>
        <v/>
      </c>
      <c r="AF34" s="407" t="str">
        <f t="shared" si="1"/>
        <v/>
      </c>
      <c r="AG34" s="406" t="str">
        <f>IFERROR(INDEX(V!$R:$R,MATCH(AH34,V!$L:$L,0)),"")</f>
        <v/>
      </c>
      <c r="AH34" s="407" t="str">
        <f t="shared" si="2"/>
        <v/>
      </c>
      <c r="AI34" s="406" t="str">
        <f>IFERROR(INDEX(V!$R:$R,MATCH(AJ34,V!$L:$L,0)),"")</f>
        <v/>
      </c>
      <c r="AJ34" s="407" t="str">
        <f t="shared" si="3"/>
        <v/>
      </c>
      <c r="AK34" s="406" t="str">
        <f>IFERROR(INDEX(V!$R:$R,MATCH(AL34,V!$L:$L,0)),"")</f>
        <v/>
      </c>
      <c r="AL34" s="407" t="str">
        <f t="shared" si="4"/>
        <v/>
      </c>
      <c r="AM34" s="406" t="str">
        <f>IFERROR(INDEX(V!$R:$R,MATCH(AN34,V!$L:$L,0)),"")</f>
        <v/>
      </c>
      <c r="AN34" s="407" t="str">
        <f t="shared" si="5"/>
        <v/>
      </c>
      <c r="AO34" s="406" t="str">
        <f>IFERROR(INDEX(V!$R:$R,MATCH(AP34,V!$L:$L,0)),"")</f>
        <v/>
      </c>
      <c r="AP34" s="407" t="str">
        <f t="shared" si="6"/>
        <v/>
      </c>
    </row>
    <row r="35" spans="1:42" ht="25.5" x14ac:dyDescent="0.2">
      <c r="A35" s="316">
        <v>1</v>
      </c>
      <c r="B35" s="518" t="s">
        <v>562</v>
      </c>
      <c r="C35" s="319"/>
      <c r="D35" s="318">
        <v>13</v>
      </c>
      <c r="E35" s="318">
        <v>13</v>
      </c>
      <c r="F35" s="318"/>
      <c r="G35" s="318"/>
      <c r="H35" s="317" t="str">
        <f>(IF(D35-C36&gt;0,1)+IF(E35-C37&gt;0,1)+IF(F35-C38&gt;0,1)+IF(G35-C39&gt;0,1))&amp;"-"&amp;(IF(D35-C36&lt;0,1)+IF(E35-C37&lt;0,1)+IF(F35-C38&lt;0,1)+IF(G35-C39&lt;0,1))</f>
        <v>2-0</v>
      </c>
      <c r="I35" s="318" t="str">
        <f>IF(AND(B35&lt;&gt;"",R$34=TRUE),A$34&amp;RANK(S35,S$35:S$39,0)," ")</f>
        <v>E1</v>
      </c>
      <c r="J35" s="480">
        <f>IF(AND(Q35=1,Q36=1,D35&gt;C36),1)+IF(AND(Q35=1,Q37=1,E35&gt;C37),1)+IF(AND(Q35=1,Q38=1,F35&gt;C38),1)+IF(AND(Q35=1,Q39=1,G35&gt;C39),1)+IF(AND(Q35=2,Q36=2,D35&gt;C36),1)+IF(AND(Q35=2,Q37=2,E35&gt;C37),1)+IF(AND(Q35=2,Q38=2,F35&gt;C38),1)+IF(AND(Q35=2,Q39=2,G35&gt;C39),1)+IF(AND(Q35=3,Q36=3,D35&gt;C36),1)+IF(AND(Q35=3,Q37=3,E35&gt;C37),1)+IF(AND(Q35=3,Q38=3,F35&gt;C38),1)+IF(AND(Q35=3,Q39=3,G35&gt;C39),1)</f>
        <v>0</v>
      </c>
      <c r="K35" s="481">
        <f>SUM(AND(T35=T36,D35&gt;C36),AND(T35=T37,E35&gt;C37),AND(T35=T38,F35&gt;C38),AND(T35=T39,G35&gt;C39))</f>
        <v>0</v>
      </c>
      <c r="L35" s="482">
        <f>IF(AND(Q35=1,Q36=1),D35-C36)+IF(AND(Q35=1,Q37=1),E35-C37)+IF(AND(Q35=1,Q38=1),F35-C38)+IF(AND(Q35=1,Q39=1),G35-C39)+IF(AND(Q35=2,Q36=2),D35-C36)+IF(AND(Q35=2,Q37=2),E35-C37)+IF(AND(Q35=2,Q38=2),F35-C38)+IF(AND(Q35=2,Q39=2),G35-C39)+IF(AND(Q35=3,Q36=3),D35-C36)+IF(AND(Q35=3,Q37=3),E35-C37)+IF(AND(Q35=3,Q38=3),F35-C38)+IF(AND(Q35=3,Q39=3),G35-C39)+IF(AND(Q35=4,Q36=4),D35-C36)+IF(AND(Q35=4,Q37=4),E35-C37)+IF(AND(Q35=4,Q38=4),F35-C38)+IF(AND(Q35=4,Q39=4),G35-C39)</f>
        <v>0</v>
      </c>
      <c r="M35" s="483">
        <f>SUM(AND(R35=R36,D35&gt;C36),AND(R35=R37,E35&gt;C37),AND(R35=R38,F35&gt;C38),AND(R35=R39,G35&gt;C39))</f>
        <v>0</v>
      </c>
      <c r="N35" s="537" t="str">
        <f>SUM(C35:G35)&amp;"-"&amp;SUM(C35:C39)</f>
        <v>26-19</v>
      </c>
      <c r="O35" s="538">
        <f>D35+E35+F35+G35-C36-C37-C38-C39</f>
        <v>7</v>
      </c>
      <c r="P35" s="485">
        <f>SUM(C35:G35,C35:C39)/SUM(C35:C39)</f>
        <v>2.3684210526315788</v>
      </c>
      <c r="Q35" s="320">
        <f>VALUE(LEFT(H35,1))</f>
        <v>2</v>
      </c>
      <c r="R35" s="321">
        <f>Q35*100000+J35*10000+K35*1000+100*L35</f>
        <v>200000</v>
      </c>
      <c r="S35" s="486">
        <f>R35+M35*0.1+IF(ISNONTEXT(B35),0,0.01)+0.0001*O35</f>
        <v>200000.01070000001</v>
      </c>
      <c r="T35" s="487" t="str">
        <f>Q35&amp;J35</f>
        <v>20</v>
      </c>
      <c r="U35" s="477"/>
      <c r="V35" s="477"/>
      <c r="W35" s="477"/>
      <c r="X35" s="477"/>
      <c r="Y35" s="477"/>
      <c r="Z35" s="477"/>
      <c r="AA35" s="477"/>
      <c r="AD35" s="405">
        <f t="shared" si="0"/>
        <v>153</v>
      </c>
      <c r="AE35" s="406" t="str">
        <f>IFERROR(INDEX(V!$R:$R,MATCH(AF35,V!$L:$L,0)),"")</f>
        <v/>
      </c>
      <c r="AF35" s="407" t="str">
        <f t="shared" si="1"/>
        <v>Veskid - Andres Veski</v>
      </c>
      <c r="AG35" s="406" t="str">
        <f>IFERROR(INDEX(V!$R:$R,MATCH(AH35,V!$L:$L,0)),"")</f>
        <v/>
      </c>
      <c r="AH35" s="407" t="str">
        <f t="shared" si="2"/>
        <v>Meelis Luud, Svetlana Veski</v>
      </c>
      <c r="AI35" s="406">
        <f>IFERROR(INDEX(V!$R:$R,MATCH(AJ35,V!$L:$L,0)),"")</f>
        <v>86</v>
      </c>
      <c r="AJ35" s="407" t="str">
        <f t="shared" si="3"/>
        <v>Meelis Luud</v>
      </c>
      <c r="AK35" s="406">
        <f>IFERROR(INDEX(V!$R:$R,MATCH(AL35,V!$L:$L,0)),"")</f>
        <v>67</v>
      </c>
      <c r="AL35" s="407" t="str">
        <f t="shared" si="4"/>
        <v>Svetlana Veski</v>
      </c>
      <c r="AM35" s="406" t="str">
        <f>IFERROR(INDEX(V!$R:$R,MATCH(AN35,V!$L:$L,0)),"")</f>
        <v/>
      </c>
      <c r="AN35" s="407" t="str">
        <f t="shared" si="5"/>
        <v/>
      </c>
      <c r="AO35" s="406" t="str">
        <f>IFERROR(INDEX(V!$R:$R,MATCH(AP35,V!$L:$L,0)),"")</f>
        <v/>
      </c>
      <c r="AP35" s="407" t="str">
        <f t="shared" si="6"/>
        <v/>
      </c>
    </row>
    <row r="36" spans="1:42" ht="25.5" x14ac:dyDescent="0.2">
      <c r="A36" s="316">
        <v>2</v>
      </c>
      <c r="B36" s="488" t="s">
        <v>563</v>
      </c>
      <c r="C36" s="318">
        <v>7</v>
      </c>
      <c r="D36" s="319"/>
      <c r="E36" s="318">
        <v>8</v>
      </c>
      <c r="F36" s="318"/>
      <c r="G36" s="318"/>
      <c r="H36" s="317" t="str">
        <f>(IF(C36-D35&gt;0,1)+IF(E36-D37&gt;0,1)+IF(F36-D38&gt;0,1)+IF(G36-D39&gt;0,1))&amp;"-"&amp;(IF(C36-D35&lt;0,1)+IF(E36-D37&lt;0,1)+IF(F36-D38&lt;0,1)+IF(G36-D39&lt;0,1))</f>
        <v>0-2</v>
      </c>
      <c r="I36" s="318" t="str">
        <f t="shared" ref="I36:I39" si="9">IF(AND(B36&lt;&gt;"",R$34=TRUE),A$34&amp;RANK(S36,S$35:S$39,0)," ")</f>
        <v>E3</v>
      </c>
      <c r="J36" s="489">
        <f>IF(AND(Q36=1,Q35=1,C36&gt;D35),1)+IF(AND(Q36=1,Q37=1,E36&gt;D37),1)+IF(AND(Q36=1,Q38=1,F36&gt;D38),1)+IF(AND(Q36=1,Q39=1,G36&gt;D39),1)+IF(AND(Q36=2,Q35=2,C36&gt;D35),1)+IF(AND(Q36=2,Q37=2,E36&gt;D37),1)+IF(AND(Q36=2,Q38=2,F36&gt;D38),1)+IF(AND(Q36=2,Q39=2,G36&gt;D39),1)+IF(AND(Q36=3,Q35=3,C36&gt;D35),1)+IF(AND(Q36=3,Q37=3,E36&gt;D37),1)+IF(AND(Q36=3,Q38=3,F36&gt;D38),1)+IF(AND(Q36=3,Q39=3,G36&gt;D39),1)</f>
        <v>0</v>
      </c>
      <c r="K36" s="483">
        <f>SUM(AND(T36=T35,C36&gt;D35),AND(T36=T37,E36&gt;D37),AND(T36=T38,F36&gt;D38),AND(T36=T39,G36&gt;D39))</f>
        <v>0</v>
      </c>
      <c r="L36" s="490">
        <f>IF(AND(Q36=1,Q35=1),C36-D35)+IF(AND(Q36=1,Q37=1),E36-D37)+IF(AND(Q36=1,Q38=1),F36-D38)+IF(AND(Q36=1,Q39=1),G36-D39)+IF(AND(Q36=2,Q35=2),C36-D35)+IF(AND(Q36=2,Q37=2),E36-D37)+IF(AND(Q36=2,Q38=2),F36-D38)+IF(AND(Q36=2,Q39=2),G36-D39)+IF(AND(Q36=3,Q35=3),C36-D35)+IF(AND(Q36=3,Q37=3),E36-D37)+IF(AND(Q36=3,Q38=3),F36-D38)+IF(AND(Q36=3,Q39=3),G36-D39)+IF(AND(Q36=4,Q35=4),C36-D35)+IF(AND(Q36=4,Q37=4),E36-D37)+IF(AND(Q36=4,Q38=4),F36-D38)+IF(AND(Q36=4,Q39=4),G36-D39)</f>
        <v>0</v>
      </c>
      <c r="M36" s="483">
        <f>SUM(AND(R36=R35,C36&gt;D35),AND(R36=R37,E36&gt;D37),AND(R36=R38,F36&gt;D38),AND(R36=R39,G36&gt;D39))</f>
        <v>0</v>
      </c>
      <c r="N36" s="537" t="str">
        <f>SUM(C36:G36)&amp;"-"&amp;SUM(D35:D39)</f>
        <v>15-26</v>
      </c>
      <c r="O36" s="538">
        <f>C36+E36+F36+G36-D35-D37-D38-D39</f>
        <v>-11</v>
      </c>
      <c r="P36" s="485">
        <f>SUM(C36:G36,D35:D39)/SUM(D35:D39)</f>
        <v>1.5769230769230769</v>
      </c>
      <c r="Q36" s="491">
        <f>VALUE(LEFT(H36,1))</f>
        <v>0</v>
      </c>
      <c r="R36" s="321">
        <f>Q36*100000+J36*10000+K36*1000+100*L36</f>
        <v>0</v>
      </c>
      <c r="S36" s="486">
        <f>R36+M36*0.1+IF(ISNONTEXT(B36),0,0.01)+0.0001*O36</f>
        <v>8.8999999999999999E-3</v>
      </c>
      <c r="T36" s="487" t="str">
        <f>Q36&amp;J36</f>
        <v>00</v>
      </c>
      <c r="U36" s="477"/>
      <c r="V36" s="477"/>
      <c r="W36" s="477"/>
      <c r="X36" s="477"/>
      <c r="Y36" s="477"/>
      <c r="Z36" s="477"/>
      <c r="AA36" s="477"/>
      <c r="AD36" s="405">
        <f t="shared" si="0"/>
        <v>15</v>
      </c>
      <c r="AE36" s="406" t="str">
        <f>IFERROR(INDEX(V!$R:$R,MATCH(AF36,V!$L:$L,0)),"")</f>
        <v/>
      </c>
      <c r="AF36" s="407" t="str">
        <f t="shared" si="1"/>
        <v>Team Silver - Marko Ode</v>
      </c>
      <c r="AG36" s="406" t="str">
        <f>IFERROR(INDEX(V!$R:$R,MATCH(AH36,V!$L:$L,0)),"")</f>
        <v/>
      </c>
      <c r="AH36" s="407" t="str">
        <f t="shared" si="2"/>
        <v>Martha Aavisto, Silver Kingissepp</v>
      </c>
      <c r="AI36" s="406">
        <f>IFERROR(INDEX(V!$R:$R,MATCH(AJ36,V!$L:$L,0)),"")</f>
        <v>15</v>
      </c>
      <c r="AJ36" s="407" t="str">
        <f t="shared" si="3"/>
        <v>Martha Aavisto</v>
      </c>
      <c r="AK36" s="406" t="str">
        <f>IFERROR(INDEX(V!$R:$R,MATCH(AL36,V!$L:$L,0)),"")</f>
        <v/>
      </c>
      <c r="AL36" s="407" t="str">
        <f t="shared" si="4"/>
        <v>Silver Kingissepp</v>
      </c>
      <c r="AM36" s="406" t="str">
        <f>IFERROR(INDEX(V!$R:$R,MATCH(AN36,V!$L:$L,0)),"")</f>
        <v/>
      </c>
      <c r="AN36" s="407" t="str">
        <f t="shared" si="5"/>
        <v/>
      </c>
      <c r="AO36" s="406" t="str">
        <f>IFERROR(INDEX(V!$R:$R,MATCH(AP36,V!$L:$L,0)),"")</f>
        <v/>
      </c>
      <c r="AP36" s="407" t="str">
        <f t="shared" si="6"/>
        <v/>
      </c>
    </row>
    <row r="37" spans="1:42" ht="25.5" x14ac:dyDescent="0.2">
      <c r="A37" s="316">
        <v>3</v>
      </c>
      <c r="B37" s="488" t="s">
        <v>565</v>
      </c>
      <c r="C37" s="318">
        <v>12</v>
      </c>
      <c r="D37" s="492">
        <v>13</v>
      </c>
      <c r="E37" s="319"/>
      <c r="F37" s="318"/>
      <c r="G37" s="318"/>
      <c r="H37" s="317" t="str">
        <f>(IF(C37-E35&gt;0,1)+IF(D37-E36&gt;0,1)+IF(F37-E38&gt;0,1)+IF(G37-E39&gt;0,1))&amp;"-"&amp;(IF(C37-E35&lt;0,1)+IF(D37-E36&lt;0,1)+IF(F37-E38&lt;0,1)+IF(G37-E39&lt;0,1))</f>
        <v>1-1</v>
      </c>
      <c r="I37" s="318" t="str">
        <f t="shared" si="9"/>
        <v>E2</v>
      </c>
      <c r="J37" s="489">
        <f>IF(AND(Q37=1,Q35=1,C37&gt;E35),1)+IF(AND(Q37=1,Q36=1,D37&gt;E36),1)+IF(AND(Q37=1,Q38=1,F37&gt;E38),1)+IF(AND(Q37=1,Q39=1,G37&gt;E39),1)+IF(AND(Q37=2,Q35=2,C37&gt;E35),1)+IF(AND(Q37=2,Q36=2,D37&gt;E36),1)+IF(AND(Q37=2,Q38=2,F37&gt;E38),1)+IF(AND(Q37=2,Q39=2,G37&gt;E39),1)+IF(AND(Q37=3,Q35=3,C37&gt;E35),1)+IF(AND(Q37=3,Q36=3,D37&gt;E36),1)+IF(AND(Q37=3,Q38=3,F37&gt;E38),1)+IF(AND(Q37=3,Q39=3,G37&gt;E39),1)</f>
        <v>0</v>
      </c>
      <c r="K37" s="483">
        <f>SUM(AND(T37=T35,C37&gt;E35),AND(T37=T36,D37&gt;E36),AND(T37=T38,F37&gt;E38),AND(T37=T39,G37&gt;E39))</f>
        <v>0</v>
      </c>
      <c r="L37" s="490">
        <f>IF(AND(Q37=1,Q35=1),C37-E35)+IF(AND(Q37=1,Q36=1),D37-E36)+IF(AND(Q37=1,Q38=1),F37-E38)+IF(AND(Q37=1,Q39=1),G37-E39)+IF(AND(Q37=2,Q35=2),C37-E35)+IF(AND(Q37=2,Q36=2),D37-E36)+IF(AND(Q37=2,Q38=2),F37-E38)+IF(AND(Q37=2,Q39=2),G37-E39)+IF(AND(Q37=3,Q35=3),C37-E35)+IF(AND(Q37=3,Q36=3),D37-E36)+IF(AND(Q37=3,Q38=3),F37-E38)+IF(AND(Q37=3,Q39=3),G37-E39)+IF(AND(Q37=4,Q35=4),C37-E35)+IF(AND(Q37=4,Q36=4),D37-E36)+IF(AND(Q37=4,Q38=4),F37-E38)+IF(AND(Q37=4,Q39=4),G37-E39)</f>
        <v>0</v>
      </c>
      <c r="M37" s="483">
        <f>SUM(AND(R37=R35,C37&gt;E35),AND(R37=R36,D37&gt;E36),AND(R37=R38,F37&gt;E38),AND(R37=R39,G37&gt;E39))</f>
        <v>0</v>
      </c>
      <c r="N37" s="537" t="str">
        <f>SUM(C37:G37)&amp;"-"&amp;SUM(E35:E39)</f>
        <v>25-21</v>
      </c>
      <c r="O37" s="538">
        <f>C37+D37+F37+G37-E35-E36-E38-E39</f>
        <v>4</v>
      </c>
      <c r="P37" s="485">
        <f>SUM(C37:G37,E35:E39)/SUM(E35:E39)</f>
        <v>2.1904761904761907</v>
      </c>
      <c r="Q37" s="491">
        <f>VALUE(LEFT(H37,1))</f>
        <v>1</v>
      </c>
      <c r="R37" s="321">
        <f>Q37*100000+J37*10000+K37*1000+100*L37</f>
        <v>100000</v>
      </c>
      <c r="S37" s="486">
        <f>R37+M37*0.1+IF(ISNONTEXT(B37),0,0.01)+0.0001*O37</f>
        <v>100000.0104</v>
      </c>
      <c r="T37" s="487" t="str">
        <f>Q37&amp;J37</f>
        <v>10</v>
      </c>
      <c r="U37" s="477"/>
      <c r="V37" s="477"/>
      <c r="W37" s="477"/>
      <c r="X37" s="477"/>
      <c r="Y37" s="477"/>
      <c r="Z37" s="477"/>
      <c r="AA37" s="477"/>
      <c r="AD37" s="405">
        <f t="shared" si="0"/>
        <v>105</v>
      </c>
      <c r="AE37" s="406" t="str">
        <f>IFERROR(INDEX(V!$R:$R,MATCH(AF37,V!$L:$L,0)),"")</f>
        <v/>
      </c>
      <c r="AF37" s="407" t="str">
        <f t="shared" si="1"/>
        <v>Pikad - Andrei Grintšak</v>
      </c>
      <c r="AG37" s="406" t="str">
        <f>IFERROR(INDEX(V!$R:$R,MATCH(AH37,V!$L:$L,0)),"")</f>
        <v/>
      </c>
      <c r="AH37" s="407" t="str">
        <f t="shared" si="2"/>
        <v>Tarmo Bombe, Tatyana Chekmareva</v>
      </c>
      <c r="AI37" s="406">
        <f>IFERROR(INDEX(V!$R:$R,MATCH(AJ37,V!$L:$L,0)),"")</f>
        <v>105</v>
      </c>
      <c r="AJ37" s="407" t="str">
        <f t="shared" si="3"/>
        <v>Tarmo Bombe</v>
      </c>
      <c r="AK37" s="406" t="str">
        <f>IFERROR(INDEX(V!$R:$R,MATCH(AL37,V!$L:$L,0)),"")</f>
        <v/>
      </c>
      <c r="AL37" s="407" t="str">
        <f t="shared" si="4"/>
        <v>Tatyana Chekmareva</v>
      </c>
      <c r="AM37" s="406" t="str">
        <f>IFERROR(INDEX(V!$R:$R,MATCH(AN37,V!$L:$L,0)),"")</f>
        <v/>
      </c>
      <c r="AN37" s="407" t="str">
        <f t="shared" si="5"/>
        <v/>
      </c>
      <c r="AO37" s="406" t="str">
        <f>IFERROR(INDEX(V!$R:$R,MATCH(AP37,V!$L:$L,0)),"")</f>
        <v/>
      </c>
      <c r="AP37" s="407" t="str">
        <f t="shared" si="6"/>
        <v/>
      </c>
    </row>
    <row r="38" spans="1:42" hidden="1" x14ac:dyDescent="0.2">
      <c r="A38" s="316">
        <v>4</v>
      </c>
      <c r="B38" s="493"/>
      <c r="C38" s="318"/>
      <c r="D38" s="492"/>
      <c r="E38" s="318"/>
      <c r="F38" s="319"/>
      <c r="G38" s="511"/>
      <c r="H38" s="317" t="str">
        <f>(IF(C38-F35&gt;0,1)+IF(D38-F36&gt;0,1)+IF(E38-F37&gt;0,1)+IF(G38-F39&gt;0,1))&amp;"-"&amp;(IF(C38-F35&lt;0,1)+IF(D38-F36&lt;0,1)+IF(E38-F37&lt;0,1)+IF(G38-F39&lt;0,1))</f>
        <v>0-0</v>
      </c>
      <c r="I38" s="318" t="str">
        <f t="shared" si="9"/>
        <v xml:space="preserve"> </v>
      </c>
      <c r="J38" s="489">
        <f>IF(AND(Q38=1,Q35=1,C38&gt;F35),1)+IF(AND(Q38=1,Q36=1,D38&gt;F36),1)+IF(AND(Q38=1,Q37=1,E38&gt;F37),1)+IF(AND(Q38=1,Q39=1,G38&gt;F39),1)+IF(AND(Q38=2,Q35=2,C38&gt;F35),1)+IF(AND(Q38=2,Q36=2,D38&gt;F36),1)+IF(AND(Q38=2,Q37=2,E38&gt;F37),1)+IF(AND(Q38=2,Q39=2,G38&gt;F39),1)+IF(AND(Q38=3,Q35=3,C38&gt;F35),1)+IF(AND(Q38=3,Q36=3,D38&gt;F36),1)+IF(AND(Q38=3,Q37=3,E38&gt;F37),1)+IF(AND(Q38=3,Q39=3,G38&gt;F39),1)</f>
        <v>0</v>
      </c>
      <c r="K38" s="483">
        <f>SUM(AND(T38=T35,C38&gt;F35),AND(T38=T36,D38&gt;F36),AND(T38=T37,E38&gt;F37),AND(T38=T39,G38&gt;F39))</f>
        <v>0</v>
      </c>
      <c r="L38" s="490">
        <f>IF(AND(Q38=1,Q35=1),C38-F35)+IF(AND(Q38=1,Q36=1),D38-F36)+IF(AND(Q38=1,Q37=1),E38-F37)+IF(AND(Q38=1,Q39=1),G38-F39)+IF(AND(Q38=2,Q35=2),C38-F35)+IF(AND(Q38=2,Q36=2),D38-F36)+IF(AND(Q38=2,Q37=2),E38-F37)+IF(AND(Q38=2,Q39=2),G38-F39)+IF(AND(Q38=3,Q35=3),C38-F35)+IF(AND(Q38=3,Q36=3),D38-F36)+IF(AND(Q38=3,Q37=3),E38-F37)+IF(AND(Q38=3,Q39=3),G38-F39)+IF(AND(Q38=4,Q35=4),C38-F35)+IF(AND(Q38=4,Q36=4),D38-F36)+IF(AND(Q38=4,Q37=4),E38-F37)+IF(AND(Q38=4,Q39=4),G38-F39)</f>
        <v>0</v>
      </c>
      <c r="M38" s="483">
        <f>SUM(AND(R38=R35,C38&gt;F35),AND(R38=R36,D38&gt;F36),AND(R38=R37,E38&gt;F37),AND(R38=R39,G38&gt;F39))</f>
        <v>0</v>
      </c>
      <c r="N38" s="537" t="str">
        <f>SUM(C38:G38)&amp;"-"&amp;SUM(F35:F39)</f>
        <v>0-0</v>
      </c>
      <c r="O38" s="538">
        <f>C38+D38+E38+G38-F35-F36-F37-F39</f>
        <v>0</v>
      </c>
      <c r="P38" s="485" t="e">
        <f>SUM(C38:G38,F35:F39)/SUM(F35:F39)</f>
        <v>#DIV/0!</v>
      </c>
      <c r="Q38" s="491">
        <f>VALUE(LEFT(H38,1))</f>
        <v>0</v>
      </c>
      <c r="R38" s="321">
        <f>Q38*100000+J38*10000+K38*1000+100*L38</f>
        <v>0</v>
      </c>
      <c r="S38" s="486">
        <f>R38+M38*0.1+IF(ISNONTEXT(B38),0,0.01)+0.0001*O38</f>
        <v>0</v>
      </c>
      <c r="T38" s="487" t="str">
        <f>Q38&amp;J38</f>
        <v>00</v>
      </c>
      <c r="U38" s="477"/>
      <c r="V38" s="477"/>
      <c r="W38" s="477"/>
      <c r="X38" s="477"/>
      <c r="Y38" s="477"/>
      <c r="Z38" s="477"/>
      <c r="AA38" s="477"/>
      <c r="AD38" s="405">
        <f t="shared" si="0"/>
        <v>0</v>
      </c>
      <c r="AE38" s="406" t="str">
        <f>IFERROR(INDEX(V!$R:$R,MATCH(AF38,V!$L:$L,0)),"")</f>
        <v/>
      </c>
      <c r="AF38" s="407" t="str">
        <f t="shared" si="1"/>
        <v/>
      </c>
      <c r="AG38" s="406" t="str">
        <f>IFERROR(INDEX(V!$R:$R,MATCH(AH38,V!$L:$L,0)),"")</f>
        <v/>
      </c>
      <c r="AH38" s="407" t="str">
        <f t="shared" si="2"/>
        <v/>
      </c>
      <c r="AI38" s="406" t="str">
        <f>IFERROR(INDEX(V!$R:$R,MATCH(AJ38,V!$L:$L,0)),"")</f>
        <v/>
      </c>
      <c r="AJ38" s="407" t="str">
        <f t="shared" si="3"/>
        <v/>
      </c>
      <c r="AK38" s="406" t="str">
        <f>IFERROR(INDEX(V!$R:$R,MATCH(AL38,V!$L:$L,0)),"")</f>
        <v/>
      </c>
      <c r="AL38" s="407" t="str">
        <f t="shared" si="4"/>
        <v/>
      </c>
      <c r="AM38" s="406" t="str">
        <f>IFERROR(INDEX(V!$R:$R,MATCH(AN38,V!$L:$L,0)),"")</f>
        <v/>
      </c>
      <c r="AN38" s="407" t="str">
        <f t="shared" si="5"/>
        <v/>
      </c>
      <c r="AO38" s="406" t="str">
        <f>IFERROR(INDEX(V!$R:$R,MATCH(AP38,V!$L:$L,0)),"")</f>
        <v/>
      </c>
      <c r="AP38" s="407" t="str">
        <f t="shared" si="6"/>
        <v/>
      </c>
    </row>
    <row r="39" spans="1:42" hidden="1" x14ac:dyDescent="0.2">
      <c r="A39" s="316">
        <v>5</v>
      </c>
      <c r="B39" s="493"/>
      <c r="C39" s="318"/>
      <c r="D39" s="318"/>
      <c r="E39" s="318"/>
      <c r="F39" s="318"/>
      <c r="G39" s="319"/>
      <c r="H39" s="317" t="str">
        <f>(IF(C39-G35&gt;0,1)+IF(D39-G36&gt;0,1)+IF(E39-G37&gt;0,1)+IF(F39-G38&gt;0,1))&amp;"-"&amp;(IF(C39-G35&lt;0,1)+IF(D39-G36&lt;0,1)+IF(E39-G37&lt;0,1)+IF(F39-G38&lt;0,1))</f>
        <v>0-0</v>
      </c>
      <c r="I39" s="318" t="str">
        <f t="shared" si="9"/>
        <v xml:space="preserve"> </v>
      </c>
      <c r="J39" s="489">
        <f>IF(AND(Q39=1,Q35=1,C39&gt;G35),1)+IF(AND(Q39=1,Q36=1,D39&gt;G36),1)+IF(AND(Q39=1,Q37=1,E39&gt;G37),1)+IF(AND(Q39=1,Q38=1,F39&gt;G38),1)+IF(AND(Q39=2,Q35=2,C39&gt;G35),1)+IF(AND(Q39=2,Q36=2,D39&gt;G36),1)+IF(AND(Q39=2,Q37=2,E39&gt;G37),1)+IF(AND(Q39=2,Q38=2,F39&gt;G38),1)+IF(AND(Q39=3,Q35=3,C39&gt;G35),1)+IF(AND(Q39=3,Q36=3,D39&gt;G36),1)+IF(AND(Q39=3,Q37=3,E39&gt;G37),1)+IF(AND(Q39=3,Q38=3,F39&gt;G38),1)</f>
        <v>0</v>
      </c>
      <c r="K39" s="483">
        <f>SUM(AND(T39=T35,C39&gt;G35),AND(T39=T36,D39&gt;G36),AND(T39=T37,E39&gt;G37),AND(T39=T38,F39&gt;G38))</f>
        <v>0</v>
      </c>
      <c r="L39" s="490">
        <f>IF(AND(Q39=1,Q35=1),C39-G35)+IF(AND(Q39=1,Q36=1),D39-G36)+IF(AND(Q39=1,Q37=1),E39-G37)+IF(AND(Q39=1,Q38=1),F39-G38)+IF(AND(Q39=2,Q35=2),C39-G35)+IF(AND(Q39=2,Q36=2),D39-G36)+IF(AND(Q39=2,Q37=2),E39-G37)+IF(AND(Q39=2,Q38=2),F39-G38)+IF(AND(Q39=3,Q35=3),C39-G35)+IF(AND(Q39=3,Q36=3),D39-G36)+IF(AND(Q39=3,Q37=3),E39-G37)+IF(AND(Q39=3,Q38=3),F39-G38)+IF(AND(Q39=4,Q35=4),C39-G35)+IF(AND(Q39=4,Q36=4),D39-G36)+IF(AND(Q39=4,Q37=4),E39-G37)+IF(AND(Q39=4,Q38=4),F39-G38)</f>
        <v>0</v>
      </c>
      <c r="M39" s="483">
        <f>SUM(AND(R39=R35,C39&gt;G35),AND(R39=R36,D39&gt;G36),AND(R39=R37,E39&gt;G37),AND(R39=R38,F39&gt;G38))</f>
        <v>0</v>
      </c>
      <c r="N39" s="537" t="str">
        <f>SUM(C39:G39)&amp;"-"&amp;SUM(G35:G39)</f>
        <v>0-0</v>
      </c>
      <c r="O39" s="538">
        <f>C39+D39+E39+F39-G35-G36-G37-G38</f>
        <v>0</v>
      </c>
      <c r="P39" s="485" t="e">
        <f>SUM(C39:G39,G35:G39)/SUM(G35:G39)</f>
        <v>#DIV/0!</v>
      </c>
      <c r="Q39" s="491">
        <f>VALUE(LEFT(H39,1))</f>
        <v>0</v>
      </c>
      <c r="R39" s="321">
        <f>Q39*100000+J39*10000+K39*1000+100*L39</f>
        <v>0</v>
      </c>
      <c r="S39" s="486">
        <f>R39+M39*0.1+IF(ISNONTEXT(B39),0,0.01)+0.0001*O39</f>
        <v>0</v>
      </c>
      <c r="T39" s="487" t="str">
        <f>Q39&amp;J39</f>
        <v>00</v>
      </c>
      <c r="U39" s="477"/>
      <c r="V39" s="477"/>
      <c r="W39" s="477"/>
      <c r="X39" s="477"/>
      <c r="Y39" s="477"/>
      <c r="Z39" s="477"/>
      <c r="AA39" s="477"/>
      <c r="AD39" s="405">
        <f t="shared" si="0"/>
        <v>0</v>
      </c>
      <c r="AE39" s="406" t="str">
        <f>IFERROR(INDEX(V!$R:$R,MATCH(AF39,V!$L:$L,0)),"")</f>
        <v/>
      </c>
      <c r="AF39" s="407" t="str">
        <f t="shared" si="1"/>
        <v/>
      </c>
      <c r="AG39" s="406" t="str">
        <f>IFERROR(INDEX(V!$R:$R,MATCH(AH39,V!$L:$L,0)),"")</f>
        <v/>
      </c>
      <c r="AH39" s="407" t="str">
        <f t="shared" si="2"/>
        <v/>
      </c>
      <c r="AI39" s="406" t="str">
        <f>IFERROR(INDEX(V!$R:$R,MATCH(AJ39,V!$L:$L,0)),"")</f>
        <v/>
      </c>
      <c r="AJ39" s="407" t="str">
        <f t="shared" si="3"/>
        <v/>
      </c>
      <c r="AK39" s="406" t="str">
        <f>IFERROR(INDEX(V!$R:$R,MATCH(AL39,V!$L:$L,0)),"")</f>
        <v/>
      </c>
      <c r="AL39" s="407" t="str">
        <f t="shared" si="4"/>
        <v/>
      </c>
      <c r="AM39" s="406" t="str">
        <f>IFERROR(INDEX(V!$R:$R,MATCH(AN39,V!$L:$L,0)),"")</f>
        <v/>
      </c>
      <c r="AN39" s="407" t="str">
        <f t="shared" si="5"/>
        <v/>
      </c>
      <c r="AO39" s="406" t="str">
        <f>IFERROR(INDEX(V!$R:$R,MATCH(AP39,V!$L:$L,0)),"")</f>
        <v/>
      </c>
      <c r="AP39" s="407" t="str">
        <f t="shared" si="6"/>
        <v/>
      </c>
    </row>
    <row r="40" spans="1:42" ht="25.5" customHeight="1" x14ac:dyDescent="0.2">
      <c r="A40" s="494"/>
      <c r="B40" s="495"/>
      <c r="C40" s="496"/>
      <c r="D40" s="497"/>
      <c r="E40" s="496"/>
      <c r="F40" s="498"/>
      <c r="G40" s="499"/>
      <c r="H40" s="500"/>
      <c r="I40" s="512"/>
      <c r="J40" s="477"/>
      <c r="K40" s="477"/>
      <c r="L40" s="477"/>
      <c r="M40" s="477"/>
      <c r="N40" s="539"/>
      <c r="O40" s="539"/>
      <c r="P40" s="477"/>
      <c r="Q40" s="477"/>
      <c r="R40" s="502" t="s">
        <v>264</v>
      </c>
      <c r="S40" s="477"/>
      <c r="T40" s="477"/>
      <c r="U40" s="477"/>
      <c r="V40" s="477"/>
      <c r="W40" s="477"/>
      <c r="X40" s="477"/>
      <c r="Y40" s="477"/>
      <c r="Z40" s="477"/>
      <c r="AA40" s="477"/>
      <c r="AD40" s="405">
        <f t="shared" si="0"/>
        <v>0</v>
      </c>
      <c r="AE40" s="406" t="str">
        <f>IFERROR(INDEX(V!$R:$R,MATCH(AF40,V!$L:$L,0)),"")</f>
        <v/>
      </c>
      <c r="AF40" s="407" t="str">
        <f t="shared" si="1"/>
        <v/>
      </c>
      <c r="AG40" s="406" t="str">
        <f>IFERROR(INDEX(V!$R:$R,MATCH(AH40,V!$L:$L,0)),"")</f>
        <v/>
      </c>
      <c r="AH40" s="407" t="str">
        <f t="shared" si="2"/>
        <v/>
      </c>
      <c r="AI40" s="406" t="str">
        <f>IFERROR(INDEX(V!$R:$R,MATCH(AJ40,V!$L:$L,0)),"")</f>
        <v/>
      </c>
      <c r="AJ40" s="407" t="str">
        <f t="shared" si="3"/>
        <v/>
      </c>
      <c r="AK40" s="406" t="str">
        <f>IFERROR(INDEX(V!$R:$R,MATCH(AL40,V!$L:$L,0)),"")</f>
        <v/>
      </c>
      <c r="AL40" s="407" t="str">
        <f t="shared" si="4"/>
        <v/>
      </c>
      <c r="AM40" s="406" t="str">
        <f>IFERROR(INDEX(V!$R:$R,MATCH(AN40,V!$L:$L,0)),"")</f>
        <v/>
      </c>
      <c r="AN40" s="407" t="str">
        <f t="shared" si="5"/>
        <v/>
      </c>
      <c r="AO40" s="406" t="str">
        <f>IFERROR(INDEX(V!$R:$R,MATCH(AP40,V!$L:$L,0)),"")</f>
        <v/>
      </c>
      <c r="AP40" s="407" t="str">
        <f t="shared" si="6"/>
        <v/>
      </c>
    </row>
    <row r="41" spans="1:42" ht="25.5" customHeight="1" x14ac:dyDescent="0.2">
      <c r="A41" s="316" t="s">
        <v>5</v>
      </c>
      <c r="B41" s="503"/>
      <c r="C41" s="467">
        <v>1</v>
      </c>
      <c r="D41" s="467">
        <v>2</v>
      </c>
      <c r="E41" s="467">
        <v>3</v>
      </c>
      <c r="F41" s="467"/>
      <c r="G41" s="467"/>
      <c r="H41" s="468" t="s">
        <v>168</v>
      </c>
      <c r="I41" s="468" t="s">
        <v>169</v>
      </c>
      <c r="J41" s="504" t="s">
        <v>257</v>
      </c>
      <c r="K41" s="505" t="s">
        <v>258</v>
      </c>
      <c r="L41" s="506" t="s">
        <v>259</v>
      </c>
      <c r="M41" s="506" t="s">
        <v>260</v>
      </c>
      <c r="N41" s="472" t="s">
        <v>170</v>
      </c>
      <c r="O41" s="472" t="s">
        <v>170</v>
      </c>
      <c r="P41" s="473" t="s">
        <v>261</v>
      </c>
      <c r="Q41" s="507" t="s">
        <v>21</v>
      </c>
      <c r="R41" s="507" t="b">
        <f>OR(AND(COUNTA(B42:B46)=3,COUNTA(C42:G46)=6),AND(COUNTA(B42:B46)=4,COUNTA(C42:G46)=12),AND(COUNTA(B42:B46)=5,COUNTA(C42:G46)=20))</f>
        <v>1</v>
      </c>
      <c r="S41" s="508" t="s">
        <v>262</v>
      </c>
      <c r="T41" s="509" t="s">
        <v>263</v>
      </c>
      <c r="U41" s="477"/>
      <c r="V41" s="477"/>
      <c r="W41" s="477"/>
      <c r="X41" s="477"/>
      <c r="Y41" s="477"/>
      <c r="Z41" s="477"/>
      <c r="AA41" s="477"/>
      <c r="AD41" s="405">
        <f t="shared" si="0"/>
        <v>0</v>
      </c>
      <c r="AE41" s="406" t="str">
        <f>IFERROR(INDEX(V!$R:$R,MATCH(AF41,V!$L:$L,0)),"")</f>
        <v/>
      </c>
      <c r="AF41" s="407" t="str">
        <f t="shared" si="1"/>
        <v/>
      </c>
      <c r="AG41" s="406" t="str">
        <f>IFERROR(INDEX(V!$R:$R,MATCH(AH41,V!$L:$L,0)),"")</f>
        <v/>
      </c>
      <c r="AH41" s="407" t="str">
        <f t="shared" si="2"/>
        <v/>
      </c>
      <c r="AI41" s="406" t="str">
        <f>IFERROR(INDEX(V!$R:$R,MATCH(AJ41,V!$L:$L,0)),"")</f>
        <v/>
      </c>
      <c r="AJ41" s="407" t="str">
        <f t="shared" si="3"/>
        <v/>
      </c>
      <c r="AK41" s="406" t="str">
        <f>IFERROR(INDEX(V!$R:$R,MATCH(AL41,V!$L:$L,0)),"")</f>
        <v/>
      </c>
      <c r="AL41" s="407" t="str">
        <f t="shared" si="4"/>
        <v/>
      </c>
      <c r="AM41" s="406" t="str">
        <f>IFERROR(INDEX(V!$R:$R,MATCH(AN41,V!$L:$L,0)),"")</f>
        <v/>
      </c>
      <c r="AN41" s="407" t="str">
        <f t="shared" si="5"/>
        <v/>
      </c>
      <c r="AO41" s="406" t="str">
        <f>IFERROR(INDEX(V!$R:$R,MATCH(AP41,V!$L:$L,0)),"")</f>
        <v/>
      </c>
      <c r="AP41" s="407" t="str">
        <f t="shared" si="6"/>
        <v/>
      </c>
    </row>
    <row r="42" spans="1:42" ht="25.5" x14ac:dyDescent="0.2">
      <c r="A42" s="316">
        <v>1</v>
      </c>
      <c r="B42" s="518" t="s">
        <v>548</v>
      </c>
      <c r="C42" s="319"/>
      <c r="D42" s="318">
        <v>2</v>
      </c>
      <c r="E42" s="318">
        <v>13</v>
      </c>
      <c r="F42" s="318"/>
      <c r="G42" s="318"/>
      <c r="H42" s="317" t="str">
        <f>(IF(D42-C43&gt;0,1)+IF(E42-C44&gt;0,1)+IF(F42-C45&gt;0,1)+IF(G42-C46&gt;0,1))&amp;"-"&amp;(IF(D42-C43&lt;0,1)+IF(E42-C44&lt;0,1)+IF(F42-C45&lt;0,1)+IF(G42-C46&lt;0,1))</f>
        <v>1-1</v>
      </c>
      <c r="I42" s="318" t="str">
        <f>IF(AND(B42&lt;&gt;"",R$41=TRUE),A$41&amp;RANK(S42,S$42:S$46,0)," ")</f>
        <v>F2</v>
      </c>
      <c r="J42" s="480">
        <f>IF(AND(Q42=1,Q43=1,D42&gt;C43),1)+IF(AND(Q42=1,Q44=1,E42&gt;C44),1)+IF(AND(Q42=1,Q45=1,F42&gt;C45),1)+IF(AND(Q42=1,Q46=1,G42&gt;C46),1)+IF(AND(Q42=2,Q43=2,D42&gt;C43),1)+IF(AND(Q42=2,Q44=2,E42&gt;C44),1)+IF(AND(Q42=2,Q45=2,F42&gt;C45),1)+IF(AND(Q42=2,Q46=2,G42&gt;C46),1)+IF(AND(Q42=3,Q43=3,D42&gt;C43),1)+IF(AND(Q42=3,Q44=3,E42&gt;C44),1)+IF(AND(Q42=3,Q45=3,F42&gt;C45),1)+IF(AND(Q42=3,Q46=3,G42&gt;C46),1)</f>
        <v>0</v>
      </c>
      <c r="K42" s="481">
        <f>SUM(AND(T42=T43,D42&gt;C43),AND(T42=T44,E42&gt;C44),AND(T42=T45,F42&gt;C45),AND(T42=T46,G42&gt;C46))</f>
        <v>0</v>
      </c>
      <c r="L42" s="482">
        <f>IF(AND(Q42=1,Q43=1),D42-C43)+IF(AND(Q42=1,Q44=1),E42-C44)+IF(AND(Q42=1,Q45=1),F42-C45)+IF(AND(Q42=1,Q46=1),G42-C46)+IF(AND(Q42=2,Q43=2),D42-C43)+IF(AND(Q42=2,Q44=2),E42-C44)+IF(AND(Q42=2,Q45=2),F42-C45)+IF(AND(Q42=2,Q46=2),G42-C46)+IF(AND(Q42=3,Q43=3),D42-C43)+IF(AND(Q42=3,Q44=3),E42-C44)+IF(AND(Q42=3,Q45=3),F42-C45)+IF(AND(Q42=3,Q46=3),G42-C46)+IF(AND(Q42=4,Q43=4),D42-C43)+IF(AND(Q42=4,Q44=4),E42-C44)+IF(AND(Q42=4,Q45=4),F42-C45)+IF(AND(Q42=4,Q46=4),G42-C46)</f>
        <v>0</v>
      </c>
      <c r="M42" s="483">
        <f>SUM(AND(R42=R43,D42&gt;C43),AND(R42=R44,E42&gt;C44),AND(R42=R45,F42&gt;C45),AND(R42=R46,G42&gt;C46))</f>
        <v>0</v>
      </c>
      <c r="N42" s="537" t="str">
        <f>SUM(C42:G42)&amp;"-"&amp;SUM(C42:C46)</f>
        <v>15-24</v>
      </c>
      <c r="O42" s="538">
        <f>D42+E42+F42+G42-C43-C44-C45-C46</f>
        <v>-9</v>
      </c>
      <c r="P42" s="485">
        <f>SUM(C42:G42,C42:C46)/SUM(C42:C46)</f>
        <v>1.625</v>
      </c>
      <c r="Q42" s="320">
        <f>VALUE(LEFT(H42,1))</f>
        <v>1</v>
      </c>
      <c r="R42" s="321">
        <f>Q42*100000+J42*10000+K42*1000+100*L42</f>
        <v>100000</v>
      </c>
      <c r="S42" s="486">
        <f>R42+M42*0.1+IF(ISNONTEXT(B42),0,0.01)+0.0001*O42</f>
        <v>100000.0091</v>
      </c>
      <c r="T42" s="487" t="str">
        <f>Q42&amp;J42</f>
        <v>10</v>
      </c>
      <c r="U42" s="477"/>
      <c r="V42" s="477"/>
      <c r="W42" s="477"/>
      <c r="X42" s="477"/>
      <c r="Y42" s="477"/>
      <c r="Z42" s="477"/>
      <c r="AA42" s="477"/>
      <c r="AD42" s="405">
        <f t="shared" si="0"/>
        <v>0</v>
      </c>
      <c r="AE42" s="406" t="str">
        <f>IFERROR(INDEX(V!$R:$R,MATCH(AF42,V!$L:$L,0)),"")</f>
        <v/>
      </c>
      <c r="AF42" s="407" t="str">
        <f t="shared" si="1"/>
        <v>Tartu 1 - Alari Keedus</v>
      </c>
      <c r="AG42" s="406" t="str">
        <f>IFERROR(INDEX(V!$R:$R,MATCH(AH42,V!$L:$L,0)),"")</f>
        <v/>
      </c>
      <c r="AH42" s="407" t="str">
        <f t="shared" si="2"/>
        <v>Marek Kolk, Valmar Pantšenko</v>
      </c>
      <c r="AI42" s="406" t="str">
        <f>IFERROR(INDEX(V!$R:$R,MATCH(AJ42,V!$L:$L,0)),"")</f>
        <v/>
      </c>
      <c r="AJ42" s="407" t="str">
        <f t="shared" si="3"/>
        <v>Marek Kolk</v>
      </c>
      <c r="AK42" s="406" t="str">
        <f>IFERROR(INDEX(V!$R:$R,MATCH(AL42,V!$L:$L,0)),"")</f>
        <v/>
      </c>
      <c r="AL42" s="407" t="str">
        <f t="shared" si="4"/>
        <v>Valmar Pantšenko</v>
      </c>
      <c r="AM42" s="406" t="str">
        <f>IFERROR(INDEX(V!$R:$R,MATCH(AN42,V!$L:$L,0)),"")</f>
        <v/>
      </c>
      <c r="AN42" s="407" t="str">
        <f t="shared" si="5"/>
        <v/>
      </c>
      <c r="AO42" s="406" t="str">
        <f>IFERROR(INDEX(V!$R:$R,MATCH(AP42,V!$L:$L,0)),"")</f>
        <v/>
      </c>
      <c r="AP42" s="407" t="str">
        <f t="shared" si="6"/>
        <v/>
      </c>
    </row>
    <row r="43" spans="1:42" ht="25.5" x14ac:dyDescent="0.2">
      <c r="A43" s="316">
        <v>2</v>
      </c>
      <c r="B43" s="488" t="s">
        <v>550</v>
      </c>
      <c r="C43" s="318">
        <v>13</v>
      </c>
      <c r="D43" s="319"/>
      <c r="E43" s="318">
        <v>13</v>
      </c>
      <c r="F43" s="318"/>
      <c r="G43" s="318"/>
      <c r="H43" s="317" t="str">
        <f>(IF(C43-D42&gt;0,1)+IF(E43-D44&gt;0,1)+IF(F43-D45&gt;0,1)+IF(G43-D46&gt;0,1))&amp;"-"&amp;(IF(C43-D42&lt;0,1)+IF(E43-D44&lt;0,1)+IF(F43-D45&lt;0,1)+IF(G43-D46&lt;0,1))</f>
        <v>2-0</v>
      </c>
      <c r="I43" s="318" t="str">
        <f t="shared" ref="I43:I46" si="10">IF(AND(B43&lt;&gt;"",R$41=TRUE),A$41&amp;RANK(S43,S$42:S$46,0)," ")</f>
        <v>F1</v>
      </c>
      <c r="J43" s="489">
        <f>IF(AND(Q43=1,Q42=1,C43&gt;D42),1)+IF(AND(Q43=1,Q44=1,E43&gt;D44),1)+IF(AND(Q43=1,Q45=1,F43&gt;D45),1)+IF(AND(Q43=1,Q46=1,G43&gt;D46),1)+IF(AND(Q43=2,Q42=2,C43&gt;D42),1)+IF(AND(Q43=2,Q44=2,E43&gt;D44),1)+IF(AND(Q43=2,Q45=2,F43&gt;D45),1)+IF(AND(Q43=2,Q46=2,G43&gt;D46),1)+IF(AND(Q43=3,Q42=3,C43&gt;D42),1)+IF(AND(Q43=3,Q44=3,E43&gt;D44),1)+IF(AND(Q43=3,Q45=3,F43&gt;D45),1)+IF(AND(Q43=3,Q46=3,G43&gt;D46),1)</f>
        <v>0</v>
      </c>
      <c r="K43" s="483">
        <f>SUM(AND(T43=T42,C43&gt;D42),AND(T43=T44,E43&gt;D44),AND(T43=T45,F43&gt;D45),AND(T43=T46,G43&gt;D46))</f>
        <v>0</v>
      </c>
      <c r="L43" s="490">
        <f>IF(AND(Q43=1,Q42=1),C43-D42)+IF(AND(Q43=1,Q44=1),E43-D44)+IF(AND(Q43=1,Q45=1),F43-D45)+IF(AND(Q43=1,Q46=1),G43-D46)+IF(AND(Q43=2,Q42=2),C43-D42)+IF(AND(Q43=2,Q44=2),E43-D44)+IF(AND(Q43=2,Q45=2),F43-D45)+IF(AND(Q43=2,Q46=2),G43-D46)+IF(AND(Q43=3,Q42=3),C43-D42)+IF(AND(Q43=3,Q44=3),E43-D44)+IF(AND(Q43=3,Q45=3),F43-D45)+IF(AND(Q43=3,Q46=3),G43-D46)+IF(AND(Q43=4,Q42=4),C43-D42)+IF(AND(Q43=4,Q44=4),E43-D44)+IF(AND(Q43=4,Q45=4),F43-D45)+IF(AND(Q43=4,Q46=4),G43-D46)</f>
        <v>0</v>
      </c>
      <c r="M43" s="483">
        <f>SUM(AND(R43=R42,C43&gt;D42),AND(R43=R44,E43&gt;D44),AND(R43=R45,F43&gt;D45),AND(R43=R46,G43&gt;D46))</f>
        <v>0</v>
      </c>
      <c r="N43" s="537" t="str">
        <f>SUM(C43:G43)&amp;"-"&amp;SUM(D42:D46)</f>
        <v>26-13</v>
      </c>
      <c r="O43" s="538">
        <f>C43+E43+F43+G43-D42-D44-D45-D46</f>
        <v>13</v>
      </c>
      <c r="P43" s="485">
        <f>SUM(C43:G43,D42:D46)/SUM(D42:D46)</f>
        <v>3</v>
      </c>
      <c r="Q43" s="491">
        <f>VALUE(LEFT(H43,1))</f>
        <v>2</v>
      </c>
      <c r="R43" s="321">
        <f>Q43*100000+J43*10000+K43*1000+100*L43</f>
        <v>200000</v>
      </c>
      <c r="S43" s="486">
        <f>R43+M43*0.1+IF(ISNONTEXT(B43),0,0.01)+0.0001*O43</f>
        <v>200000.01130000001</v>
      </c>
      <c r="T43" s="487" t="str">
        <f>Q43&amp;J43</f>
        <v>20</v>
      </c>
      <c r="U43" s="477"/>
      <c r="V43" s="477"/>
      <c r="W43" s="477"/>
      <c r="X43" s="477"/>
      <c r="Y43" s="477"/>
      <c r="Z43" s="477"/>
      <c r="AA43" s="477"/>
      <c r="AD43" s="405">
        <f t="shared" si="0"/>
        <v>0</v>
      </c>
      <c r="AE43" s="406" t="str">
        <f>IFERROR(INDEX(V!$R:$R,MATCH(AF43,V!$L:$L,0)),"")</f>
        <v/>
      </c>
      <c r="AF43" s="407" t="str">
        <f t="shared" si="1"/>
        <v>Peterburg 1 - Aleksei Tkachenko</v>
      </c>
      <c r="AG43" s="406" t="str">
        <f>IFERROR(INDEX(V!$R:$R,MATCH(AH43,V!$L:$L,0)),"")</f>
        <v/>
      </c>
      <c r="AH43" s="407" t="str">
        <f t="shared" si="2"/>
        <v>Anna Tkachenko, Denis Volkov</v>
      </c>
      <c r="AI43" s="406" t="str">
        <f>IFERROR(INDEX(V!$R:$R,MATCH(AJ43,V!$L:$L,0)),"")</f>
        <v/>
      </c>
      <c r="AJ43" s="407" t="str">
        <f t="shared" si="3"/>
        <v>Anna Tkachenko</v>
      </c>
      <c r="AK43" s="406" t="str">
        <f>IFERROR(INDEX(V!$R:$R,MATCH(AL43,V!$L:$L,0)),"")</f>
        <v/>
      </c>
      <c r="AL43" s="407" t="str">
        <f t="shared" si="4"/>
        <v>Denis Volkov</v>
      </c>
      <c r="AM43" s="406" t="str">
        <f>IFERROR(INDEX(V!$R:$R,MATCH(AN43,V!$L:$L,0)),"")</f>
        <v/>
      </c>
      <c r="AN43" s="407" t="str">
        <f t="shared" si="5"/>
        <v/>
      </c>
      <c r="AO43" s="406" t="str">
        <f>IFERROR(INDEX(V!$R:$R,MATCH(AP43,V!$L:$L,0)),"")</f>
        <v/>
      </c>
      <c r="AP43" s="407" t="str">
        <f t="shared" si="6"/>
        <v/>
      </c>
    </row>
    <row r="44" spans="1:42" ht="25.5" x14ac:dyDescent="0.2">
      <c r="A44" s="316">
        <v>3</v>
      </c>
      <c r="B44" s="488" t="s">
        <v>564</v>
      </c>
      <c r="C44" s="318">
        <v>11</v>
      </c>
      <c r="D44" s="492">
        <v>11</v>
      </c>
      <c r="E44" s="319"/>
      <c r="F44" s="318"/>
      <c r="G44" s="318"/>
      <c r="H44" s="317" t="str">
        <f>(IF(C44-E42&gt;0,1)+IF(D44-E43&gt;0,1)+IF(F44-E45&gt;0,1)+IF(G44-E46&gt;0,1))&amp;"-"&amp;(IF(C44-E42&lt;0,1)+IF(D44-E43&lt;0,1)+IF(F44-E45&lt;0,1)+IF(G44-E46&lt;0,1))</f>
        <v>0-2</v>
      </c>
      <c r="I44" s="318" t="str">
        <f t="shared" si="10"/>
        <v>F3</v>
      </c>
      <c r="J44" s="489">
        <f>IF(AND(Q44=1,Q42=1,C44&gt;E42),1)+IF(AND(Q44=1,Q43=1,D44&gt;E43),1)+IF(AND(Q44=1,Q45=1,F44&gt;E45),1)+IF(AND(Q44=1,Q46=1,G44&gt;E46),1)+IF(AND(Q44=2,Q42=2,C44&gt;E42),1)+IF(AND(Q44=2,Q43=2,D44&gt;E43),1)+IF(AND(Q44=2,Q45=2,F44&gt;E45),1)+IF(AND(Q44=2,Q46=2,G44&gt;E46),1)+IF(AND(Q44=3,Q42=3,C44&gt;E42),1)+IF(AND(Q44=3,Q43=3,D44&gt;E43),1)+IF(AND(Q44=3,Q45=3,F44&gt;E45),1)+IF(AND(Q44=3,Q46=3,G44&gt;E46),1)</f>
        <v>0</v>
      </c>
      <c r="K44" s="483">
        <f>SUM(AND(T44=T42,C44&gt;E42),AND(T44=T43,D44&gt;E43),AND(T44=T45,F44&gt;E45),AND(T44=T46,G44&gt;E46))</f>
        <v>0</v>
      </c>
      <c r="L44" s="490">
        <f>IF(AND(Q44=1,Q42=1),C44-E42)+IF(AND(Q44=1,Q43=1),D44-E43)+IF(AND(Q44=1,Q45=1),F44-E45)+IF(AND(Q44=1,Q46=1),G44-E46)+IF(AND(Q44=2,Q42=2),C44-E42)+IF(AND(Q44=2,Q43=2),D44-E43)+IF(AND(Q44=2,Q45=2),F44-E45)+IF(AND(Q44=2,Q46=2),G44-E46)+IF(AND(Q44=3,Q42=3),C44-E42)+IF(AND(Q44=3,Q43=3),D44-E43)+IF(AND(Q44=3,Q45=3),F44-E45)+IF(AND(Q44=3,Q46=3),G44-E46)+IF(AND(Q44=4,Q42=4),C44-E42)+IF(AND(Q44=4,Q43=4),D44-E43)+IF(AND(Q44=4,Q45=4),F44-E45)+IF(AND(Q44=4,Q46=4),G44-E46)</f>
        <v>0</v>
      </c>
      <c r="M44" s="483">
        <f>SUM(AND(R44=R42,C44&gt;E42),AND(R44=R43,D44&gt;E43),AND(R44=R45,F44&gt;E45),AND(R44=R46,G44&gt;E46))</f>
        <v>0</v>
      </c>
      <c r="N44" s="537" t="str">
        <f>SUM(C44:G44)&amp;"-"&amp;SUM(E42:E46)</f>
        <v>22-26</v>
      </c>
      <c r="O44" s="538">
        <f>C44+D44+F44+G44-E42-E43-E45-E46</f>
        <v>-4</v>
      </c>
      <c r="P44" s="485">
        <f>SUM(C44:G44,E42:E46)/SUM(E42:E46)</f>
        <v>1.8461538461538463</v>
      </c>
      <c r="Q44" s="491">
        <f>VALUE(LEFT(H44,1))</f>
        <v>0</v>
      </c>
      <c r="R44" s="321">
        <f>Q44*100000+J44*10000+K44*1000+100*L44</f>
        <v>0</v>
      </c>
      <c r="S44" s="486">
        <f>R44+M44*0.1+IF(ISNONTEXT(B44),0,0.01)+0.0001*O44</f>
        <v>9.6000000000000009E-3</v>
      </c>
      <c r="T44" s="487" t="str">
        <f>Q44&amp;J44</f>
        <v>00</v>
      </c>
      <c r="U44" s="477"/>
      <c r="V44" s="477"/>
      <c r="W44" s="477"/>
      <c r="X44" s="477"/>
      <c r="Y44" s="477"/>
      <c r="Z44" s="477"/>
      <c r="AA44" s="477"/>
      <c r="AD44" s="405">
        <f t="shared" si="0"/>
        <v>233</v>
      </c>
      <c r="AE44" s="406" t="str">
        <f>IFERROR(INDEX(V!$R:$R,MATCH(AF44,V!$L:$L,0)),"")</f>
        <v/>
      </c>
      <c r="AF44" s="407" t="str">
        <f t="shared" si="1"/>
        <v>Orrod - Aigi Orro</v>
      </c>
      <c r="AG44" s="406" t="str">
        <f>IFERROR(INDEX(V!$R:$R,MATCH(AH44,V!$L:$L,0)),"")</f>
        <v/>
      </c>
      <c r="AH44" s="407" t="str">
        <f t="shared" si="2"/>
        <v>Elmo Lageda, Kalle Orro</v>
      </c>
      <c r="AI44" s="406">
        <f>IFERROR(INDEX(V!$R:$R,MATCH(AJ44,V!$L:$L,0)),"")</f>
        <v>100</v>
      </c>
      <c r="AJ44" s="407" t="str">
        <f t="shared" si="3"/>
        <v>Elmo Lageda</v>
      </c>
      <c r="AK44" s="406">
        <f>IFERROR(INDEX(V!$R:$R,MATCH(AL44,V!$L:$L,0)),"")</f>
        <v>133</v>
      </c>
      <c r="AL44" s="407" t="str">
        <f t="shared" si="4"/>
        <v>Kalle Orro</v>
      </c>
      <c r="AM44" s="406" t="str">
        <f>IFERROR(INDEX(V!$R:$R,MATCH(AN44,V!$L:$L,0)),"")</f>
        <v/>
      </c>
      <c r="AN44" s="407" t="str">
        <f t="shared" si="5"/>
        <v/>
      </c>
      <c r="AO44" s="406" t="str">
        <f>IFERROR(INDEX(V!$R:$R,MATCH(AP44,V!$L:$L,0)),"")</f>
        <v/>
      </c>
      <c r="AP44" s="407" t="str">
        <f t="shared" si="6"/>
        <v/>
      </c>
    </row>
    <row r="45" spans="1:42" hidden="1" x14ac:dyDescent="0.2">
      <c r="A45" s="316">
        <v>4</v>
      </c>
      <c r="B45" s="493"/>
      <c r="C45" s="318"/>
      <c r="D45" s="492"/>
      <c r="E45" s="318"/>
      <c r="F45" s="319"/>
      <c r="G45" s="511"/>
      <c r="H45" s="317" t="str">
        <f>(IF(C45-F42&gt;0,1)+IF(D45-F43&gt;0,1)+IF(E45-F44&gt;0,1)+IF(G45-F46&gt;0,1))&amp;"-"&amp;(IF(C45-F42&lt;0,1)+IF(D45-F43&lt;0,1)+IF(E45-F44&lt;0,1)+IF(G45-F46&lt;0,1))</f>
        <v>0-0</v>
      </c>
      <c r="I45" s="318" t="str">
        <f t="shared" si="10"/>
        <v xml:space="preserve"> </v>
      </c>
      <c r="J45" s="489">
        <f>IF(AND(Q45=1,Q42=1,C45&gt;F42),1)+IF(AND(Q45=1,Q43=1,D45&gt;F43),1)+IF(AND(Q45=1,Q44=1,E45&gt;F44),1)+IF(AND(Q45=1,Q46=1,G45&gt;F46),1)+IF(AND(Q45=2,Q42=2,C45&gt;F42),1)+IF(AND(Q45=2,Q43=2,D45&gt;F43),1)+IF(AND(Q45=2,Q44=2,E45&gt;F44),1)+IF(AND(Q45=2,Q46=2,G45&gt;F46),1)+IF(AND(Q45=3,Q42=3,C45&gt;F42),1)+IF(AND(Q45=3,Q43=3,D45&gt;F43),1)+IF(AND(Q45=3,Q44=3,E45&gt;F44),1)+IF(AND(Q45=3,Q46=3,G45&gt;F46),1)</f>
        <v>0</v>
      </c>
      <c r="K45" s="483">
        <f>SUM(AND(T45=T42,C45&gt;F42),AND(T45=T43,D45&gt;F43),AND(T45=T44,E45&gt;F44),AND(T45=T46,G45&gt;F46))</f>
        <v>0</v>
      </c>
      <c r="L45" s="490">
        <f>IF(AND(Q45=1,Q42=1),C45-F42)+IF(AND(Q45=1,Q43=1),D45-F43)+IF(AND(Q45=1,Q44=1),E45-F44)+IF(AND(Q45=1,Q46=1),G45-F46)+IF(AND(Q45=2,Q42=2),C45-F42)+IF(AND(Q45=2,Q43=2),D45-F43)+IF(AND(Q45=2,Q44=2),E45-F44)+IF(AND(Q45=2,Q46=2),G45-F46)+IF(AND(Q45=3,Q42=3),C45-F42)+IF(AND(Q45=3,Q43=3),D45-F43)+IF(AND(Q45=3,Q44=3),E45-F44)+IF(AND(Q45=3,Q46=3),G45-F46)+IF(AND(Q45=4,Q42=4),C45-F42)+IF(AND(Q45=4,Q43=4),D45-F43)+IF(AND(Q45=4,Q44=4),E45-F44)+IF(AND(Q45=4,Q46=4),G45-F46)</f>
        <v>0</v>
      </c>
      <c r="M45" s="483">
        <f>SUM(AND(R45=R42,C45&gt;F42),AND(R45=R43,D45&gt;F43),AND(R45=R44,E45&gt;F44),AND(R45=R46,G45&gt;F46))</f>
        <v>0</v>
      </c>
      <c r="N45" s="537" t="str">
        <f>SUM(C45:G45)&amp;"-"&amp;SUM(F42:F46)</f>
        <v>0-0</v>
      </c>
      <c r="O45" s="538">
        <f>C45+D45+E45+G45-F42-F43-F44-F46</f>
        <v>0</v>
      </c>
      <c r="P45" s="485" t="e">
        <f>SUM(C45:G45,F42:F46)/SUM(F42:F46)</f>
        <v>#DIV/0!</v>
      </c>
      <c r="Q45" s="491">
        <f>VALUE(LEFT(H45,1))</f>
        <v>0</v>
      </c>
      <c r="R45" s="321">
        <f>Q45*100000+J45*10000+K45*1000+100*L45</f>
        <v>0</v>
      </c>
      <c r="S45" s="486">
        <f>R45+M45*0.1+IF(ISNONTEXT(B45),0,0.01)+0.0001*O45</f>
        <v>0</v>
      </c>
      <c r="T45" s="487" t="str">
        <f>Q45&amp;J45</f>
        <v>00</v>
      </c>
      <c r="U45" s="477"/>
      <c r="V45" s="477"/>
      <c r="W45" s="477"/>
      <c r="X45" s="477"/>
      <c r="Y45" s="477"/>
      <c r="Z45" s="477"/>
      <c r="AA45" s="477"/>
      <c r="AB45" s="477"/>
      <c r="AC45" s="477"/>
      <c r="AD45" s="477"/>
      <c r="AE45" s="477"/>
      <c r="AF45" s="477"/>
      <c r="AG45" s="477"/>
      <c r="AH45" s="477"/>
      <c r="AI45" s="477"/>
      <c r="AJ45" s="477"/>
    </row>
    <row r="46" spans="1:42" hidden="1" x14ac:dyDescent="0.2">
      <c r="A46" s="316">
        <v>5</v>
      </c>
      <c r="B46" s="493"/>
      <c r="C46" s="318"/>
      <c r="D46" s="318"/>
      <c r="E46" s="318"/>
      <c r="F46" s="318"/>
      <c r="G46" s="319"/>
      <c r="H46" s="317" t="str">
        <f>(IF(C46-G42&gt;0,1)+IF(D46-G43&gt;0,1)+IF(E46-G44&gt;0,1)+IF(F46-G45&gt;0,1))&amp;"-"&amp;(IF(C46-G42&lt;0,1)+IF(D46-G43&lt;0,1)+IF(E46-G44&lt;0,1)+IF(F46-G45&lt;0,1))</f>
        <v>0-0</v>
      </c>
      <c r="I46" s="318" t="str">
        <f t="shared" si="10"/>
        <v xml:space="preserve"> </v>
      </c>
      <c r="J46" s="489">
        <f>IF(AND(Q46=1,Q42=1,C46&gt;G42),1)+IF(AND(Q46=1,Q43=1,D46&gt;G43),1)+IF(AND(Q46=1,Q44=1,E46&gt;G44),1)+IF(AND(Q46=1,Q45=1,F46&gt;G45),1)+IF(AND(Q46=2,Q42=2,C46&gt;G42),1)+IF(AND(Q46=2,Q43=2,D46&gt;G43),1)+IF(AND(Q46=2,Q44=2,E46&gt;G44),1)+IF(AND(Q46=2,Q45=2,F46&gt;G45),1)+IF(AND(Q46=3,Q42=3,C46&gt;G42),1)+IF(AND(Q46=3,Q43=3,D46&gt;G43),1)+IF(AND(Q46=3,Q44=3,E46&gt;G44),1)+IF(AND(Q46=3,Q45=3,F46&gt;G45),1)</f>
        <v>0</v>
      </c>
      <c r="K46" s="483">
        <f>SUM(AND(T46=T42,C46&gt;G42),AND(T46=T43,D46&gt;G43),AND(T46=T44,E46&gt;G44),AND(T46=T45,F46&gt;G45))</f>
        <v>0</v>
      </c>
      <c r="L46" s="490">
        <f>IF(AND(Q46=1,Q42=1),C46-G42)+IF(AND(Q46=1,Q43=1),D46-G43)+IF(AND(Q46=1,Q44=1),E46-G44)+IF(AND(Q46=1,Q45=1),F46-G45)+IF(AND(Q46=2,Q42=2),C46-G42)+IF(AND(Q46=2,Q43=2),D46-G43)+IF(AND(Q46=2,Q44=2),E46-G44)+IF(AND(Q46=2,Q45=2),F46-G45)+IF(AND(Q46=3,Q42=3),C46-G42)+IF(AND(Q46=3,Q43=3),D46-G43)+IF(AND(Q46=3,Q44=3),E46-G44)+IF(AND(Q46=3,Q45=3),F46-G45)+IF(AND(Q46=4,Q42=4),C46-G42)+IF(AND(Q46=4,Q43=4),D46-G43)+IF(AND(Q46=4,Q44=4),E46-G44)+IF(AND(Q46=4,Q45=4),F46-G45)</f>
        <v>0</v>
      </c>
      <c r="M46" s="483">
        <f>SUM(AND(R46=R42,C46&gt;G42),AND(R46=R43,D46&gt;G43),AND(R46=R44,E46&gt;G44),AND(R46=R45,F46&gt;G45))</f>
        <v>0</v>
      </c>
      <c r="N46" s="537" t="str">
        <f>SUM(C46:G46)&amp;"-"&amp;SUM(G42:G46)</f>
        <v>0-0</v>
      </c>
      <c r="O46" s="538">
        <f>C46+D46+E46+F46-G42-G43-G44-G45</f>
        <v>0</v>
      </c>
      <c r="P46" s="485" t="e">
        <f>SUM(C46:G46,G42:G46)/SUM(G42:G46)</f>
        <v>#DIV/0!</v>
      </c>
      <c r="Q46" s="491">
        <f>VALUE(LEFT(H46,1))</f>
        <v>0</v>
      </c>
      <c r="R46" s="321">
        <f>Q46*100000+J46*10000+K46*1000+100*L46</f>
        <v>0</v>
      </c>
      <c r="S46" s="486">
        <f>R46+M46*0.1+IF(ISNONTEXT(B46),0,0.01)+0.0001*O46</f>
        <v>0</v>
      </c>
      <c r="T46" s="487" t="str">
        <f>Q46&amp;J46</f>
        <v>00</v>
      </c>
      <c r="U46" s="477"/>
      <c r="V46" s="477"/>
      <c r="W46" s="477"/>
      <c r="X46" s="477"/>
      <c r="Y46" s="477"/>
      <c r="Z46" s="477"/>
      <c r="AA46" s="477"/>
      <c r="AB46" s="477"/>
      <c r="AC46" s="477"/>
      <c r="AD46" s="477"/>
      <c r="AE46" s="477"/>
      <c r="AF46" s="477"/>
      <c r="AG46" s="477"/>
      <c r="AH46" s="477"/>
      <c r="AI46" s="477"/>
      <c r="AJ46" s="477"/>
    </row>
    <row r="47" spans="1:42" hidden="1" x14ac:dyDescent="0.2">
      <c r="A47" s="494"/>
      <c r="B47" s="495"/>
      <c r="C47" s="496"/>
      <c r="D47" s="497"/>
      <c r="E47" s="496"/>
      <c r="F47" s="498"/>
      <c r="G47" s="499"/>
      <c r="H47" s="500"/>
      <c r="I47" s="512"/>
      <c r="J47" s="477"/>
      <c r="K47" s="477"/>
      <c r="L47" s="477"/>
      <c r="M47" s="477"/>
      <c r="N47" s="539"/>
      <c r="O47" s="539"/>
      <c r="P47" s="477"/>
      <c r="Q47" s="477"/>
      <c r="R47" s="502" t="s">
        <v>264</v>
      </c>
      <c r="S47" s="477"/>
      <c r="T47" s="477"/>
      <c r="U47" s="477"/>
      <c r="V47" s="477"/>
      <c r="W47" s="477"/>
      <c r="X47" s="477"/>
      <c r="Y47" s="477"/>
      <c r="Z47" s="477"/>
      <c r="AA47" s="477"/>
      <c r="AB47" s="477"/>
      <c r="AC47" s="477"/>
      <c r="AD47" s="477"/>
      <c r="AE47" s="477"/>
      <c r="AF47" s="477"/>
      <c r="AG47" s="477"/>
      <c r="AH47" s="477"/>
      <c r="AI47" s="477"/>
      <c r="AJ47" s="477"/>
    </row>
    <row r="48" spans="1:42" hidden="1" x14ac:dyDescent="0.2">
      <c r="A48" s="477"/>
      <c r="B48" s="477"/>
      <c r="C48" s="477"/>
      <c r="D48" s="477"/>
      <c r="E48" s="477"/>
      <c r="F48" s="477"/>
      <c r="G48" s="477"/>
      <c r="H48" s="477"/>
      <c r="I48" s="477"/>
      <c r="J48" s="477"/>
      <c r="K48" s="477"/>
      <c r="L48" s="477"/>
      <c r="M48" s="477"/>
      <c r="N48" s="477"/>
      <c r="O48" s="477"/>
      <c r="P48" s="477"/>
      <c r="Q48" s="477"/>
      <c r="R48" s="477"/>
      <c r="S48" s="477"/>
      <c r="T48" s="477"/>
      <c r="U48" s="477"/>
      <c r="V48" s="477"/>
      <c r="W48" s="477"/>
      <c r="X48" s="477"/>
      <c r="Y48" s="477"/>
      <c r="Z48" s="477"/>
      <c r="AA48" s="477"/>
      <c r="AB48" s="477"/>
      <c r="AC48" s="477"/>
      <c r="AD48" s="477"/>
      <c r="AE48" s="477"/>
      <c r="AF48" s="477"/>
      <c r="AG48" s="477"/>
      <c r="AH48" s="477"/>
      <c r="AI48" s="477"/>
      <c r="AJ48" s="477"/>
    </row>
    <row r="49" spans="1:36" hidden="1" x14ac:dyDescent="0.2">
      <c r="A49" s="477"/>
      <c r="B49" s="477"/>
      <c r="C49" s="477"/>
      <c r="D49" s="477"/>
      <c r="E49" s="477"/>
      <c r="F49" s="477"/>
      <c r="G49" s="477"/>
      <c r="H49" s="477"/>
      <c r="I49" s="477"/>
      <c r="J49" s="477"/>
      <c r="K49" s="477"/>
      <c r="L49" s="477"/>
      <c r="M49" s="477"/>
      <c r="N49" s="477"/>
      <c r="O49" s="477"/>
      <c r="P49" s="477"/>
      <c r="Q49" s="477"/>
      <c r="R49" s="477"/>
      <c r="S49" s="477"/>
      <c r="T49" s="477"/>
      <c r="U49" s="477"/>
      <c r="V49" s="477"/>
      <c r="W49" s="477"/>
      <c r="X49" s="477"/>
      <c r="Y49" s="477"/>
      <c r="Z49" s="477"/>
      <c r="AA49" s="477"/>
      <c r="AB49" s="477"/>
      <c r="AC49" s="477"/>
      <c r="AD49" s="477"/>
      <c r="AE49" s="477"/>
      <c r="AF49" s="477"/>
      <c r="AG49" s="477"/>
      <c r="AH49" s="477"/>
      <c r="AI49" s="477"/>
      <c r="AJ49" s="477"/>
    </row>
    <row r="50" spans="1:36" hidden="1" x14ac:dyDescent="0.2">
      <c r="A50" s="477"/>
      <c r="B50" s="477"/>
      <c r="C50" s="477"/>
      <c r="D50" s="477"/>
      <c r="E50" s="477"/>
      <c r="F50" s="477"/>
      <c r="G50" s="477"/>
      <c r="H50" s="477"/>
      <c r="I50" s="477"/>
      <c r="J50" s="477"/>
      <c r="K50" s="477"/>
      <c r="L50" s="477"/>
      <c r="M50" s="477"/>
      <c r="N50" s="477"/>
      <c r="O50" s="477"/>
      <c r="P50" s="477"/>
      <c r="Q50" s="477"/>
      <c r="R50" s="477"/>
      <c r="S50" s="477"/>
      <c r="T50" s="477"/>
      <c r="U50" s="477"/>
      <c r="V50" s="477"/>
      <c r="W50" s="477"/>
      <c r="X50" s="477"/>
      <c r="Y50" s="477"/>
      <c r="Z50" s="477"/>
      <c r="AA50" s="477"/>
      <c r="AB50" s="477"/>
      <c r="AC50" s="477"/>
      <c r="AD50" s="477"/>
      <c r="AE50" s="477"/>
      <c r="AF50" s="477"/>
      <c r="AG50" s="477"/>
      <c r="AH50" s="477"/>
      <c r="AI50" s="477"/>
      <c r="AJ50" s="477"/>
    </row>
    <row r="51" spans="1:36" hidden="1" x14ac:dyDescent="0.2">
      <c r="A51" s="477"/>
      <c r="B51" s="477"/>
      <c r="C51" s="477"/>
      <c r="D51" s="477"/>
      <c r="E51" s="477"/>
      <c r="F51" s="477"/>
      <c r="G51" s="477"/>
      <c r="H51" s="477"/>
      <c r="I51" s="477"/>
      <c r="J51" s="477"/>
      <c r="K51" s="477"/>
      <c r="L51" s="477"/>
      <c r="M51" s="477"/>
      <c r="N51" s="477"/>
      <c r="O51" s="477"/>
      <c r="P51" s="477"/>
      <c r="Q51" s="477"/>
      <c r="R51" s="477"/>
      <c r="S51" s="477"/>
      <c r="T51" s="477"/>
      <c r="U51" s="477"/>
      <c r="V51" s="477"/>
      <c r="W51" s="477"/>
      <c r="X51" s="477"/>
      <c r="Y51" s="477"/>
      <c r="Z51" s="477"/>
      <c r="AA51" s="477"/>
      <c r="AB51" s="477"/>
      <c r="AC51" s="477"/>
      <c r="AD51" s="477"/>
      <c r="AE51" s="477"/>
      <c r="AF51" s="477"/>
      <c r="AG51" s="477"/>
      <c r="AH51" s="477"/>
      <c r="AI51" s="477"/>
      <c r="AJ51" s="477"/>
    </row>
    <row r="52" spans="1:36" hidden="1" x14ac:dyDescent="0.2">
      <c r="A52" s="477"/>
      <c r="B52" s="477"/>
      <c r="C52" s="477"/>
      <c r="D52" s="477"/>
      <c r="E52" s="477"/>
      <c r="F52" s="477"/>
      <c r="G52" s="477"/>
      <c r="H52" s="477"/>
      <c r="I52" s="477"/>
      <c r="J52" s="477"/>
      <c r="K52" s="477"/>
      <c r="L52" s="477"/>
      <c r="M52" s="477"/>
      <c r="N52" s="477"/>
      <c r="O52" s="477"/>
      <c r="P52" s="477"/>
      <c r="Q52" s="477"/>
      <c r="R52" s="477"/>
      <c r="S52" s="477"/>
      <c r="T52" s="477"/>
      <c r="U52" s="477"/>
      <c r="V52" s="477"/>
      <c r="W52" s="477"/>
      <c r="X52" s="477"/>
      <c r="Y52" s="477"/>
      <c r="Z52" s="477"/>
      <c r="AA52" s="477"/>
      <c r="AB52" s="477"/>
      <c r="AC52" s="477"/>
      <c r="AD52" s="477"/>
      <c r="AE52" s="477"/>
      <c r="AF52" s="477"/>
      <c r="AG52" s="477"/>
      <c r="AH52" s="477"/>
      <c r="AI52" s="477"/>
      <c r="AJ52" s="477"/>
    </row>
    <row r="53" spans="1:36" hidden="1" x14ac:dyDescent="0.2">
      <c r="A53" s="477"/>
      <c r="B53" s="477"/>
      <c r="C53" s="477"/>
      <c r="D53" s="477"/>
      <c r="E53" s="477"/>
      <c r="F53" s="477"/>
      <c r="G53" s="477"/>
      <c r="H53" s="477"/>
      <c r="I53" s="477"/>
      <c r="J53" s="477"/>
      <c r="K53" s="477"/>
      <c r="L53" s="477"/>
      <c r="M53" s="477"/>
      <c r="N53" s="477"/>
      <c r="O53" s="477"/>
      <c r="P53" s="477"/>
      <c r="Q53" s="477"/>
      <c r="R53" s="477"/>
      <c r="S53" s="477"/>
      <c r="T53" s="477"/>
      <c r="U53" s="477"/>
      <c r="V53" s="477"/>
      <c r="W53" s="477"/>
      <c r="X53" s="477"/>
      <c r="Y53" s="477"/>
      <c r="Z53" s="477"/>
      <c r="AA53" s="477"/>
      <c r="AB53" s="477"/>
      <c r="AC53" s="477"/>
      <c r="AD53" s="477"/>
      <c r="AE53" s="477"/>
      <c r="AF53" s="477"/>
      <c r="AG53" s="477"/>
      <c r="AH53" s="477"/>
      <c r="AI53" s="477"/>
      <c r="AJ53" s="477"/>
    </row>
    <row r="54" spans="1:36" hidden="1" x14ac:dyDescent="0.2">
      <c r="A54" s="477"/>
      <c r="B54" s="477"/>
      <c r="C54" s="477"/>
      <c r="D54" s="477"/>
      <c r="E54" s="477"/>
      <c r="F54" s="477"/>
      <c r="G54" s="477"/>
      <c r="H54" s="477"/>
      <c r="I54" s="477"/>
      <c r="J54" s="477"/>
      <c r="K54" s="477"/>
      <c r="L54" s="477"/>
      <c r="M54" s="477"/>
      <c r="N54" s="477"/>
      <c r="O54" s="477"/>
      <c r="P54" s="477"/>
      <c r="Q54" s="477"/>
      <c r="R54" s="477"/>
      <c r="S54" s="477"/>
      <c r="T54" s="477"/>
      <c r="U54" s="477"/>
      <c r="V54" s="477"/>
      <c r="W54" s="477"/>
      <c r="X54" s="477"/>
      <c r="Y54" s="477"/>
      <c r="Z54" s="477"/>
      <c r="AA54" s="477"/>
      <c r="AB54" s="477"/>
      <c r="AC54" s="477"/>
      <c r="AD54" s="477"/>
      <c r="AE54" s="477"/>
      <c r="AF54" s="477"/>
      <c r="AG54" s="477"/>
      <c r="AH54" s="477"/>
      <c r="AI54" s="477"/>
      <c r="AJ54" s="477"/>
    </row>
    <row r="55" spans="1:36" hidden="1" x14ac:dyDescent="0.2">
      <c r="A55" s="477"/>
      <c r="B55" s="477"/>
      <c r="C55" s="477"/>
      <c r="D55" s="477"/>
      <c r="E55" s="477"/>
      <c r="F55" s="477"/>
      <c r="G55" s="477"/>
      <c r="H55" s="477"/>
      <c r="I55" s="477"/>
      <c r="J55" s="477"/>
      <c r="K55" s="477"/>
      <c r="L55" s="477"/>
      <c r="M55" s="477"/>
      <c r="N55" s="477"/>
      <c r="O55" s="477"/>
      <c r="P55" s="477"/>
      <c r="Q55" s="477"/>
      <c r="R55" s="477"/>
      <c r="S55" s="477"/>
      <c r="T55" s="477"/>
      <c r="U55" s="477"/>
      <c r="V55" s="477"/>
      <c r="W55" s="477"/>
      <c r="X55" s="477"/>
      <c r="Y55" s="477"/>
      <c r="Z55" s="477"/>
      <c r="AA55" s="477"/>
      <c r="AB55" s="477"/>
      <c r="AC55" s="477"/>
      <c r="AD55" s="477"/>
      <c r="AE55" s="477"/>
      <c r="AF55" s="477"/>
      <c r="AG55" s="477"/>
      <c r="AH55" s="477"/>
      <c r="AI55" s="477"/>
      <c r="AJ55" s="477"/>
    </row>
    <row r="56" spans="1:36" hidden="1" x14ac:dyDescent="0.2">
      <c r="A56" s="477"/>
      <c r="B56" s="477"/>
      <c r="C56" s="477"/>
      <c r="D56" s="477"/>
      <c r="E56" s="477"/>
      <c r="F56" s="477"/>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D56" s="477"/>
      <c r="AE56" s="477"/>
      <c r="AF56" s="477"/>
      <c r="AG56" s="477"/>
      <c r="AH56" s="477"/>
      <c r="AI56" s="477"/>
      <c r="AJ56" s="477"/>
    </row>
    <row r="57" spans="1:36" hidden="1" x14ac:dyDescent="0.2">
      <c r="A57" s="477"/>
      <c r="B57" s="477"/>
      <c r="C57" s="477"/>
      <c r="D57" s="477"/>
      <c r="E57" s="477"/>
      <c r="F57" s="477"/>
      <c r="G57" s="477"/>
      <c r="H57" s="477"/>
      <c r="I57" s="477"/>
      <c r="J57" s="477"/>
      <c r="K57" s="477"/>
      <c r="L57" s="477"/>
      <c r="M57" s="477"/>
      <c r="N57" s="477"/>
      <c r="O57" s="477"/>
      <c r="P57" s="477"/>
      <c r="Q57" s="477"/>
      <c r="R57" s="477"/>
      <c r="S57" s="477"/>
      <c r="T57" s="477"/>
      <c r="U57" s="477"/>
      <c r="V57" s="477"/>
      <c r="W57" s="477"/>
      <c r="X57" s="477"/>
      <c r="Y57" s="477"/>
      <c r="Z57" s="477"/>
      <c r="AA57" s="477"/>
      <c r="AB57" s="477"/>
      <c r="AC57" s="477"/>
      <c r="AD57" s="477"/>
      <c r="AE57" s="477"/>
      <c r="AF57" s="477"/>
      <c r="AG57" s="477"/>
      <c r="AH57" s="477"/>
      <c r="AI57" s="477"/>
      <c r="AJ57" s="477"/>
    </row>
    <row r="58" spans="1:36" hidden="1" x14ac:dyDescent="0.2">
      <c r="A58" s="477"/>
      <c r="B58" s="477"/>
      <c r="C58" s="477"/>
      <c r="D58" s="477"/>
      <c r="E58" s="477"/>
      <c r="F58" s="477"/>
      <c r="G58" s="477"/>
      <c r="H58" s="477"/>
      <c r="I58" s="477"/>
      <c r="J58" s="477"/>
      <c r="K58" s="477"/>
      <c r="L58" s="477"/>
      <c r="M58" s="477"/>
      <c r="N58" s="477"/>
      <c r="O58" s="477"/>
      <c r="P58" s="477"/>
      <c r="Q58" s="477"/>
      <c r="R58" s="477"/>
      <c r="S58" s="477"/>
      <c r="T58" s="477"/>
      <c r="U58" s="477"/>
      <c r="V58" s="477"/>
      <c r="W58" s="477"/>
      <c r="X58" s="477"/>
      <c r="Y58" s="477"/>
      <c r="Z58" s="477"/>
      <c r="AA58" s="477"/>
      <c r="AB58" s="477"/>
      <c r="AC58" s="477"/>
      <c r="AD58" s="477"/>
      <c r="AE58" s="477"/>
      <c r="AF58" s="477"/>
      <c r="AG58" s="477"/>
      <c r="AH58" s="477"/>
      <c r="AI58" s="477"/>
      <c r="AJ58" s="477"/>
    </row>
    <row r="59" spans="1:36" hidden="1" x14ac:dyDescent="0.2">
      <c r="A59" s="477"/>
      <c r="B59" s="477"/>
      <c r="C59" s="477"/>
      <c r="D59" s="477"/>
      <c r="E59" s="477"/>
      <c r="F59" s="477"/>
      <c r="G59" s="477"/>
      <c r="H59" s="477"/>
      <c r="I59" s="477"/>
      <c r="J59" s="477"/>
      <c r="K59" s="477"/>
      <c r="L59" s="477"/>
      <c r="M59" s="477"/>
      <c r="N59" s="477"/>
      <c r="O59" s="477"/>
      <c r="P59" s="477"/>
      <c r="Q59" s="477"/>
      <c r="R59" s="477"/>
      <c r="S59" s="477"/>
      <c r="T59" s="477"/>
      <c r="U59" s="477"/>
      <c r="V59" s="477"/>
      <c r="W59" s="477"/>
      <c r="X59" s="477"/>
      <c r="Y59" s="477"/>
      <c r="Z59" s="477"/>
      <c r="AA59" s="477"/>
      <c r="AB59" s="477"/>
      <c r="AC59" s="477"/>
      <c r="AD59" s="477"/>
      <c r="AE59" s="477"/>
      <c r="AF59" s="477"/>
      <c r="AG59" s="477"/>
      <c r="AH59" s="477"/>
      <c r="AI59" s="477"/>
      <c r="AJ59" s="477"/>
    </row>
    <row r="60" spans="1:36" hidden="1" x14ac:dyDescent="0.2">
      <c r="A60" s="477"/>
      <c r="B60" s="477"/>
      <c r="C60" s="477"/>
      <c r="D60" s="477"/>
      <c r="E60" s="477"/>
      <c r="F60" s="477"/>
      <c r="G60" s="477"/>
      <c r="H60" s="477"/>
      <c r="I60" s="477"/>
      <c r="J60" s="477"/>
      <c r="K60" s="477"/>
      <c r="L60" s="477"/>
      <c r="M60" s="477"/>
      <c r="N60" s="477"/>
      <c r="O60" s="477"/>
      <c r="P60" s="477"/>
      <c r="Q60" s="477"/>
      <c r="R60" s="477"/>
      <c r="S60" s="477"/>
      <c r="T60" s="477"/>
      <c r="U60" s="477"/>
      <c r="V60" s="477"/>
      <c r="W60" s="477"/>
      <c r="X60" s="477"/>
      <c r="Y60" s="477"/>
      <c r="Z60" s="477"/>
      <c r="AA60" s="477"/>
      <c r="AB60" s="477"/>
      <c r="AC60" s="477"/>
      <c r="AD60" s="477"/>
      <c r="AE60" s="477"/>
      <c r="AF60" s="477"/>
      <c r="AG60" s="477"/>
      <c r="AH60" s="477"/>
      <c r="AI60" s="477"/>
      <c r="AJ60" s="477"/>
    </row>
    <row r="61" spans="1:36" x14ac:dyDescent="0.2">
      <c r="A61" s="477"/>
      <c r="B61" s="477"/>
      <c r="C61" s="477"/>
      <c r="D61" s="477"/>
      <c r="E61" s="477"/>
      <c r="F61" s="477"/>
      <c r="G61" s="477"/>
      <c r="H61" s="477"/>
      <c r="I61" s="477"/>
      <c r="J61" s="477"/>
      <c r="K61" s="477"/>
      <c r="L61" s="477"/>
      <c r="M61" s="477"/>
      <c r="N61" s="477"/>
      <c r="O61" s="477"/>
      <c r="P61" s="477"/>
      <c r="Q61" s="477"/>
      <c r="R61" s="477"/>
      <c r="S61" s="477"/>
      <c r="T61" s="477"/>
      <c r="U61" s="477"/>
    </row>
    <row r="62" spans="1:36" x14ac:dyDescent="0.2">
      <c r="A62" s="79"/>
      <c r="B62" s="322" t="s">
        <v>171</v>
      </c>
      <c r="C62" s="283" t="s">
        <v>175</v>
      </c>
      <c r="D62" s="445"/>
      <c r="E62" s="79"/>
      <c r="F62" s="62"/>
      <c r="G62" s="79"/>
      <c r="H62" s="79"/>
      <c r="I62" s="79"/>
      <c r="J62" s="79"/>
      <c r="K62" s="62"/>
      <c r="L62" s="79"/>
      <c r="M62" s="62"/>
      <c r="N62" s="79"/>
      <c r="O62" s="299"/>
      <c r="P62" s="62"/>
      <c r="Q62" s="62"/>
      <c r="R62" s="62"/>
      <c r="S62" s="62"/>
      <c r="T62" s="62"/>
    </row>
    <row r="63" spans="1:36" x14ac:dyDescent="0.2">
      <c r="A63" s="79"/>
      <c r="B63" s="322" t="s">
        <v>174</v>
      </c>
      <c r="C63" s="283" t="s">
        <v>191</v>
      </c>
      <c r="D63" s="79"/>
      <c r="E63" s="79"/>
      <c r="F63" s="62"/>
      <c r="G63" s="79"/>
      <c r="H63" s="79"/>
      <c r="I63" s="79"/>
      <c r="J63" s="79"/>
      <c r="K63" s="62"/>
      <c r="L63" s="79"/>
      <c r="M63" s="62"/>
      <c r="N63" s="79"/>
      <c r="O63" s="299"/>
      <c r="P63" s="62"/>
      <c r="Q63" s="62"/>
      <c r="R63" s="62"/>
      <c r="S63" s="62"/>
      <c r="T63" s="62"/>
    </row>
    <row r="64" spans="1:36" x14ac:dyDescent="0.2">
      <c r="A64" s="79"/>
      <c r="B64" s="322" t="s">
        <v>177</v>
      </c>
      <c r="C64" s="283" t="s">
        <v>183</v>
      </c>
      <c r="D64" s="79"/>
      <c r="E64" s="79"/>
      <c r="F64" s="62"/>
      <c r="G64" s="79"/>
      <c r="H64" s="79"/>
      <c r="I64" s="79"/>
      <c r="J64" s="79"/>
      <c r="K64" s="62"/>
      <c r="L64" s="79"/>
      <c r="M64" s="62"/>
      <c r="N64" s="79"/>
      <c r="O64" s="299"/>
      <c r="P64" s="62"/>
      <c r="Q64" s="62"/>
      <c r="R64" s="62"/>
      <c r="S64" s="62"/>
      <c r="T64" s="62"/>
    </row>
    <row r="65" spans="1:20" ht="12.75" hidden="1" customHeight="1" x14ac:dyDescent="0.2">
      <c r="A65" s="79"/>
      <c r="B65" s="79"/>
      <c r="C65" s="79"/>
      <c r="D65" s="79"/>
      <c r="E65" s="79"/>
      <c r="F65" s="79"/>
      <c r="G65" s="79"/>
      <c r="H65" s="79"/>
      <c r="I65" s="79"/>
      <c r="J65" s="79"/>
      <c r="K65" s="62"/>
      <c r="L65" s="79"/>
      <c r="M65" s="62"/>
      <c r="N65" s="79"/>
      <c r="O65" s="299"/>
      <c r="P65" s="62"/>
      <c r="Q65" s="62"/>
      <c r="R65" s="62"/>
      <c r="S65" s="62"/>
      <c r="T65" s="62"/>
    </row>
    <row r="66" spans="1:20" ht="12.75" hidden="1" customHeight="1" x14ac:dyDescent="0.2">
      <c r="A66" s="79"/>
      <c r="B66" s="322" t="s">
        <v>171</v>
      </c>
      <c r="C66" s="283" t="s">
        <v>184</v>
      </c>
      <c r="D66" s="283" t="s">
        <v>183</v>
      </c>
      <c r="E66" s="79"/>
      <c r="F66" s="79"/>
      <c r="G66" s="79"/>
      <c r="H66" s="79"/>
      <c r="I66" s="79"/>
      <c r="J66" s="79"/>
      <c r="K66" s="62"/>
      <c r="L66" s="79"/>
      <c r="M66" s="62"/>
      <c r="N66" s="79"/>
      <c r="O66" s="299"/>
      <c r="P66" s="62"/>
      <c r="Q66" s="62"/>
      <c r="R66" s="62"/>
      <c r="S66" s="62"/>
      <c r="T66" s="62"/>
    </row>
    <row r="67" spans="1:20" ht="12.75" hidden="1" customHeight="1" x14ac:dyDescent="0.2">
      <c r="A67" s="79"/>
      <c r="B67" s="322" t="s">
        <v>174</v>
      </c>
      <c r="C67" s="283" t="s">
        <v>175</v>
      </c>
      <c r="D67" s="283" t="s">
        <v>173</v>
      </c>
      <c r="E67" s="79"/>
      <c r="F67" s="79"/>
      <c r="G67" s="79"/>
      <c r="H67" s="79"/>
      <c r="I67" s="79"/>
      <c r="J67" s="79"/>
      <c r="K67" s="62"/>
      <c r="L67" s="79"/>
      <c r="M67" s="62"/>
      <c r="N67" s="79"/>
      <c r="O67" s="299"/>
      <c r="P67" s="62"/>
      <c r="Q67" s="62"/>
      <c r="R67" s="62"/>
      <c r="S67" s="62"/>
      <c r="T67" s="62"/>
    </row>
    <row r="68" spans="1:20" ht="12.75" hidden="1" customHeight="1" x14ac:dyDescent="0.2">
      <c r="A68" s="79"/>
      <c r="B68" s="322" t="s">
        <v>177</v>
      </c>
      <c r="C68" s="283" t="s">
        <v>191</v>
      </c>
      <c r="D68" s="283" t="s">
        <v>179</v>
      </c>
      <c r="E68" s="79"/>
      <c r="F68" s="79"/>
      <c r="G68" s="79"/>
      <c r="H68" s="79"/>
      <c r="I68" s="79"/>
      <c r="J68" s="79"/>
      <c r="K68" s="62"/>
      <c r="L68" s="79"/>
      <c r="M68" s="62"/>
      <c r="N68" s="79"/>
      <c r="O68" s="299"/>
      <c r="P68" s="62"/>
      <c r="Q68" s="62"/>
      <c r="R68" s="62"/>
      <c r="S68" s="62"/>
      <c r="T68" s="62"/>
    </row>
    <row r="69" spans="1:20" hidden="1" x14ac:dyDescent="0.2">
      <c r="A69" s="79"/>
      <c r="B69" s="330"/>
      <c r="C69" s="140"/>
      <c r="D69" s="140"/>
      <c r="E69" s="79"/>
      <c r="F69" s="79"/>
      <c r="G69" s="79"/>
      <c r="H69" s="79"/>
      <c r="I69" s="79"/>
      <c r="J69" s="79"/>
      <c r="K69" s="62"/>
      <c r="L69" s="79"/>
      <c r="M69" s="62"/>
      <c r="N69" s="79"/>
      <c r="O69" s="299"/>
      <c r="P69" s="62"/>
      <c r="Q69" s="62"/>
      <c r="R69" s="62"/>
      <c r="S69" s="62"/>
      <c r="T69" s="62"/>
    </row>
    <row r="70" spans="1:20" hidden="1" x14ac:dyDescent="0.2">
      <c r="A70" s="79"/>
      <c r="B70" s="322" t="s">
        <v>171</v>
      </c>
      <c r="C70" s="283" t="s">
        <v>172</v>
      </c>
      <c r="D70" s="283" t="s">
        <v>173</v>
      </c>
      <c r="E70" s="79"/>
      <c r="F70" s="62"/>
      <c r="G70" s="62"/>
      <c r="H70" s="79"/>
      <c r="I70" s="79"/>
      <c r="J70" s="79"/>
      <c r="K70" s="62"/>
      <c r="L70" s="79"/>
      <c r="M70" s="62"/>
      <c r="N70" s="79"/>
      <c r="O70" s="299"/>
      <c r="P70" s="62"/>
      <c r="Q70" s="62"/>
      <c r="R70" s="62"/>
      <c r="S70" s="62"/>
      <c r="T70" s="62"/>
    </row>
    <row r="71" spans="1:20" hidden="1" x14ac:dyDescent="0.2">
      <c r="A71" s="79"/>
      <c r="B71" s="322" t="s">
        <v>174</v>
      </c>
      <c r="C71" s="283" t="s">
        <v>184</v>
      </c>
      <c r="D71" s="283" t="s">
        <v>183</v>
      </c>
      <c r="E71" s="79"/>
      <c r="F71" s="62"/>
      <c r="G71" s="62"/>
      <c r="H71" s="62"/>
      <c r="I71" s="79"/>
      <c r="J71" s="79"/>
      <c r="K71" s="62"/>
      <c r="L71" s="79"/>
      <c r="M71" s="62"/>
      <c r="N71" s="79"/>
      <c r="O71" s="299"/>
      <c r="P71" s="62"/>
      <c r="Q71" s="62"/>
      <c r="R71" s="62"/>
      <c r="S71" s="62"/>
      <c r="T71" s="62"/>
    </row>
    <row r="72" spans="1:20" hidden="1" x14ac:dyDescent="0.2">
      <c r="A72" s="79"/>
      <c r="B72" s="322" t="s">
        <v>177</v>
      </c>
      <c r="C72" s="283" t="s">
        <v>175</v>
      </c>
      <c r="D72" s="283" t="s">
        <v>176</v>
      </c>
      <c r="E72" s="79"/>
      <c r="F72" s="62"/>
      <c r="G72" s="62"/>
      <c r="H72" s="79"/>
      <c r="I72" s="79"/>
      <c r="J72" s="79"/>
      <c r="K72" s="62"/>
      <c r="L72" s="79"/>
      <c r="M72" s="62"/>
      <c r="N72" s="79"/>
      <c r="O72" s="299"/>
      <c r="P72" s="62"/>
      <c r="Q72" s="62"/>
      <c r="R72" s="62"/>
      <c r="S72" s="62"/>
      <c r="T72" s="62"/>
    </row>
    <row r="73" spans="1:20" hidden="1" x14ac:dyDescent="0.2">
      <c r="A73" s="79"/>
      <c r="B73" s="322" t="s">
        <v>180</v>
      </c>
      <c r="C73" s="446" t="s">
        <v>191</v>
      </c>
      <c r="D73" s="283" t="s">
        <v>181</v>
      </c>
      <c r="E73" s="79"/>
      <c r="F73" s="62"/>
      <c r="G73" s="62"/>
      <c r="H73" s="79"/>
      <c r="I73" s="79"/>
      <c r="J73" s="79"/>
      <c r="K73" s="62"/>
      <c r="L73" s="79"/>
      <c r="M73" s="62"/>
      <c r="N73" s="79"/>
      <c r="O73" s="299"/>
      <c r="P73" s="62"/>
      <c r="Q73" s="62"/>
      <c r="R73" s="62"/>
      <c r="S73" s="62"/>
      <c r="T73" s="62"/>
    </row>
    <row r="74" spans="1:20" hidden="1" x14ac:dyDescent="0.2">
      <c r="A74" s="79"/>
      <c r="B74" s="322" t="s">
        <v>182</v>
      </c>
      <c r="C74" s="283" t="s">
        <v>178</v>
      </c>
      <c r="D74" s="283" t="s">
        <v>179</v>
      </c>
      <c r="E74" s="79"/>
      <c r="F74" s="62"/>
      <c r="G74" s="62"/>
      <c r="H74" s="79"/>
      <c r="I74" s="79"/>
      <c r="J74" s="79"/>
      <c r="K74" s="62"/>
      <c r="L74" s="79"/>
      <c r="M74" s="62"/>
      <c r="N74" s="79"/>
      <c r="O74" s="299"/>
      <c r="P74" s="62"/>
      <c r="Q74" s="62"/>
      <c r="R74" s="62"/>
      <c r="S74" s="62"/>
      <c r="T74" s="62"/>
    </row>
    <row r="75" spans="1:20" hidden="1" x14ac:dyDescent="0.2"/>
    <row r="76" spans="1:20" hidden="1" x14ac:dyDescent="0.2">
      <c r="B76" s="1" t="s">
        <v>490</v>
      </c>
    </row>
    <row r="77" spans="1:20" hidden="1" x14ac:dyDescent="0.2">
      <c r="B77" s="1" t="s">
        <v>489</v>
      </c>
    </row>
    <row r="78" spans="1:20" hidden="1" x14ac:dyDescent="0.2">
      <c r="B78" s="1" t="s">
        <v>488</v>
      </c>
    </row>
    <row r="79" spans="1:20" hidden="1" x14ac:dyDescent="0.2"/>
    <row r="80" spans="1:2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spans="1:11" hidden="1" x14ac:dyDescent="0.2"/>
    <row r="98" spans="1:11" hidden="1" x14ac:dyDescent="0.2"/>
    <row r="100" spans="1:11" x14ac:dyDescent="0.2">
      <c r="A100" s="286" t="s">
        <v>192</v>
      </c>
      <c r="B100" s="287"/>
      <c r="C100" s="288"/>
      <c r="D100" s="288"/>
      <c r="E100" s="288"/>
      <c r="F100" s="285"/>
      <c r="G100" s="283"/>
      <c r="H100" s="269"/>
      <c r="I100" s="269"/>
      <c r="J100" s="269"/>
      <c r="K100" s="269"/>
    </row>
    <row r="102" spans="1:11" x14ac:dyDescent="0.2">
      <c r="A102" s="300" t="s">
        <v>193</v>
      </c>
      <c r="B102" s="582" t="str">
        <f>IF(A102="-","-",IFERROR(INDEX(B$1:B$100,MATCH(A102,I$1:I$100,0)),""))</f>
        <v>Oja - Aarne Välja, Janek Tarto, Oksana Rõndenkova, Oleg Rõndenkov</v>
      </c>
      <c r="C102" s="301">
        <f>IF(B102="-",0,IF(B104="-",13,""))</f>
        <v>13</v>
      </c>
      <c r="D102" s="269"/>
      <c r="E102" s="269"/>
      <c r="F102" s="269"/>
      <c r="G102" s="269"/>
      <c r="H102" s="269"/>
      <c r="I102" s="269"/>
      <c r="J102" s="269"/>
    </row>
    <row r="103" spans="1:11" x14ac:dyDescent="0.2">
      <c r="A103" s="302"/>
      <c r="B103" s="449"/>
      <c r="C103" s="303" t="str">
        <f>IF(COUNT(C102,C104)=2,IF(C102&gt;C104,B102,B104),"")</f>
        <v>Oja - Aarne Välja, Janek Tarto, Oksana Rõndenkova, Oleg Rõndenkov</v>
      </c>
      <c r="D103" s="269"/>
      <c r="E103" s="301">
        <v>5</v>
      </c>
      <c r="F103" s="269"/>
      <c r="G103" s="269"/>
      <c r="H103" s="269"/>
      <c r="I103" s="269"/>
      <c r="J103" s="269"/>
    </row>
    <row r="104" spans="1:11" x14ac:dyDescent="0.2">
      <c r="A104" s="302" t="s">
        <v>205</v>
      </c>
      <c r="B104" s="450" t="str">
        <f>IF(A104="-","-",IFERROR(INDEX(B$1:B$100,MATCH(A104,I$1:I$100,0)),""))</f>
        <v>-</v>
      </c>
      <c r="C104" s="304">
        <f>IF(B104="-",0,IF(B102="-",13,""))</f>
        <v>0</v>
      </c>
      <c r="D104" s="336"/>
      <c r="E104" s="269"/>
      <c r="F104" s="269"/>
      <c r="G104" s="269"/>
      <c r="H104" s="269"/>
      <c r="I104" s="269"/>
      <c r="J104" s="269"/>
    </row>
    <row r="105" spans="1:11" x14ac:dyDescent="0.2">
      <c r="A105" s="302"/>
      <c r="B105" s="292"/>
      <c r="C105" s="269"/>
      <c r="D105" s="1042" t="s">
        <v>529</v>
      </c>
      <c r="E105" s="303" t="str">
        <f>IF(COUNT(E103,E107)=2,IF(E103&gt;E107,C103,C107),"")</f>
        <v>Tartu 1 - Alari Keedus, Marek Kolk, Valmar Pantšenko</v>
      </c>
      <c r="F105" s="269"/>
      <c r="G105" s="301">
        <v>1</v>
      </c>
      <c r="H105" s="269"/>
      <c r="I105" s="269"/>
      <c r="J105" s="269"/>
    </row>
    <row r="106" spans="1:11" x14ac:dyDescent="0.2">
      <c r="A106" s="302" t="s">
        <v>198</v>
      </c>
      <c r="B106" s="582" t="str">
        <f>IF(A106="-","-",IFERROR(INDEX(B$1:B$100,MATCH(A106,I$1:I$100,0)),""))</f>
        <v>Juuniorid - Henri Mitt, Kevin Sten Liik, Marko Tarassov</v>
      </c>
      <c r="C106" s="301">
        <v>8</v>
      </c>
      <c r="D106" s="305"/>
      <c r="E106" s="306"/>
      <c r="F106" s="336"/>
      <c r="G106" s="269"/>
      <c r="H106" s="269"/>
      <c r="I106" s="269"/>
      <c r="J106" s="269"/>
    </row>
    <row r="107" spans="1:11" x14ac:dyDescent="0.2">
      <c r="A107" s="302"/>
      <c r="B107" s="1040" t="s">
        <v>528</v>
      </c>
      <c r="C107" s="303" t="str">
        <f>IF(COUNT(C106,C108)=2,IF(C106&gt;C108,B106,B108),"")</f>
        <v>Tartu 1 - Alari Keedus, Marek Kolk, Valmar Pantšenko</v>
      </c>
      <c r="D107" s="451"/>
      <c r="E107" s="304">
        <v>13</v>
      </c>
      <c r="F107" s="305"/>
      <c r="G107" s="269"/>
      <c r="H107" s="269"/>
      <c r="I107" s="269"/>
      <c r="J107" s="269"/>
    </row>
    <row r="108" spans="1:11" x14ac:dyDescent="0.2">
      <c r="A108" s="302" t="s">
        <v>224</v>
      </c>
      <c r="B108" s="450" t="str">
        <f>IF(A108="-","-",IFERROR(INDEX(B$1:B$100,MATCH(A108,I$1:I$100,0)),""))</f>
        <v>Tartu 1 - Alari Keedus, Marek Kolk, Valmar Pantšenko</v>
      </c>
      <c r="C108" s="304">
        <v>13</v>
      </c>
      <c r="D108" s="269"/>
      <c r="E108" s="287"/>
      <c r="F108" s="305"/>
      <c r="G108" s="269"/>
      <c r="H108" s="269"/>
      <c r="I108" s="269"/>
      <c r="J108" s="269"/>
    </row>
    <row r="109" spans="1:11" x14ac:dyDescent="0.2">
      <c r="A109" s="268"/>
      <c r="B109" s="292"/>
      <c r="C109" s="269"/>
      <c r="D109" s="269"/>
      <c r="E109" s="287"/>
      <c r="F109" s="1044" t="s">
        <v>536</v>
      </c>
      <c r="G109" s="303" t="str">
        <f>IF(COUNT(G105,G113)=2,IF(G105&gt;G113,E105,E113),"")</f>
        <v>Tartu 2 - Aimar Poom, Igor Kostin, Kertu Palm</v>
      </c>
      <c r="H109" s="269"/>
      <c r="I109" s="301">
        <v>1</v>
      </c>
      <c r="J109" s="269"/>
    </row>
    <row r="110" spans="1:11" x14ac:dyDescent="0.2">
      <c r="A110" s="300" t="s">
        <v>223</v>
      </c>
      <c r="B110" s="582" t="str">
        <f>IF(A110="-","-",IFERROR(INDEX(B$1:B$100,MATCH(A110,I$1:I$100,0)),""))</f>
        <v>Veskid - Andres Veski, Meelis Luud, Svetlana Veski</v>
      </c>
      <c r="C110" s="301">
        <v>11</v>
      </c>
      <c r="D110" s="269"/>
      <c r="E110" s="269"/>
      <c r="F110" s="305"/>
      <c r="G110" s="988"/>
      <c r="H110" s="989"/>
      <c r="I110" s="269"/>
      <c r="J110" s="269"/>
    </row>
    <row r="111" spans="1:11" x14ac:dyDescent="0.2">
      <c r="A111" s="302"/>
      <c r="B111" s="1040" t="s">
        <v>531</v>
      </c>
      <c r="C111" s="303" t="str">
        <f>IF(COUNT(C110,C112)=2,IF(C110&gt;C112,B110,B112),"")</f>
        <v>Tartu 2 - Aimar Poom, Igor Kostin, Kertu Palm</v>
      </c>
      <c r="D111" s="269"/>
      <c r="E111" s="301">
        <v>13</v>
      </c>
      <c r="F111" s="305"/>
      <c r="G111" s="287"/>
      <c r="H111" s="305"/>
      <c r="I111" s="269"/>
      <c r="J111" s="269"/>
    </row>
    <row r="112" spans="1:11" x14ac:dyDescent="0.2">
      <c r="A112" s="302" t="s">
        <v>196</v>
      </c>
      <c r="B112" s="450" t="str">
        <f>IF(A112="-","-",IFERROR(INDEX(B$1:B$100,MATCH(A112,I$1:I$100,0)),""))</f>
        <v>Tartu 2 - Aimar Poom, Igor Kostin, Kertu Palm</v>
      </c>
      <c r="C112" s="304">
        <v>13</v>
      </c>
      <c r="D112" s="336"/>
      <c r="E112" s="269"/>
      <c r="F112" s="305"/>
      <c r="G112" s="287"/>
      <c r="H112" s="305"/>
      <c r="I112" s="269"/>
      <c r="J112" s="269"/>
    </row>
    <row r="113" spans="1:11" x14ac:dyDescent="0.2">
      <c r="A113" s="302"/>
      <c r="B113" s="292"/>
      <c r="C113" s="269"/>
      <c r="D113" s="1042" t="s">
        <v>530</v>
      </c>
      <c r="E113" s="303" t="str">
        <f>IF(COUNT(E111,E115)=2,IF(E111&gt;E115,C111,C115),"")</f>
        <v>Tartu 2 - Aimar Poom, Igor Kostin, Kertu Palm</v>
      </c>
      <c r="F113" s="451"/>
      <c r="G113" s="304">
        <v>13</v>
      </c>
      <c r="H113" s="305"/>
      <c r="I113" s="269"/>
      <c r="J113" s="269"/>
    </row>
    <row r="114" spans="1:11" x14ac:dyDescent="0.2">
      <c r="A114" s="302" t="s">
        <v>205</v>
      </c>
      <c r="B114" s="582" t="str">
        <f>IF(A114="-","-",IFERROR(INDEX(B$1:B$100,MATCH(A114,I$1:I$100,0)),""))</f>
        <v>-</v>
      </c>
      <c r="C114" s="301">
        <f>IF(B114="-",0,IF(B116="-",13,""))</f>
        <v>0</v>
      </c>
      <c r="D114" s="305"/>
      <c r="E114" s="306"/>
      <c r="F114" s="287"/>
      <c r="G114" s="287"/>
      <c r="H114" s="305"/>
      <c r="I114" s="269"/>
      <c r="J114" s="269"/>
    </row>
    <row r="115" spans="1:11" x14ac:dyDescent="0.2">
      <c r="A115" s="302"/>
      <c r="B115" s="449"/>
      <c r="C115" s="303" t="str">
        <f>IF(COUNT(C114,C116)=2,IF(C114&gt;C116,B114,B116),"")</f>
        <v>Narvakad - Argo Sepp, Ljudmila Varendi, Viktor Švarõgin</v>
      </c>
      <c r="D115" s="451"/>
      <c r="E115" s="304">
        <v>1</v>
      </c>
      <c r="F115" s="269"/>
      <c r="G115" s="287"/>
      <c r="H115" s="305"/>
      <c r="I115" s="269"/>
      <c r="J115" s="269"/>
    </row>
    <row r="116" spans="1:11" x14ac:dyDescent="0.2">
      <c r="A116" s="302" t="s">
        <v>200</v>
      </c>
      <c r="B116" s="450" t="str">
        <f>IF(A116="-","-",IFERROR(INDEX(B$1:B$100,MATCH(A116,I$1:I$100,0)),""))</f>
        <v>Narvakad - Argo Sepp, Ljudmila Varendi, Viktor Švarõgin</v>
      </c>
      <c r="C116" s="304">
        <f>IF(B116="-",0,IF(B114="-",13,""))</f>
        <v>13</v>
      </c>
      <c r="D116" s="269"/>
      <c r="E116" s="287"/>
      <c r="F116" s="287"/>
      <c r="G116" s="287"/>
      <c r="H116" s="305"/>
      <c r="I116" s="269"/>
    </row>
    <row r="117" spans="1:11" ht="13.5" thickBot="1" x14ac:dyDescent="0.25">
      <c r="A117" s="268"/>
      <c r="B117" s="292"/>
      <c r="C117" s="269"/>
      <c r="D117" s="269"/>
      <c r="E117" s="269"/>
      <c r="F117" s="269"/>
      <c r="G117" s="287"/>
      <c r="H117" s="305"/>
      <c r="I117" s="269"/>
      <c r="J117" s="284" t="str">
        <f>IF(COUNT(I109,I125)=2,IF(I109&gt;I125,G109,G125),"")</f>
        <v>Peterburg 2 - Mikhail Severov, Tatiana Kazanceva, Viktor Anuhin</v>
      </c>
    </row>
    <row r="118" spans="1:11" x14ac:dyDescent="0.2">
      <c r="A118" s="300" t="s">
        <v>197</v>
      </c>
      <c r="B118" s="582" t="str">
        <f>IF(A118="-","-",IFERROR(INDEX(B$1:B$100,MATCH(A118,I$1:I$100,0)),""))</f>
        <v>SMS - Jaan Sepp, Oskar Sepp, Mait Metsla</v>
      </c>
      <c r="C118" s="301">
        <f>IF(B118="-",0,IF(B120="-",13,""))</f>
        <v>13</v>
      </c>
      <c r="D118" s="269"/>
      <c r="E118" s="269"/>
      <c r="F118" s="269"/>
      <c r="G118" s="287"/>
      <c r="H118" s="305"/>
      <c r="I118" s="307"/>
      <c r="J118" s="290" t="s">
        <v>185</v>
      </c>
      <c r="K118" s="333"/>
    </row>
    <row r="119" spans="1:11" x14ac:dyDescent="0.2">
      <c r="A119" s="302"/>
      <c r="B119" s="449"/>
      <c r="C119" s="303" t="str">
        <f>IF(COUNT(C118,C120)=2,IF(C118&gt;C120,B118,B120),"")</f>
        <v>SMS - Jaan Sepp, Oskar Sepp, Mait Metsla</v>
      </c>
      <c r="D119" s="269"/>
      <c r="E119" s="301">
        <v>13</v>
      </c>
      <c r="F119" s="269"/>
      <c r="G119" s="287"/>
      <c r="H119" s="305"/>
      <c r="I119" s="287"/>
      <c r="J119" s="287"/>
      <c r="K119" s="334"/>
    </row>
    <row r="120" spans="1:11" x14ac:dyDescent="0.2">
      <c r="A120" s="302" t="s">
        <v>205</v>
      </c>
      <c r="B120" s="450" t="str">
        <f>IF(A120="-","-",IFERROR(INDEX(B$1:B$100,MATCH(A120,I$1:I$100,0)),""))</f>
        <v>-</v>
      </c>
      <c r="C120" s="304">
        <f>IF(B120="-",0,IF(B118="-",13,""))</f>
        <v>0</v>
      </c>
      <c r="D120" s="336"/>
      <c r="E120" s="269"/>
      <c r="F120" s="269"/>
      <c r="G120" s="287"/>
      <c r="H120" s="305"/>
      <c r="I120" s="287"/>
      <c r="J120" s="287"/>
      <c r="K120" s="334"/>
    </row>
    <row r="121" spans="1:11" x14ac:dyDescent="0.2">
      <c r="A121" s="302"/>
      <c r="B121" s="292"/>
      <c r="C121" s="269"/>
      <c r="D121" s="1042" t="s">
        <v>534</v>
      </c>
      <c r="E121" s="303" t="str">
        <f>IF(COUNT(E119,E123)=2,IF(E119&gt;E123,C119,C123),"")</f>
        <v>SMS - Jaan Sepp, Oskar Sepp, Mait Metsla</v>
      </c>
      <c r="F121" s="269"/>
      <c r="G121" s="308">
        <v>12</v>
      </c>
      <c r="H121" s="305"/>
      <c r="I121" s="287"/>
      <c r="J121" s="287"/>
      <c r="K121" s="334"/>
    </row>
    <row r="122" spans="1:11" x14ac:dyDescent="0.2">
      <c r="A122" s="302" t="s">
        <v>194</v>
      </c>
      <c r="B122" s="582" t="str">
        <f>IF(A122="-","-",IFERROR(INDEX(B$1:B$100,MATCH(A122,I$1:I$100,0)),""))</f>
        <v>Ennud - Enn Tokman, Jaan Saar, Peep Peenema</v>
      </c>
      <c r="C122" s="301">
        <v>13</v>
      </c>
      <c r="D122" s="305"/>
      <c r="E122" s="306"/>
      <c r="F122" s="336"/>
      <c r="G122" s="287"/>
      <c r="H122" s="305"/>
      <c r="I122" s="287"/>
      <c r="J122" s="287"/>
      <c r="K122" s="334"/>
    </row>
    <row r="123" spans="1:11" x14ac:dyDescent="0.2">
      <c r="A123" s="302"/>
      <c r="B123" s="1041" t="s">
        <v>532</v>
      </c>
      <c r="C123" s="303" t="str">
        <f>IF(COUNT(C122,C124)=2,IF(C122&gt;C124,B122,B124),"")</f>
        <v>Ennud - Enn Tokman, Jaan Saar, Peep Peenema</v>
      </c>
      <c r="D123" s="451"/>
      <c r="E123" s="304">
        <v>6</v>
      </c>
      <c r="F123" s="305"/>
      <c r="G123" s="287"/>
      <c r="H123" s="305"/>
      <c r="I123" s="287"/>
      <c r="J123" s="287"/>
      <c r="K123" s="334"/>
    </row>
    <row r="124" spans="1:11" x14ac:dyDescent="0.2">
      <c r="A124" s="302" t="s">
        <v>225</v>
      </c>
      <c r="B124" s="450" t="str">
        <f>IF(A124="-","-",IFERROR(INDEX(B$1:B$100,MATCH(A124,I$1:I$100,0)),""))</f>
        <v>Peterburg 1 - Aleksei Tkachenko, Anna Tkachenko, Denis Volkov</v>
      </c>
      <c r="C124" s="304">
        <v>10</v>
      </c>
      <c r="D124" s="269"/>
      <c r="E124" s="287"/>
      <c r="F124" s="305"/>
      <c r="G124" s="287"/>
      <c r="H124" s="305"/>
      <c r="I124" s="287"/>
      <c r="J124" s="287"/>
      <c r="K124" s="334"/>
    </row>
    <row r="125" spans="1:11" x14ac:dyDescent="0.2">
      <c r="A125" s="268"/>
      <c r="B125" s="292"/>
      <c r="C125" s="269"/>
      <c r="D125" s="269"/>
      <c r="E125" s="287"/>
      <c r="F125" s="1044" t="s">
        <v>537</v>
      </c>
      <c r="G125" s="303" t="str">
        <f>IF(COUNT(G121,G129)=2,IF(G121&gt;G129,E121,E129),"")</f>
        <v>Peterburg 2 - Mikhail Severov, Tatiana Kazanceva, Viktor Anuhin</v>
      </c>
      <c r="H125" s="990"/>
      <c r="I125" s="304">
        <v>13</v>
      </c>
      <c r="J125" s="287"/>
      <c r="K125" s="334"/>
    </row>
    <row r="126" spans="1:11" ht="13.5" thickBot="1" x14ac:dyDescent="0.25">
      <c r="A126" s="300" t="s">
        <v>226</v>
      </c>
      <c r="B126" s="582" t="str">
        <f>IF(A126="-","-",IFERROR(INDEX(B$1:B$100,MATCH(A126,I$1:I$100,0)),""))</f>
        <v>Pikad - Andrei Grintšak, Tarmo Bombe, Tatyana Chekmareva</v>
      </c>
      <c r="C126" s="301">
        <v>2</v>
      </c>
      <c r="D126" s="269"/>
      <c r="E126" s="269"/>
      <c r="F126" s="305"/>
      <c r="G126" s="987"/>
      <c r="H126" s="269"/>
      <c r="I126" s="287"/>
      <c r="J126" s="583" t="str">
        <f>IF(COUNT(I109,I125)=2,IF(I109&lt;I125,G109,G125),"")</f>
        <v>Tartu 2 - Aimar Poom, Igor Kostin, Kertu Palm</v>
      </c>
      <c r="K126" s="584"/>
    </row>
    <row r="127" spans="1:11" x14ac:dyDescent="0.2">
      <c r="A127" s="302"/>
      <c r="B127" s="1040" t="s">
        <v>533</v>
      </c>
      <c r="C127" s="303" t="str">
        <f>IF(COUNT(C126,C128)=2,IF(C126&gt;C128,B126,B128),"")</f>
        <v>Peterburg 2 - Mikhail Severov, Tatiana Kazanceva, Viktor Anuhin</v>
      </c>
      <c r="D127" s="269"/>
      <c r="E127" s="301">
        <v>13</v>
      </c>
      <c r="F127" s="305"/>
      <c r="G127" s="287"/>
      <c r="H127" s="269"/>
      <c r="I127" s="287"/>
      <c r="J127" s="296" t="s">
        <v>186</v>
      </c>
    </row>
    <row r="128" spans="1:11" x14ac:dyDescent="0.2">
      <c r="A128" s="302" t="s">
        <v>199</v>
      </c>
      <c r="B128" s="450" t="str">
        <f>IF(A128="-","-",IFERROR(INDEX(B$1:B$100,MATCH(A128,I$1:I$100,0)),""))</f>
        <v>Peterburg 2 - Mikhail Severov, Tatiana Kazanceva, Viktor Anuhin</v>
      </c>
      <c r="C128" s="304">
        <v>13</v>
      </c>
      <c r="D128" s="336"/>
      <c r="E128" s="269"/>
      <c r="F128" s="305"/>
      <c r="G128" s="287"/>
      <c r="H128" s="269"/>
      <c r="I128" s="287"/>
      <c r="J128" s="269"/>
    </row>
    <row r="129" spans="1:11" x14ac:dyDescent="0.2">
      <c r="A129" s="302"/>
      <c r="B129" s="292"/>
      <c r="C129" s="269"/>
      <c r="D129" s="1042" t="s">
        <v>535</v>
      </c>
      <c r="E129" s="303" t="str">
        <f>IF(COUNT(E127,E131)=2,IF(E127&gt;E131,C127,C131),"")</f>
        <v>Peterburg 2 - Mikhail Severov, Tatiana Kazanceva, Viktor Anuhin</v>
      </c>
      <c r="F129" s="451"/>
      <c r="G129" s="304">
        <v>13</v>
      </c>
      <c r="H129" s="269"/>
      <c r="I129" s="287"/>
      <c r="J129" s="269"/>
    </row>
    <row r="130" spans="1:11" x14ac:dyDescent="0.2">
      <c r="A130" s="302" t="s">
        <v>205</v>
      </c>
      <c r="B130" s="582" t="str">
        <f>IF(A130="-","-",IFERROR(INDEX(B$1:B$100,MATCH(A130,I$1:I$100,0)),""))</f>
        <v>-</v>
      </c>
      <c r="C130" s="301">
        <f>IF(B130="-",0,IF(B132="-",13,""))</f>
        <v>0</v>
      </c>
      <c r="D130" s="305"/>
      <c r="E130" s="306"/>
      <c r="F130" s="287"/>
      <c r="G130" s="287"/>
      <c r="H130" s="269"/>
      <c r="I130" s="287"/>
      <c r="J130" s="269"/>
    </row>
    <row r="131" spans="1:11" x14ac:dyDescent="0.2">
      <c r="A131" s="302"/>
      <c r="B131" s="449"/>
      <c r="C131" s="303" t="str">
        <f>IF(COUNT(C130,C132)=2,IF(C130&gt;C132,B130,B132),"")</f>
        <v>Vans - Kenneth Muusikus, Matti Vinni, Ülo Piik</v>
      </c>
      <c r="D131" s="451"/>
      <c r="E131" s="304">
        <v>4</v>
      </c>
      <c r="F131" s="1045" t="s">
        <v>14</v>
      </c>
      <c r="G131" s="287" t="str">
        <f>IF(COUNT(G105,G113)=2,IF(G105&lt;G113,E105,E113),"")</f>
        <v>Tartu 1 - Alari Keedus, Marek Kolk, Valmar Pantšenko</v>
      </c>
      <c r="H131" s="269"/>
      <c r="I131" s="301">
        <v>13</v>
      </c>
      <c r="J131" s="269"/>
    </row>
    <row r="132" spans="1:11" ht="13.5" thickBot="1" x14ac:dyDescent="0.25">
      <c r="A132" s="302" t="s">
        <v>195</v>
      </c>
      <c r="B132" s="450" t="str">
        <f>IF(A132="-","-",IFERROR(INDEX(B$1:B$100,MATCH(A132,I$1:I$100,0)),""))</f>
        <v>Vans - Kenneth Muusikus, Matti Vinni, Ülo Piik</v>
      </c>
      <c r="C132" s="304">
        <f>IF(B132="-",0,IF(B130="-",13,""))</f>
        <v>13</v>
      </c>
      <c r="D132" s="269"/>
      <c r="E132" s="287"/>
      <c r="F132" s="287"/>
      <c r="G132" s="455"/>
      <c r="H132" s="336"/>
      <c r="I132" s="338"/>
      <c r="J132" s="284" t="str">
        <f>IF(COUNT(I131,I133)=2,IF(I131&gt;I133,G131,G133),"")</f>
        <v>Tartu 1 - Alari Keedus, Marek Kolk, Valmar Pantšenko</v>
      </c>
    </row>
    <row r="133" spans="1:11" x14ac:dyDescent="0.2">
      <c r="A133" s="269"/>
      <c r="B133" s="269"/>
      <c r="C133" s="269"/>
      <c r="D133" s="269"/>
      <c r="E133" s="269"/>
      <c r="F133" s="1046" t="s">
        <v>15</v>
      </c>
      <c r="G133" s="456" t="str">
        <f>IF(COUNT(G121,G129)=2,IF(G121&lt;G129,E121,E129),"")</f>
        <v>SMS - Jaan Sepp, Oskar Sepp, Mait Metsla</v>
      </c>
      <c r="H133" s="451"/>
      <c r="I133" s="991">
        <v>8</v>
      </c>
      <c r="J133" s="290" t="s">
        <v>187</v>
      </c>
      <c r="K133" s="333"/>
    </row>
    <row r="134" spans="1:11" x14ac:dyDescent="0.2">
      <c r="A134" s="269"/>
      <c r="B134" s="269"/>
      <c r="C134" s="269"/>
      <c r="D134" s="269"/>
      <c r="E134" s="269"/>
      <c r="F134" s="287"/>
      <c r="G134" s="269"/>
      <c r="H134" s="269"/>
      <c r="I134" s="269"/>
      <c r="J134" s="287"/>
      <c r="K134" s="334"/>
    </row>
    <row r="135" spans="1:11" ht="13.5" thickBot="1" x14ac:dyDescent="0.25">
      <c r="A135" s="269"/>
      <c r="B135" s="269"/>
      <c r="C135" s="269"/>
      <c r="D135" s="269"/>
      <c r="E135" s="269"/>
      <c r="F135" s="287"/>
      <c r="G135" s="287"/>
      <c r="H135" s="287"/>
      <c r="I135" s="269"/>
      <c r="J135" s="583" t="str">
        <f>IF(COUNT(I131,I133)=2,IF(I131&lt;I133,G131,G133),"")</f>
        <v>SMS - Jaan Sepp, Oskar Sepp, Mait Metsla</v>
      </c>
      <c r="K135" s="584"/>
    </row>
    <row r="136" spans="1:11" x14ac:dyDescent="0.2">
      <c r="A136" s="269"/>
      <c r="B136" s="269"/>
      <c r="C136" s="269"/>
      <c r="D136" s="269"/>
      <c r="E136" s="269"/>
      <c r="F136" s="269"/>
      <c r="G136" s="287"/>
      <c r="H136" s="287"/>
      <c r="I136" s="269"/>
      <c r="J136" s="268" t="s">
        <v>188</v>
      </c>
    </row>
    <row r="137" spans="1:11" x14ac:dyDescent="0.2">
      <c r="A137" s="269"/>
      <c r="B137" s="269"/>
      <c r="C137" s="269"/>
      <c r="D137" s="269"/>
      <c r="E137" s="269"/>
      <c r="F137" s="269"/>
      <c r="G137" s="287"/>
      <c r="H137" s="287"/>
      <c r="I137" s="269"/>
      <c r="J137" s="268"/>
    </row>
    <row r="138" spans="1:11" x14ac:dyDescent="0.2">
      <c r="A138" s="331" t="s">
        <v>477</v>
      </c>
    </row>
    <row r="140" spans="1:11" x14ac:dyDescent="0.2">
      <c r="A140" s="269"/>
      <c r="B140" s="269"/>
      <c r="C140" s="269"/>
      <c r="D140" s="983" t="s">
        <v>10</v>
      </c>
      <c r="E140" s="456" t="str">
        <f>IF(COUNT(E103,E107)=2,IF(E103&lt;E107,C103,C107),"")</f>
        <v>Oja - Aarne Välja, Janek Tarto, Oksana Rõndenkova, Oleg Rõndenkov</v>
      </c>
      <c r="F140" s="269"/>
      <c r="G140" s="301">
        <v>13</v>
      </c>
      <c r="H140" s="301"/>
      <c r="I140" s="301"/>
      <c r="J140" s="269"/>
    </row>
    <row r="141" spans="1:11" x14ac:dyDescent="0.2">
      <c r="A141" s="269"/>
      <c r="B141" s="269"/>
      <c r="C141" s="269"/>
      <c r="D141" s="981"/>
      <c r="E141" s="457"/>
      <c r="F141" s="1048" t="s">
        <v>538</v>
      </c>
      <c r="G141" s="338" t="str">
        <f>IF(COUNT(G140,G142)=2,IF(G140&gt;G142,E140,E142),"")</f>
        <v>Oja - Aarne Välja, Janek Tarto, Oksana Rõndenkova, Oleg Rõndenkov</v>
      </c>
      <c r="H141" s="269"/>
      <c r="I141" s="301">
        <v>4</v>
      </c>
      <c r="J141" s="269"/>
    </row>
    <row r="142" spans="1:11" x14ac:dyDescent="0.2">
      <c r="A142" s="269"/>
      <c r="B142" s="269"/>
      <c r="C142" s="269"/>
      <c r="D142" s="983" t="s">
        <v>11</v>
      </c>
      <c r="E142" s="456" t="str">
        <f>IF(COUNT(E111,E115)=2,IF(E111&lt;E115,C111,C115),"")</f>
        <v>Narvakad - Argo Sepp, Ljudmila Varendi, Viktor Švarõgin</v>
      </c>
      <c r="F142" s="458"/>
      <c r="G142" s="993">
        <v>4</v>
      </c>
      <c r="H142" s="337"/>
      <c r="I142" s="269"/>
      <c r="J142" s="269"/>
    </row>
    <row r="143" spans="1:11" ht="13.5" thickBot="1" x14ac:dyDescent="0.25">
      <c r="A143" s="269"/>
      <c r="B143" s="269"/>
      <c r="C143" s="269"/>
      <c r="D143" s="981"/>
      <c r="E143" s="301"/>
      <c r="F143" s="301"/>
      <c r="G143" s="308"/>
      <c r="H143" s="309"/>
      <c r="I143" s="338"/>
      <c r="J143" s="284" t="str">
        <f>IF(COUNT(I141,I145)=2,IF(I141&gt;I145,G141,G145),"")</f>
        <v>Vans - Kenneth Muusikus, Matti Vinni, Ülo Piik</v>
      </c>
    </row>
    <row r="144" spans="1:11" x14ac:dyDescent="0.2">
      <c r="A144" s="269"/>
      <c r="B144" s="269"/>
      <c r="C144" s="269"/>
      <c r="D144" s="983" t="s">
        <v>12</v>
      </c>
      <c r="E144" s="456" t="str">
        <f>IF(COUNT(E119,E123)=2,IF(E119&lt;E123,C119,C123),"")</f>
        <v>Ennud - Enn Tokman, Jaan Saar, Peep Peenema</v>
      </c>
      <c r="F144" s="301"/>
      <c r="G144" s="308">
        <v>4</v>
      </c>
      <c r="H144" s="309"/>
      <c r="I144" s="992"/>
      <c r="J144" s="290" t="s">
        <v>189</v>
      </c>
      <c r="K144" s="333"/>
    </row>
    <row r="145" spans="1:11" x14ac:dyDescent="0.2">
      <c r="A145" s="269"/>
      <c r="B145" s="269"/>
      <c r="C145" s="269"/>
      <c r="D145" s="981"/>
      <c r="E145" s="457"/>
      <c r="F145" s="1048" t="s">
        <v>539</v>
      </c>
      <c r="G145" s="995" t="str">
        <f>IF(COUNT(G144,G146)=2,IF(G144&gt;G146,E144,E146),"")</f>
        <v>Vans - Kenneth Muusikus, Matti Vinni, Ülo Piik</v>
      </c>
      <c r="H145" s="451"/>
      <c r="I145" s="304">
        <v>13</v>
      </c>
      <c r="J145" s="287"/>
      <c r="K145" s="334"/>
    </row>
    <row r="146" spans="1:11" ht="13.5" thickBot="1" x14ac:dyDescent="0.25">
      <c r="A146" s="269"/>
      <c r="B146" s="269"/>
      <c r="C146" s="269"/>
      <c r="D146" s="983" t="s">
        <v>13</v>
      </c>
      <c r="E146" s="456" t="str">
        <f>IF(COUNT(E127,E131)=2,IF(E127&lt;E131,C127,C131),"")</f>
        <v>Vans - Kenneth Muusikus, Matti Vinni, Ülo Piik</v>
      </c>
      <c r="F146" s="458"/>
      <c r="G146" s="304">
        <v>13</v>
      </c>
      <c r="H146" s="301"/>
      <c r="I146" s="308"/>
      <c r="J146" s="583" t="str">
        <f>IF(COUNT(I141,I145)=2,IF(I141&lt;I145,G141,G145),"")</f>
        <v>Oja - Aarne Välja, Janek Tarto, Oksana Rõndenkova, Oleg Rõndenkov</v>
      </c>
      <c r="K146" s="584"/>
    </row>
    <row r="147" spans="1:11" x14ac:dyDescent="0.2">
      <c r="A147" s="269"/>
      <c r="B147" s="269"/>
      <c r="C147" s="269"/>
      <c r="D147" s="269"/>
      <c r="E147" s="301"/>
      <c r="F147" s="301"/>
      <c r="G147" s="301"/>
      <c r="H147" s="301"/>
      <c r="I147" s="308"/>
      <c r="J147" s="296" t="s">
        <v>190</v>
      </c>
    </row>
    <row r="148" spans="1:11" x14ac:dyDescent="0.2">
      <c r="A148" s="269"/>
      <c r="B148" s="269"/>
      <c r="C148" s="269"/>
      <c r="D148" s="269"/>
      <c r="E148" s="301"/>
      <c r="F148" s="1047" t="s">
        <v>16</v>
      </c>
      <c r="G148" s="284" t="str">
        <f>IF(COUNT(G140,G142)=2,IF(G140&lt;G142,E140,E142),"")</f>
        <v>Narvakad - Argo Sepp, Ljudmila Varendi, Viktor Švarõgin</v>
      </c>
      <c r="H148" s="269"/>
      <c r="I148" s="308">
        <v>13</v>
      </c>
      <c r="J148" s="287"/>
    </row>
    <row r="149" spans="1:11" ht="13.5" thickBot="1" x14ac:dyDescent="0.25">
      <c r="A149" s="269"/>
      <c r="B149" s="269"/>
      <c r="C149" s="269"/>
      <c r="D149" s="269"/>
      <c r="E149" s="301"/>
      <c r="F149" s="308"/>
      <c r="G149" s="455"/>
      <c r="H149" s="336"/>
      <c r="I149" s="585"/>
      <c r="J149" s="284" t="str">
        <f>IF(COUNT(I148,I150)=2,IF(I148&gt;I150,G148,G150),"")</f>
        <v>Narvakad - Argo Sepp, Ljudmila Varendi, Viktor Švarõgin</v>
      </c>
    </row>
    <row r="150" spans="1:11" x14ac:dyDescent="0.2">
      <c r="A150" s="269"/>
      <c r="B150" s="269"/>
      <c r="C150" s="269"/>
      <c r="D150" s="269"/>
      <c r="E150" s="301"/>
      <c r="F150" s="1047" t="s">
        <v>17</v>
      </c>
      <c r="G150" s="456" t="str">
        <f>IF(COUNT(G144,G146)=2,IF(G144&lt;G146,E144,E146),"")</f>
        <v>Ennud - Enn Tokman, Jaan Saar, Peep Peenema</v>
      </c>
      <c r="H150" s="451"/>
      <c r="I150" s="304">
        <v>3</v>
      </c>
      <c r="J150" s="290" t="s">
        <v>201</v>
      </c>
      <c r="K150" s="333"/>
    </row>
    <row r="151" spans="1:11" x14ac:dyDescent="0.2">
      <c r="A151" s="269"/>
      <c r="B151" s="269"/>
      <c r="C151" s="269"/>
      <c r="D151" s="269"/>
      <c r="E151" s="269"/>
      <c r="F151" s="287"/>
      <c r="G151" s="269"/>
      <c r="H151" s="269"/>
      <c r="I151" s="269"/>
      <c r="J151" s="287"/>
      <c r="K151" s="334"/>
    </row>
    <row r="152" spans="1:11" ht="13.5" thickBot="1" x14ac:dyDescent="0.25">
      <c r="A152" s="269"/>
      <c r="B152" s="269"/>
      <c r="C152" s="269"/>
      <c r="D152" s="269"/>
      <c r="E152" s="269"/>
      <c r="F152" s="269"/>
      <c r="G152" s="287"/>
      <c r="H152" s="287"/>
      <c r="I152" s="269"/>
      <c r="J152" s="586" t="str">
        <f>IF(COUNT(I148,I150)=2,IF(I148&lt;I150,G148,G150),"")</f>
        <v>Ennud - Enn Tokman, Jaan Saar, Peep Peenema</v>
      </c>
      <c r="K152" s="584"/>
    </row>
    <row r="153" spans="1:11" x14ac:dyDescent="0.2">
      <c r="A153" s="269"/>
      <c r="B153" s="269"/>
      <c r="C153" s="269"/>
      <c r="D153" s="269"/>
      <c r="E153" s="269"/>
      <c r="F153" s="269"/>
      <c r="G153" s="287"/>
      <c r="H153" s="287"/>
      <c r="I153" s="269"/>
      <c r="J153" s="296" t="s">
        <v>202</v>
      </c>
    </row>
    <row r="154" spans="1:11" hidden="1" x14ac:dyDescent="0.2"/>
    <row r="155" spans="1:11" hidden="1" x14ac:dyDescent="0.2">
      <c r="A155" s="331" t="s">
        <v>318</v>
      </c>
      <c r="B155" s="151"/>
      <c r="C155" s="151"/>
      <c r="D155" s="151"/>
      <c r="E155" s="151"/>
      <c r="F155" s="151"/>
      <c r="G155" s="151"/>
      <c r="H155" s="151"/>
      <c r="I155" s="151"/>
      <c r="J155" s="151"/>
    </row>
    <row r="156" spans="1:11" x14ac:dyDescent="0.2">
      <c r="A156" s="151"/>
      <c r="B156" s="151"/>
      <c r="C156" s="151"/>
      <c r="D156" s="151"/>
      <c r="E156" s="151"/>
      <c r="F156" s="151"/>
      <c r="G156" s="151"/>
      <c r="H156" s="151"/>
      <c r="I156" s="151"/>
      <c r="J156" s="151"/>
    </row>
    <row r="157" spans="1:11" x14ac:dyDescent="0.2">
      <c r="A157" s="151"/>
      <c r="B157" s="984"/>
      <c r="C157" s="456" t="str">
        <f>IF(COUNT(C102,C104)=2,IF(C102&lt;C104,B102,B104),"")</f>
        <v>-</v>
      </c>
      <c r="D157" s="151"/>
      <c r="E157" s="301">
        <f>IF(C157="-",0,IF(C159="-",13,""))</f>
        <v>0</v>
      </c>
      <c r="F157" s="269"/>
      <c r="G157" s="269"/>
      <c r="H157" s="269"/>
      <c r="I157" s="269"/>
      <c r="J157" s="269"/>
    </row>
    <row r="158" spans="1:11" x14ac:dyDescent="0.2">
      <c r="A158" s="151"/>
      <c r="B158" s="984"/>
      <c r="C158" s="449"/>
      <c r="D158" s="335"/>
      <c r="E158" s="303" t="str">
        <f>IF(COUNT(E157,E159)=2,IF(E157&gt;E159,C157,C159),"")</f>
        <v>Juuniorid - Henri Mitt, Kevin Sten Liik, Marko Tarassov</v>
      </c>
      <c r="F158" s="269"/>
      <c r="G158" s="301">
        <v>7</v>
      </c>
      <c r="H158" s="269"/>
      <c r="I158" s="269"/>
      <c r="J158" s="269"/>
    </row>
    <row r="159" spans="1:11" x14ac:dyDescent="0.2">
      <c r="A159" s="151"/>
      <c r="B159" s="980" t="s">
        <v>6</v>
      </c>
      <c r="C159" s="456" t="str">
        <f>IF(COUNT(C106,C108)=2,IF(C106&lt;C108,B106,B108),"")</f>
        <v>Juuniorid - Henri Mitt, Kevin Sten Liik, Marko Tarassov</v>
      </c>
      <c r="D159" s="587"/>
      <c r="E159" s="304">
        <f>IF(C159="-",0,IF(C157="-",13,""))</f>
        <v>13</v>
      </c>
      <c r="F159" s="336"/>
      <c r="G159" s="269"/>
      <c r="H159" s="269"/>
      <c r="I159" s="269"/>
      <c r="J159" s="269"/>
    </row>
    <row r="160" spans="1:11" x14ac:dyDescent="0.2">
      <c r="A160" s="151"/>
      <c r="B160" s="984"/>
      <c r="C160" s="292"/>
      <c r="D160" s="151"/>
      <c r="E160" s="269"/>
      <c r="F160" s="1050" t="s">
        <v>540</v>
      </c>
      <c r="G160" s="303" t="str">
        <f>IF(COUNT(G158,G162)=2,IF(G158&gt;G162,E158,E162),"")</f>
        <v>Veskid - Andres Veski, Meelis Luud, Svetlana Veski</v>
      </c>
      <c r="H160" s="269"/>
      <c r="I160" s="301">
        <v>10</v>
      </c>
      <c r="J160" s="269"/>
    </row>
    <row r="161" spans="1:11" x14ac:dyDescent="0.2">
      <c r="A161" s="151"/>
      <c r="B161" s="980" t="s">
        <v>7</v>
      </c>
      <c r="C161" s="456" t="str">
        <f>IF(COUNT(C110,C112)=2,IF(C110&lt;C112,B110,B112),"")</f>
        <v>Veskid - Andres Veski, Meelis Luud, Svetlana Veski</v>
      </c>
      <c r="D161" s="151"/>
      <c r="E161" s="301">
        <f>IF(C161="-",0,IF(C163="-",13,""))</f>
        <v>13</v>
      </c>
      <c r="F161" s="305"/>
      <c r="G161" s="306"/>
      <c r="H161" s="336"/>
      <c r="I161" s="269"/>
      <c r="J161" s="269"/>
    </row>
    <row r="162" spans="1:11" x14ac:dyDescent="0.2">
      <c r="A162" s="151"/>
      <c r="B162" s="984"/>
      <c r="C162" s="449"/>
      <c r="D162" s="335"/>
      <c r="E162" s="303" t="str">
        <f>IF(COUNT(E161,E163)=2,IF(E161&gt;E163,C161,C163),"")</f>
        <v>Veskid - Andres Veski, Meelis Luud, Svetlana Veski</v>
      </c>
      <c r="F162" s="451"/>
      <c r="G162" s="304">
        <v>13</v>
      </c>
      <c r="H162" s="305"/>
      <c r="I162" s="269"/>
      <c r="J162" s="269"/>
    </row>
    <row r="163" spans="1:11" x14ac:dyDescent="0.2">
      <c r="A163" s="151"/>
      <c r="B163" s="984"/>
      <c r="C163" s="456" t="str">
        <f>IF(COUNT(C114,C116)=2,IF(C114&lt;C116,B114,B116),"")</f>
        <v>-</v>
      </c>
      <c r="D163" s="587"/>
      <c r="E163" s="304">
        <f>IF(C163="-",0,IF(C161="-",13,""))</f>
        <v>0</v>
      </c>
      <c r="F163" s="269"/>
      <c r="G163" s="287"/>
      <c r="H163" s="305"/>
      <c r="I163" s="269"/>
      <c r="J163" s="269"/>
    </row>
    <row r="164" spans="1:11" ht="13.5" thickBot="1" x14ac:dyDescent="0.25">
      <c r="A164" s="151"/>
      <c r="B164" s="984"/>
      <c r="C164" s="292"/>
      <c r="D164" s="151"/>
      <c r="E164" s="269"/>
      <c r="F164" s="269"/>
      <c r="G164" s="287"/>
      <c r="H164" s="305"/>
      <c r="I164" s="269"/>
      <c r="J164" s="284" t="str">
        <f>IF(COUNT(I160,I168)=2,IF(I160&gt;I168,G160,G168),"")</f>
        <v>Peterburg 1 - Aleksei Tkachenko, Anna Tkachenko, Denis Volkov</v>
      </c>
    </row>
    <row r="165" spans="1:11" x14ac:dyDescent="0.2">
      <c r="A165" s="151"/>
      <c r="B165" s="984"/>
      <c r="C165" s="456" t="str">
        <f>IF(COUNT(C118,C120)=2,IF(C118&lt;C120,B118,B120),"")</f>
        <v>-</v>
      </c>
      <c r="D165" s="151"/>
      <c r="E165" s="301">
        <f>IF(C165="-",0,IF(C167="-",13,""))</f>
        <v>0</v>
      </c>
      <c r="F165" s="269"/>
      <c r="G165" s="269"/>
      <c r="H165" s="305"/>
      <c r="I165" s="307"/>
      <c r="J165" s="290" t="s">
        <v>207</v>
      </c>
      <c r="K165" s="333"/>
    </row>
    <row r="166" spans="1:11" x14ac:dyDescent="0.2">
      <c r="A166" s="151"/>
      <c r="B166" s="984"/>
      <c r="C166" s="449"/>
      <c r="D166" s="335"/>
      <c r="E166" s="303" t="str">
        <f>IF(COUNT(E165,E167)=2,IF(E165&gt;E167,C165,C167),"")</f>
        <v>Peterburg 1 - Aleksei Tkachenko, Anna Tkachenko, Denis Volkov</v>
      </c>
      <c r="F166" s="269"/>
      <c r="G166" s="301">
        <v>13</v>
      </c>
      <c r="H166" s="305"/>
      <c r="I166" s="287"/>
      <c r="J166" s="287"/>
      <c r="K166" s="334"/>
    </row>
    <row r="167" spans="1:11" x14ac:dyDescent="0.2">
      <c r="A167" s="151"/>
      <c r="B167" s="1043" t="s">
        <v>8</v>
      </c>
      <c r="C167" s="456" t="str">
        <f>IF(COUNT(C122,C124)=2,IF(C122&lt;C124,B122,B124),"")</f>
        <v>Peterburg 1 - Aleksei Tkachenko, Anna Tkachenko, Denis Volkov</v>
      </c>
      <c r="D167" s="587"/>
      <c r="E167" s="304">
        <f>IF(C167="-",0,IF(C165="-",13,""))</f>
        <v>13</v>
      </c>
      <c r="F167" s="336"/>
      <c r="G167" s="269"/>
      <c r="H167" s="305"/>
      <c r="I167" s="287"/>
      <c r="J167" s="287"/>
      <c r="K167" s="334"/>
    </row>
    <row r="168" spans="1:11" x14ac:dyDescent="0.2">
      <c r="A168" s="151"/>
      <c r="B168" s="984"/>
      <c r="C168" s="292"/>
      <c r="D168" s="151"/>
      <c r="E168" s="269"/>
      <c r="F168" s="1050" t="s">
        <v>541</v>
      </c>
      <c r="G168" s="303" t="str">
        <f>IF(COUNT(G166,G170)=2,IF(G166&gt;G170,E166,E170),"")</f>
        <v>Peterburg 1 - Aleksei Tkachenko, Anna Tkachenko, Denis Volkov</v>
      </c>
      <c r="H168" s="451"/>
      <c r="I168" s="304">
        <v>13</v>
      </c>
      <c r="J168" s="287"/>
      <c r="K168" s="334"/>
    </row>
    <row r="169" spans="1:11" ht="13.5" thickBot="1" x14ac:dyDescent="0.25">
      <c r="A169" s="151"/>
      <c r="B169" s="980" t="s">
        <v>9</v>
      </c>
      <c r="C169" s="456" t="str">
        <f>IF(COUNT(C126,C128)=2,IF(C126&lt;C128,B126,B128),"")</f>
        <v>Pikad - Andrei Grintšak, Tarmo Bombe, Tatyana Chekmareva</v>
      </c>
      <c r="D169" s="151"/>
      <c r="E169" s="301">
        <f>IF(C169="-",0,IF(C171="-",13,""))</f>
        <v>13</v>
      </c>
      <c r="F169" s="305"/>
      <c r="G169" s="306"/>
      <c r="H169" s="287"/>
      <c r="I169" s="287"/>
      <c r="J169" s="583" t="str">
        <f>IF(COUNT(I160,I168)=2,IF(I160&lt;I168,G160,G168),"")</f>
        <v>Veskid - Andres Veski, Meelis Luud, Svetlana Veski</v>
      </c>
      <c r="K169" s="584"/>
    </row>
    <row r="170" spans="1:11" x14ac:dyDescent="0.2">
      <c r="A170" s="151"/>
      <c r="B170" s="984"/>
      <c r="C170" s="449"/>
      <c r="D170" s="335"/>
      <c r="E170" s="303" t="str">
        <f>IF(COUNT(E169,E171)=2,IF(E169&gt;E171,C169,C171),"")</f>
        <v>Pikad - Andrei Grintšak, Tarmo Bombe, Tatyana Chekmareva</v>
      </c>
      <c r="F170" s="451"/>
      <c r="G170" s="304">
        <v>3</v>
      </c>
      <c r="H170" s="269"/>
      <c r="I170" s="287"/>
      <c r="J170" s="296" t="s">
        <v>209</v>
      </c>
    </row>
    <row r="171" spans="1:11" x14ac:dyDescent="0.2">
      <c r="A171" s="151"/>
      <c r="B171" s="984"/>
      <c r="C171" s="456" t="str">
        <f>IF(COUNT(C130,C132)=2,IF(C130&lt;C132,B130,B132),"")</f>
        <v>-</v>
      </c>
      <c r="D171" s="587"/>
      <c r="E171" s="304">
        <f>IF(C171="-",0,IF(C169="-",13,""))</f>
        <v>0</v>
      </c>
      <c r="F171" s="269"/>
      <c r="G171" s="287"/>
      <c r="H171" s="287"/>
      <c r="I171" s="287"/>
      <c r="J171" s="269"/>
    </row>
    <row r="172" spans="1:11" x14ac:dyDescent="0.2">
      <c r="A172" s="151"/>
      <c r="B172" s="151"/>
      <c r="C172" s="151"/>
      <c r="D172" s="151"/>
      <c r="E172" s="269"/>
      <c r="F172" s="1049" t="s">
        <v>18</v>
      </c>
      <c r="G172" s="284" t="str">
        <f>IF(COUNT(G158,G162)=2,IF(G158&lt;G162,E158,E162),"")</f>
        <v>Juuniorid - Henri Mitt, Kevin Sten Liik, Marko Tarassov</v>
      </c>
      <c r="H172" s="269"/>
      <c r="I172" s="301">
        <v>7</v>
      </c>
      <c r="J172" s="269"/>
    </row>
    <row r="173" spans="1:11" ht="13.5" thickBot="1" x14ac:dyDescent="0.25">
      <c r="A173" s="151"/>
      <c r="B173" s="151"/>
      <c r="C173" s="151"/>
      <c r="D173" s="151"/>
      <c r="E173" s="269"/>
      <c r="F173" s="269"/>
      <c r="G173" s="455"/>
      <c r="H173" s="336"/>
      <c r="I173" s="338"/>
      <c r="J173" s="284" t="str">
        <f>IF(COUNT(I172,I174)=2,IF(I172&gt;I174,G172,G174),"")</f>
        <v>Pikad - Andrei Grintšak, Tarmo Bombe, Tatyana Chekmareva</v>
      </c>
    </row>
    <row r="174" spans="1:11" x14ac:dyDescent="0.2">
      <c r="A174" s="151"/>
      <c r="B174" s="151"/>
      <c r="C174" s="151"/>
      <c r="D174" s="151"/>
      <c r="E174" s="269"/>
      <c r="F174" s="1049" t="s">
        <v>19</v>
      </c>
      <c r="G174" s="456" t="str">
        <f>IF(COUNT(G166,G170)=2,IF(G166&lt;G170,E166,E170),"")</f>
        <v>Pikad - Andrei Grintšak, Tarmo Bombe, Tatyana Chekmareva</v>
      </c>
      <c r="H174" s="451"/>
      <c r="I174" s="991">
        <v>13</v>
      </c>
      <c r="J174" s="290" t="s">
        <v>210</v>
      </c>
      <c r="K174" s="333"/>
    </row>
    <row r="175" spans="1:11" x14ac:dyDescent="0.2">
      <c r="A175" s="151"/>
      <c r="B175" s="151"/>
      <c r="C175" s="151"/>
      <c r="D175" s="269"/>
      <c r="E175" s="269"/>
      <c r="F175" s="269"/>
      <c r="G175" s="269"/>
      <c r="H175" s="269"/>
      <c r="I175" s="269"/>
      <c r="J175" s="287"/>
      <c r="K175" s="334"/>
    </row>
    <row r="176" spans="1:11" ht="13.5" thickBot="1" x14ac:dyDescent="0.25">
      <c r="A176" s="151"/>
      <c r="B176" s="151"/>
      <c r="C176" s="151"/>
      <c r="D176" s="269"/>
      <c r="E176" s="269"/>
      <c r="F176" s="269"/>
      <c r="G176" s="287"/>
      <c r="H176" s="287"/>
      <c r="I176" s="269"/>
      <c r="J176" s="583" t="str">
        <f>IF(COUNT(I172,I174)=2,IF(I172&lt;I174,G172,G174),"")</f>
        <v>Juuniorid - Henri Mitt, Kevin Sten Liik, Marko Tarassov</v>
      </c>
      <c r="K176" s="584"/>
    </row>
    <row r="177" spans="1:11" x14ac:dyDescent="0.2">
      <c r="A177" s="151"/>
      <c r="B177" s="151"/>
      <c r="C177" s="151"/>
      <c r="D177" s="269"/>
      <c r="E177" s="269"/>
      <c r="F177" s="269"/>
      <c r="G177" s="269"/>
      <c r="H177" s="269"/>
      <c r="I177" s="269"/>
      <c r="J177" s="268" t="s">
        <v>211</v>
      </c>
    </row>
    <row r="178" spans="1:11" hidden="1" x14ac:dyDescent="0.2">
      <c r="A178" s="151"/>
      <c r="B178" s="151"/>
      <c r="C178" s="151"/>
      <c r="D178" s="269"/>
      <c r="E178" s="269"/>
      <c r="F178" s="269"/>
      <c r="G178" s="269"/>
      <c r="H178" s="269"/>
      <c r="I178" s="269"/>
      <c r="J178" s="269"/>
    </row>
    <row r="179" spans="1:11" hidden="1" x14ac:dyDescent="0.2">
      <c r="A179" s="151"/>
      <c r="B179" s="151"/>
      <c r="C179" s="151"/>
      <c r="D179" s="269"/>
      <c r="E179" s="456" t="str">
        <f>IF(COUNT(E157,E159)=2,IF(E157&lt;E159,C157,C159),"")</f>
        <v>-</v>
      </c>
      <c r="F179" s="269"/>
      <c r="G179" s="301">
        <f>IF(E179="-",0,IF(E181="-",13,""))</f>
        <v>0</v>
      </c>
      <c r="H179" s="301"/>
      <c r="I179" s="301"/>
      <c r="J179" s="269"/>
    </row>
    <row r="180" spans="1:11" hidden="1" x14ac:dyDescent="0.2">
      <c r="A180" s="151"/>
      <c r="B180" s="151"/>
      <c r="C180" s="151"/>
      <c r="D180" s="269"/>
      <c r="E180" s="457"/>
      <c r="F180" s="337"/>
      <c r="G180" s="303" t="str">
        <f>IF(COUNT(G179,G181)=2,IF(G179&gt;G181,E179,E181),"")</f>
        <v>-</v>
      </c>
      <c r="H180" s="269"/>
      <c r="I180" s="301">
        <f>IF(G180="-",0,IF(G184="-",13,""))</f>
        <v>0</v>
      </c>
      <c r="J180" s="269"/>
    </row>
    <row r="181" spans="1:11" hidden="1" x14ac:dyDescent="0.2">
      <c r="A181" s="151"/>
      <c r="B181" s="151"/>
      <c r="C181" s="151"/>
      <c r="D181" s="269"/>
      <c r="E181" s="456" t="str">
        <f>IF(COUNT(E161,E163)=2,IF(E161&lt;E163,C161,C163),"")</f>
        <v>-</v>
      </c>
      <c r="F181" s="458"/>
      <c r="G181" s="304">
        <f>IF(E181="-",0,IF(E179="-",13,""))</f>
        <v>0</v>
      </c>
      <c r="H181" s="337"/>
      <c r="I181" s="269"/>
      <c r="J181" s="269"/>
    </row>
    <row r="182" spans="1:11" hidden="1" x14ac:dyDescent="0.2">
      <c r="A182" s="151"/>
      <c r="B182" s="151"/>
      <c r="C182" s="151"/>
      <c r="D182" s="269"/>
      <c r="E182" s="301"/>
      <c r="F182" s="301"/>
      <c r="G182" s="308"/>
      <c r="H182" s="309"/>
      <c r="I182" s="338" t="str">
        <f>IF(COUNT(I180,I184)=2,IF(I180&gt;I184,G180,G184),"")</f>
        <v>-</v>
      </c>
      <c r="J182" s="284" t="str">
        <f>IF(COUNT(I180,I184)=2,IF(I180&gt;I184,G180,G184),"")</f>
        <v>-</v>
      </c>
    </row>
    <row r="183" spans="1:11" hidden="1" x14ac:dyDescent="0.2">
      <c r="A183" s="151"/>
      <c r="B183" s="151"/>
      <c r="C183" s="151"/>
      <c r="D183" s="269"/>
      <c r="E183" s="456" t="str">
        <f>IF(COUNT(E165,E167)=2,IF(E165&lt;E167,C165,C167),"")</f>
        <v>-</v>
      </c>
      <c r="F183" s="301"/>
      <c r="G183" s="301">
        <f>IF(E183="-",0,IF(E185="-",13,""))</f>
        <v>0</v>
      </c>
      <c r="H183" s="309"/>
      <c r="I183" s="307"/>
      <c r="J183" s="290"/>
      <c r="K183" s="333"/>
    </row>
    <row r="184" spans="1:11" hidden="1" x14ac:dyDescent="0.2">
      <c r="A184" s="151"/>
      <c r="B184" s="151"/>
      <c r="C184" s="151"/>
      <c r="D184" s="269"/>
      <c r="E184" s="457"/>
      <c r="F184" s="337"/>
      <c r="G184" s="303" t="str">
        <f>IF(COUNT(G183,G185)=2,IF(G183&gt;G185,E183,E185),"")</f>
        <v>-</v>
      </c>
      <c r="H184" s="451"/>
      <c r="I184" s="304">
        <f>IF(G184="-",0,IF(G180="-",13,""))</f>
        <v>0</v>
      </c>
      <c r="J184" s="287"/>
      <c r="K184" s="334"/>
    </row>
    <row r="185" spans="1:11" ht="13.5" hidden="1" thickBot="1" x14ac:dyDescent="0.25">
      <c r="A185" s="151"/>
      <c r="B185" s="151"/>
      <c r="C185" s="151"/>
      <c r="D185" s="269"/>
      <c r="E185" s="456" t="str">
        <f>IF(COUNT(E169,E171)=2,IF(E169&lt;E171,C169,C171),"")</f>
        <v>-</v>
      </c>
      <c r="F185" s="458"/>
      <c r="G185" s="304">
        <f>IF(E185="-",0,IF(E183="-",13,""))</f>
        <v>0</v>
      </c>
      <c r="H185" s="301"/>
      <c r="I185" s="308"/>
      <c r="J185" s="583" t="str">
        <f>IF(COUNT(I180,I184)=2,IF(I180&lt;I184,G180,G184),"")</f>
        <v>-</v>
      </c>
      <c r="K185" s="584"/>
    </row>
    <row r="186" spans="1:11" hidden="1" x14ac:dyDescent="0.2">
      <c r="A186" s="151"/>
      <c r="B186" s="151"/>
      <c r="C186" s="151"/>
      <c r="D186" s="269"/>
      <c r="E186" s="301"/>
      <c r="F186" s="301"/>
      <c r="G186" s="301"/>
      <c r="H186" s="301"/>
      <c r="I186" s="308"/>
      <c r="J186" s="268"/>
    </row>
    <row r="187" spans="1:11" hidden="1" x14ac:dyDescent="0.2">
      <c r="A187" s="151"/>
      <c r="B187" s="151"/>
      <c r="C187" s="151"/>
      <c r="D187" s="269"/>
      <c r="E187" s="301"/>
      <c r="F187" s="308"/>
      <c r="G187" s="284" t="str">
        <f>IF(COUNT(G179,G181)=2,IF(G179&lt;G181,E179,E181),"")</f>
        <v>-</v>
      </c>
      <c r="H187" s="269"/>
      <c r="I187" s="308">
        <f>IF(G187="-",0,IF(G189="-",13,""))</f>
        <v>0</v>
      </c>
      <c r="J187" s="287"/>
    </row>
    <row r="188" spans="1:11" ht="13.5" hidden="1" thickBot="1" x14ac:dyDescent="0.25">
      <c r="A188" s="151"/>
      <c r="B188" s="151"/>
      <c r="C188" s="151"/>
      <c r="D188" s="269"/>
      <c r="E188" s="301"/>
      <c r="F188" s="308"/>
      <c r="G188" s="455"/>
      <c r="H188" s="336"/>
      <c r="I188" s="585" t="str">
        <f>IF(COUNT(I187,I189)=2,IF(I187&gt;I189,G187,G189),"")</f>
        <v>-</v>
      </c>
      <c r="J188" s="284" t="str">
        <f>IF(COUNT(I187,I189)=2,IF(I187&gt;I189,G187,G189),"")</f>
        <v>-</v>
      </c>
    </row>
    <row r="189" spans="1:11" hidden="1" x14ac:dyDescent="0.2">
      <c r="A189" s="151"/>
      <c r="B189" s="151"/>
      <c r="C189" s="151"/>
      <c r="D189" s="269"/>
      <c r="E189" s="301"/>
      <c r="F189" s="308"/>
      <c r="G189" s="456" t="str">
        <f>IF(COUNT(G183,G185)=2,IF(G183&lt;G185,E183,E185),"")</f>
        <v>-</v>
      </c>
      <c r="H189" s="451"/>
      <c r="I189" s="304">
        <f>IF(G189="-",0,IF(G187="-",13,""))</f>
        <v>0</v>
      </c>
      <c r="J189" s="290"/>
      <c r="K189" s="333"/>
    </row>
    <row r="190" spans="1:11" hidden="1" x14ac:dyDescent="0.2">
      <c r="A190" s="151"/>
      <c r="B190" s="151"/>
      <c r="C190" s="151"/>
      <c r="D190" s="269"/>
      <c r="E190" s="269"/>
      <c r="F190" s="287"/>
      <c r="G190" s="269"/>
      <c r="H190" s="269"/>
      <c r="I190" s="269"/>
      <c r="J190" s="287"/>
      <c r="K190" s="334"/>
    </row>
    <row r="191" spans="1:11" ht="13.5" hidden="1" thickBot="1" x14ac:dyDescent="0.25">
      <c r="A191" s="151"/>
      <c r="B191" s="151"/>
      <c r="C191" s="151"/>
      <c r="D191" s="269"/>
      <c r="E191" s="269"/>
      <c r="F191" s="269"/>
      <c r="G191" s="287"/>
      <c r="H191" s="287"/>
      <c r="I191" s="269"/>
      <c r="J191" s="586" t="str">
        <f>IF(COUNT(I187,I189)=2,IF(I187&lt;I189,G187,G189),"")</f>
        <v>-</v>
      </c>
      <c r="K191" s="584"/>
    </row>
    <row r="192" spans="1:11" hidden="1" x14ac:dyDescent="0.2">
      <c r="A192" s="151"/>
      <c r="B192" s="151"/>
      <c r="C192" s="151"/>
      <c r="D192" s="269"/>
      <c r="E192" s="269"/>
      <c r="F192" s="269"/>
      <c r="G192" s="287"/>
      <c r="H192" s="287"/>
      <c r="I192" s="269"/>
      <c r="J192" s="268"/>
    </row>
    <row r="193" spans="1:11" x14ac:dyDescent="0.2">
      <c r="A193" s="151"/>
      <c r="B193" s="151"/>
      <c r="C193" s="151"/>
      <c r="D193" s="151"/>
      <c r="E193" s="151"/>
      <c r="F193" s="151"/>
      <c r="G193" s="151"/>
      <c r="H193" s="151"/>
      <c r="I193" s="151"/>
      <c r="J193" s="151"/>
    </row>
    <row r="194" spans="1:11" x14ac:dyDescent="0.2">
      <c r="A194" s="331" t="s">
        <v>319</v>
      </c>
      <c r="B194" s="151"/>
      <c r="C194" s="151"/>
      <c r="D194" s="151"/>
      <c r="E194" s="151"/>
      <c r="F194" s="151"/>
      <c r="G194" s="151"/>
      <c r="H194" s="151"/>
      <c r="I194" s="151"/>
      <c r="J194" s="151"/>
    </row>
    <row r="195" spans="1:11" x14ac:dyDescent="0.2">
      <c r="A195" s="151"/>
      <c r="B195" s="151"/>
      <c r="C195" s="151"/>
      <c r="D195" s="151"/>
      <c r="E195" s="151"/>
      <c r="F195" s="151"/>
      <c r="G195" s="151"/>
      <c r="H195" s="151"/>
      <c r="I195" s="151"/>
      <c r="J195" s="151"/>
    </row>
    <row r="196" spans="1:11" x14ac:dyDescent="0.2">
      <c r="B196" s="332" t="s">
        <v>203</v>
      </c>
      <c r="C196" s="582" t="str">
        <f>IF(B196="-","-",IFERROR(INDEX(B$1:B$100,MATCH(B196,I$1:I$100,0)),""))</f>
        <v>Urmased - Olav Türk, Urmas Jõeäär, Urmas Randlaine</v>
      </c>
      <c r="D196" s="151"/>
      <c r="E196" s="301">
        <f>IF(C196="-",0,IF(C198="-",13,""))</f>
        <v>13</v>
      </c>
      <c r="F196" s="269"/>
      <c r="G196" s="269"/>
      <c r="H196" s="269"/>
      <c r="I196" s="269"/>
      <c r="J196" s="269"/>
    </row>
    <row r="197" spans="1:11" x14ac:dyDescent="0.2">
      <c r="B197" s="332"/>
      <c r="C197" s="449"/>
      <c r="D197" s="1051" t="s">
        <v>542</v>
      </c>
      <c r="E197" s="303" t="str">
        <f>IF(COUNT(E196,E198)=2,IF(E196&gt;E198,C196,C198),"")</f>
        <v>Urmased - Olav Türk, Urmas Jõeäär, Urmas Randlaine</v>
      </c>
      <c r="F197" s="269"/>
      <c r="G197" s="301">
        <v>13</v>
      </c>
      <c r="H197" s="269"/>
      <c r="I197" s="269"/>
      <c r="J197" s="269"/>
    </row>
    <row r="198" spans="1:11" x14ac:dyDescent="0.2">
      <c r="B198" s="332" t="s">
        <v>205</v>
      </c>
      <c r="C198" s="582" t="str">
        <f>IF(B198="-","-",IFERROR(INDEX(B$1:B$100,MATCH(B198,I$1:I$100,0)),""))</f>
        <v>-</v>
      </c>
      <c r="D198" s="587"/>
      <c r="E198" s="304">
        <f>IF(C198="-",0,IF(C196="-",13,""))</f>
        <v>0</v>
      </c>
      <c r="F198" s="336"/>
      <c r="G198" s="269"/>
      <c r="H198" s="269"/>
      <c r="I198" s="269"/>
      <c r="J198" s="269"/>
    </row>
    <row r="199" spans="1:11" x14ac:dyDescent="0.2">
      <c r="B199" s="332"/>
      <c r="C199" s="292"/>
      <c r="D199" s="151"/>
      <c r="E199" s="269"/>
      <c r="F199" s="1053" t="s">
        <v>546</v>
      </c>
      <c r="G199" s="303" t="str">
        <f>IF(COUNT(G197,G201)=2,IF(G197&gt;G201,E197,E201),"")</f>
        <v>Urmased - Olav Türk, Urmas Jõeäär, Urmas Randlaine</v>
      </c>
      <c r="H199" s="269"/>
      <c r="I199" s="301">
        <v>4</v>
      </c>
      <c r="J199" s="269"/>
    </row>
    <row r="200" spans="1:11" x14ac:dyDescent="0.2">
      <c r="B200" s="332" t="s">
        <v>227</v>
      </c>
      <c r="C200" s="582" t="str">
        <f>IF(B200="-","-",IFERROR(INDEX(B$1:B$100,MATCH(B200,I$1:I$100,0)),""))</f>
        <v>Team Silver - Marko Ode, Martha Aavisto, Silver Kingissepp</v>
      </c>
      <c r="D200" s="151"/>
      <c r="E200" s="301">
        <v>13</v>
      </c>
      <c r="F200" s="305"/>
      <c r="G200" s="306"/>
      <c r="H200" s="336"/>
      <c r="I200" s="269"/>
      <c r="J200" s="269"/>
    </row>
    <row r="201" spans="1:11" x14ac:dyDescent="0.2">
      <c r="B201" s="332"/>
      <c r="C201" s="449"/>
      <c r="D201" s="1051" t="s">
        <v>543</v>
      </c>
      <c r="E201" s="303" t="str">
        <f>IF(COUNT(E200,E202)=2,IF(E200&gt;E202,C200,C202),"")</f>
        <v>Team Silver - Marko Ode, Martha Aavisto, Silver Kingissepp</v>
      </c>
      <c r="F201" s="451"/>
      <c r="G201" s="304">
        <v>10</v>
      </c>
      <c r="H201" s="305"/>
      <c r="I201" s="269"/>
      <c r="J201" s="269"/>
    </row>
    <row r="202" spans="1:11" x14ac:dyDescent="0.2">
      <c r="B202" s="332" t="s">
        <v>208</v>
      </c>
      <c r="C202" s="582" t="str">
        <f>IF(B202="-","-",IFERROR(INDEX(B$1:B$100,MATCH(B202,I$1:I$100,0)),""))</f>
        <v>Tartu juuniorid - Aurelia Meldre, Daniel Lehtsaar, Roland Põld</v>
      </c>
      <c r="D202" s="587"/>
      <c r="E202" s="304">
        <v>3</v>
      </c>
      <c r="F202" s="269"/>
      <c r="G202" s="287"/>
      <c r="H202" s="305"/>
      <c r="I202" s="269"/>
      <c r="J202" s="269"/>
    </row>
    <row r="203" spans="1:11" ht="13.5" thickBot="1" x14ac:dyDescent="0.25">
      <c r="B203" s="332"/>
      <c r="C203" s="292"/>
      <c r="D203" s="151"/>
      <c r="E203" s="269"/>
      <c r="F203" s="269"/>
      <c r="G203" s="287"/>
      <c r="H203" s="305"/>
      <c r="I203" s="269"/>
      <c r="J203" s="284" t="str">
        <f>IF(COUNT(I199,I207)=2,IF(I199&gt;I207,G199,G207),"")</f>
        <v>Orrod - Aigi Orro, Elmo Lageda, Kalle Orro</v>
      </c>
    </row>
    <row r="204" spans="1:11" x14ac:dyDescent="0.2">
      <c r="B204" s="332" t="s">
        <v>206</v>
      </c>
      <c r="C204" s="582" t="str">
        <f>IF(B204="-","-",IFERROR(INDEX(B$1:B$100,MATCH(B204,I$1:I$100,0)),""))</f>
        <v>Nadi - Tõnu Kapper, Vello Vasser, Vladimir Ogneštšikov</v>
      </c>
      <c r="D204" s="151"/>
      <c r="E204" s="301">
        <v>4</v>
      </c>
      <c r="F204" s="269"/>
      <c r="G204" s="269"/>
      <c r="H204" s="305"/>
      <c r="I204" s="307"/>
      <c r="J204" s="290" t="s">
        <v>212</v>
      </c>
      <c r="K204" s="333"/>
    </row>
    <row r="205" spans="1:11" x14ac:dyDescent="0.2">
      <c r="B205" s="332"/>
      <c r="C205" s="449"/>
      <c r="D205" s="1051" t="s">
        <v>544</v>
      </c>
      <c r="E205" s="303" t="str">
        <f>IF(COUNT(E204,E206)=2,IF(E204&gt;E206,C204,C206),"")</f>
        <v>Orrod - Aigi Orro, Elmo Lageda, Kalle Orro</v>
      </c>
      <c r="F205" s="269"/>
      <c r="G205" s="301">
        <v>13</v>
      </c>
      <c r="H205" s="305"/>
      <c r="I205" s="287"/>
      <c r="J205" s="287"/>
      <c r="K205" s="334"/>
    </row>
    <row r="206" spans="1:11" x14ac:dyDescent="0.2">
      <c r="B206" s="332" t="s">
        <v>228</v>
      </c>
      <c r="C206" s="582" t="str">
        <f>IF(B206="-","-",IFERROR(INDEX(B$1:B$100,MATCH(B206,I$1:I$100,0)),""))</f>
        <v>Orrod - Aigi Orro, Elmo Lageda, Kalle Orro</v>
      </c>
      <c r="D206" s="587"/>
      <c r="E206" s="304">
        <v>13</v>
      </c>
      <c r="F206" s="336"/>
      <c r="G206" s="269"/>
      <c r="H206" s="305"/>
      <c r="I206" s="287"/>
      <c r="J206" s="287"/>
      <c r="K206" s="334"/>
    </row>
    <row r="207" spans="1:11" x14ac:dyDescent="0.2">
      <c r="B207" s="332"/>
      <c r="C207" s="292"/>
      <c r="D207" s="151"/>
      <c r="E207" s="269"/>
      <c r="F207" s="1053" t="s">
        <v>547</v>
      </c>
      <c r="G207" s="303" t="str">
        <f>IF(COUNT(G205,G209)=2,IF(G205&gt;G209,E205,E209),"")</f>
        <v>Orrod - Aigi Orro, Elmo Lageda, Kalle Orro</v>
      </c>
      <c r="H207" s="451"/>
      <c r="I207" s="304">
        <v>13</v>
      </c>
      <c r="J207" s="287"/>
      <c r="K207" s="334"/>
    </row>
    <row r="208" spans="1:11" ht="13.5" thickBot="1" x14ac:dyDescent="0.25">
      <c r="B208" s="332" t="s">
        <v>205</v>
      </c>
      <c r="C208" s="582" t="str">
        <f>IF(B208="-","-",IFERROR(INDEX(B$1:B$100,MATCH(B208,I$1:I$100,0)),""))</f>
        <v>-</v>
      </c>
      <c r="D208" s="151"/>
      <c r="E208" s="301">
        <f>IF(C208="-",0,IF(C210="-",13,""))</f>
        <v>0</v>
      </c>
      <c r="F208" s="305"/>
      <c r="G208" s="306"/>
      <c r="H208" s="287"/>
      <c r="I208" s="287"/>
      <c r="J208" s="583" t="str">
        <f>IF(COUNT(I199,I207)=2,IF(I199&lt;I207,G199,G207),"")</f>
        <v>Urmased - Olav Türk, Urmas Jõeäär, Urmas Randlaine</v>
      </c>
      <c r="K208" s="584"/>
    </row>
    <row r="209" spans="2:11" x14ac:dyDescent="0.2">
      <c r="B209" s="332"/>
      <c r="C209" s="449"/>
      <c r="D209" s="1051" t="s">
        <v>545</v>
      </c>
      <c r="E209" s="303" t="str">
        <f>IF(COUNT(E208,E210)=2,IF(E208&gt;E210,C208,C210),"")</f>
        <v>Team Ruudi - Janek Kiisk, Johannes Neiland, Karla Purgats, Ruudi Väärtnõu</v>
      </c>
      <c r="F209" s="451"/>
      <c r="G209" s="304">
        <v>3</v>
      </c>
      <c r="H209" s="269"/>
      <c r="I209" s="287"/>
      <c r="J209" s="296" t="s">
        <v>213</v>
      </c>
    </row>
    <row r="210" spans="2:11" x14ac:dyDescent="0.2">
      <c r="B210" s="332" t="s">
        <v>204</v>
      </c>
      <c r="C210" s="582" t="str">
        <f>IF(B210="-","-",IFERROR(INDEX(B$1:B$100,MATCH(B210,I$1:I$100,0)),""))</f>
        <v>Team Ruudi - Janek Kiisk, Johannes Neiland, Karla Purgats, Ruudi Väärtnõu</v>
      </c>
      <c r="D210" s="587"/>
      <c r="E210" s="304">
        <f>IF(C210="-",0,IF(C208="-",13,""))</f>
        <v>13</v>
      </c>
      <c r="F210" s="269"/>
      <c r="G210" s="287"/>
      <c r="H210" s="287"/>
      <c r="I210" s="287"/>
      <c r="J210" s="269"/>
    </row>
    <row r="211" spans="2:11" x14ac:dyDescent="0.2">
      <c r="C211" s="151"/>
      <c r="D211" s="151"/>
      <c r="E211" s="269"/>
      <c r="F211" s="1054" t="s">
        <v>24</v>
      </c>
      <c r="G211" s="284" t="str">
        <f>IF(COUNT(G197,G201)=2,IF(G197&lt;G201,E197,E201),"")</f>
        <v>Team Silver - Marko Ode, Martha Aavisto, Silver Kingissepp</v>
      </c>
      <c r="H211" s="269"/>
      <c r="I211" s="301">
        <v>11</v>
      </c>
      <c r="J211" s="269"/>
    </row>
    <row r="212" spans="2:11" ht="13.5" thickBot="1" x14ac:dyDescent="0.25">
      <c r="C212" s="151"/>
      <c r="D212" s="151"/>
      <c r="E212" s="269"/>
      <c r="F212" s="269"/>
      <c r="G212" s="455"/>
      <c r="H212" s="336"/>
      <c r="I212" s="338"/>
      <c r="J212" s="284" t="str">
        <f>IF(COUNT(I211,I213)=2,IF(I211&gt;I213,G211,G213),"")</f>
        <v>Team Ruudi - Janek Kiisk, Johannes Neiland, Karla Purgats, Ruudi Väärtnõu</v>
      </c>
    </row>
    <row r="213" spans="2:11" x14ac:dyDescent="0.2">
      <c r="C213" s="151"/>
      <c r="D213" s="151"/>
      <c r="E213" s="269"/>
      <c r="F213" s="1054" t="s">
        <v>25</v>
      </c>
      <c r="G213" s="456" t="str">
        <f>IF(COUNT(G205,G209)=2,IF(G205&lt;G209,E205,E209),"")</f>
        <v>Team Ruudi - Janek Kiisk, Johannes Neiland, Karla Purgats, Ruudi Väärtnõu</v>
      </c>
      <c r="H213" s="451"/>
      <c r="I213" s="991">
        <v>13</v>
      </c>
      <c r="J213" s="290" t="s">
        <v>216</v>
      </c>
      <c r="K213" s="333"/>
    </row>
    <row r="214" spans="2:11" x14ac:dyDescent="0.2">
      <c r="C214" s="151"/>
      <c r="D214" s="269"/>
      <c r="E214" s="269"/>
      <c r="F214" s="269"/>
      <c r="G214" s="269"/>
      <c r="H214" s="269"/>
      <c r="I214" s="287"/>
      <c r="J214" s="287"/>
      <c r="K214" s="334"/>
    </row>
    <row r="215" spans="2:11" ht="13.5" thickBot="1" x14ac:dyDescent="0.25">
      <c r="C215" s="151"/>
      <c r="D215" s="269"/>
      <c r="E215" s="269"/>
      <c r="F215" s="269"/>
      <c r="G215" s="287"/>
      <c r="H215" s="287"/>
      <c r="I215" s="287"/>
      <c r="J215" s="314" t="str">
        <f>IF(COUNT(I211,I213)=2,IF(I211&lt;I213,G211,G213),"")</f>
        <v>Team Silver - Marko Ode, Martha Aavisto, Silver Kingissepp</v>
      </c>
      <c r="K215" s="584"/>
    </row>
    <row r="216" spans="2:11" x14ac:dyDescent="0.2">
      <c r="C216" s="151"/>
      <c r="D216" s="269"/>
      <c r="E216" s="269"/>
      <c r="F216" s="269"/>
      <c r="G216" s="269"/>
      <c r="H216" s="269"/>
      <c r="I216" s="287"/>
      <c r="J216" s="296" t="s">
        <v>217</v>
      </c>
    </row>
    <row r="217" spans="2:11" x14ac:dyDescent="0.2">
      <c r="C217" s="151"/>
      <c r="D217" s="269"/>
      <c r="E217" s="269"/>
      <c r="F217" s="269"/>
      <c r="G217" s="269"/>
      <c r="H217" s="269"/>
      <c r="I217" s="287"/>
      <c r="J217" s="287"/>
    </row>
    <row r="218" spans="2:11" x14ac:dyDescent="0.2">
      <c r="C218" s="151"/>
      <c r="D218" s="1052" t="s">
        <v>20</v>
      </c>
      <c r="E218" s="456" t="str">
        <f>IF(COUNT(E196,E198)=2,IF(E196&lt;E198,C196,C198),"")</f>
        <v>-</v>
      </c>
      <c r="F218" s="269"/>
      <c r="G218" s="301">
        <f>IF(E218="-",0,IF(E220="-",13,""))</f>
        <v>0</v>
      </c>
      <c r="H218" s="301"/>
      <c r="I218" s="308"/>
      <c r="J218" s="287"/>
    </row>
    <row r="219" spans="2:11" x14ac:dyDescent="0.2">
      <c r="C219" s="151"/>
      <c r="D219" s="269"/>
      <c r="E219" s="457"/>
      <c r="F219" s="337"/>
      <c r="G219" s="338" t="str">
        <f>IF(COUNT(G218,G220)=2,IF(G218&gt;G220,E218,E220),"")</f>
        <v>Tartu juuniorid - Aurelia Meldre, Daniel Lehtsaar, Roland Põld</v>
      </c>
      <c r="H219" s="269"/>
      <c r="I219" s="308">
        <v>4</v>
      </c>
      <c r="J219" s="287"/>
    </row>
    <row r="220" spans="2:11" x14ac:dyDescent="0.2">
      <c r="C220" s="151"/>
      <c r="D220" s="1052" t="s">
        <v>21</v>
      </c>
      <c r="E220" s="456" t="str">
        <f>IF(COUNT(E200,E202)=2,IF(E200&lt;E202,C200,C202),"")</f>
        <v>Tartu juuniorid - Aurelia Meldre, Daniel Lehtsaar, Roland Põld</v>
      </c>
      <c r="F220" s="458"/>
      <c r="G220" s="993">
        <f>IF(E220="-",0,IF(E218="-",13,""))</f>
        <v>13</v>
      </c>
      <c r="H220" s="994"/>
      <c r="I220" s="287"/>
      <c r="J220" s="287"/>
    </row>
    <row r="221" spans="2:11" ht="13.5" thickBot="1" x14ac:dyDescent="0.25">
      <c r="C221" s="151"/>
      <c r="D221" s="269"/>
      <c r="E221" s="301"/>
      <c r="F221" s="301"/>
      <c r="G221" s="308"/>
      <c r="H221" s="309"/>
      <c r="I221" s="585"/>
      <c r="J221" s="314" t="str">
        <f>IF(COUNT(I219,I223)=2,IF(I219&gt;I223,G219,G223),"")</f>
        <v>Nadi - Tõnu Kapper, Vello Vasser, Vladimir Ogneštšikov</v>
      </c>
    </row>
    <row r="222" spans="2:11" x14ac:dyDescent="0.2">
      <c r="C222" s="151"/>
      <c r="D222" s="1052" t="s">
        <v>22</v>
      </c>
      <c r="E222" s="456" t="str">
        <f>IF(COUNT(E204,E206)=2,IF(E204&lt;E206,C204,C206),"")</f>
        <v>Nadi - Tõnu Kapper, Vello Vasser, Vladimir Ogneštšikov</v>
      </c>
      <c r="F222" s="301"/>
      <c r="G222" s="308">
        <f>IF(E222="-",0,IF(E224="-",13,""))</f>
        <v>13</v>
      </c>
      <c r="H222" s="309"/>
      <c r="I222" s="987"/>
      <c r="J222" s="296" t="s">
        <v>218</v>
      </c>
      <c r="K222" s="333"/>
    </row>
    <row r="223" spans="2:11" x14ac:dyDescent="0.2">
      <c r="C223" s="151"/>
      <c r="D223" s="269"/>
      <c r="E223" s="457"/>
      <c r="F223" s="337"/>
      <c r="G223" s="995" t="str">
        <f>IF(COUNT(G222,G224)=2,IF(G222&gt;G224,E222,E224),"")</f>
        <v>Nadi - Tõnu Kapper, Vello Vasser, Vladimir Ogneštšikov</v>
      </c>
      <c r="H223" s="990"/>
      <c r="I223" s="304">
        <v>13</v>
      </c>
      <c r="J223" s="287"/>
      <c r="K223" s="334"/>
    </row>
    <row r="224" spans="2:11" ht="13.5" thickBot="1" x14ac:dyDescent="0.25">
      <c r="C224" s="151"/>
      <c r="D224" s="1052" t="s">
        <v>23</v>
      </c>
      <c r="E224" s="456" t="str">
        <f>IF(COUNT(E208,E210)=2,IF(E208&lt;E210,C208,C210),"")</f>
        <v>-</v>
      </c>
      <c r="F224" s="458"/>
      <c r="G224" s="304">
        <f>IF(E224="-",0,IF(E222="-",13,""))</f>
        <v>0</v>
      </c>
      <c r="H224" s="301"/>
      <c r="I224" s="308"/>
      <c r="J224" s="583" t="str">
        <f>IF(COUNT(I219,I223)=2,IF(I219&lt;I223,G219,G223),"")</f>
        <v>Tartu juuniorid - Aurelia Meldre, Daniel Lehtsaar, Roland Põld</v>
      </c>
      <c r="K224" s="584"/>
    </row>
    <row r="225" spans="3:11" x14ac:dyDescent="0.2">
      <c r="C225" s="151"/>
      <c r="D225" s="269"/>
      <c r="E225" s="301"/>
      <c r="F225" s="301"/>
      <c r="G225" s="301"/>
      <c r="H225" s="301"/>
      <c r="I225" s="308"/>
      <c r="J225" s="268" t="s">
        <v>219</v>
      </c>
    </row>
    <row r="226" spans="3:11" x14ac:dyDescent="0.2">
      <c r="C226" s="151"/>
      <c r="D226" s="269"/>
      <c r="E226" s="301"/>
      <c r="F226" s="308"/>
      <c r="G226" s="284" t="str">
        <f>IF(COUNT(G218,G220)=2,IF(G218&lt;G220,E218,E220),"")</f>
        <v>-</v>
      </c>
      <c r="H226" s="269"/>
      <c r="I226" s="301">
        <f>IF(G226="-",0,IF(G228="-",13,""))</f>
        <v>0</v>
      </c>
      <c r="J226" s="287"/>
    </row>
    <row r="227" spans="3:11" ht="13.5" thickBot="1" x14ac:dyDescent="0.25">
      <c r="C227" s="151"/>
      <c r="D227" s="269"/>
      <c r="E227" s="301"/>
      <c r="F227" s="308"/>
      <c r="G227" s="455"/>
      <c r="H227" s="336"/>
      <c r="I227" s="338"/>
      <c r="J227" s="284" t="str">
        <f>IF(COUNT(I226,I228)=2,IF(I226&gt;I228,G226,G228),"")</f>
        <v>-</v>
      </c>
    </row>
    <row r="228" spans="3:11" x14ac:dyDescent="0.2">
      <c r="C228" s="151"/>
      <c r="D228" s="269"/>
      <c r="E228" s="301"/>
      <c r="F228" s="308"/>
      <c r="G228" s="456" t="str">
        <f>IF(COUNT(G222,G224)=2,IF(G222&lt;G224,E222,E224),"")</f>
        <v>-</v>
      </c>
      <c r="H228" s="451"/>
      <c r="I228" s="991">
        <f>IF(G228="-",0,IF(G226="-",13,""))</f>
        <v>0</v>
      </c>
      <c r="J228" s="290"/>
      <c r="K228" s="333"/>
    </row>
    <row r="229" spans="3:11" x14ac:dyDescent="0.2">
      <c r="C229" s="151"/>
      <c r="D229" s="269"/>
      <c r="E229" s="269"/>
      <c r="F229" s="287"/>
      <c r="G229" s="269"/>
      <c r="H229" s="269"/>
      <c r="I229" s="269"/>
      <c r="J229" s="287"/>
      <c r="K229" s="334"/>
    </row>
    <row r="230" spans="3:11" ht="13.5" thickBot="1" x14ac:dyDescent="0.25">
      <c r="C230" s="151"/>
      <c r="D230" s="269"/>
      <c r="E230" s="269"/>
      <c r="F230" s="269"/>
      <c r="G230" s="287"/>
      <c r="H230" s="287"/>
      <c r="I230" s="269"/>
      <c r="J230" s="586" t="str">
        <f>IF(COUNT(I226,I228)=2,IF(I226&lt;I228,G226,G228),"")</f>
        <v>-</v>
      </c>
      <c r="K230" s="584"/>
    </row>
    <row r="231" spans="3:11" x14ac:dyDescent="0.2">
      <c r="C231" s="151"/>
      <c r="D231" s="269"/>
      <c r="E231" s="269"/>
      <c r="F231" s="269"/>
      <c r="G231" s="287"/>
      <c r="H231" s="287"/>
      <c r="I231" s="269"/>
      <c r="J231" s="268"/>
    </row>
    <row r="232" spans="3:11" hidden="1" x14ac:dyDescent="0.2"/>
    <row r="233" spans="3:11" hidden="1" x14ac:dyDescent="0.2"/>
    <row r="234" spans="3:11" hidden="1" x14ac:dyDescent="0.2"/>
    <row r="235" spans="3:11" hidden="1" x14ac:dyDescent="0.2"/>
    <row r="236" spans="3:11" hidden="1" x14ac:dyDescent="0.2"/>
    <row r="237" spans="3:11" hidden="1" x14ac:dyDescent="0.2"/>
    <row r="238" spans="3:11" hidden="1" x14ac:dyDescent="0.2"/>
    <row r="239" spans="3:11" hidden="1" x14ac:dyDescent="0.2"/>
    <row r="240" spans="3:11"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9" hidden="1" x14ac:dyDescent="0.2"/>
    <row r="290" spans="1:9" hidden="1" x14ac:dyDescent="0.2"/>
    <row r="291" spans="1:9" hidden="1" x14ac:dyDescent="0.2"/>
    <row r="292" spans="1:9" hidden="1" x14ac:dyDescent="0.2"/>
    <row r="293" spans="1:9" hidden="1" x14ac:dyDescent="0.2"/>
    <row r="294" spans="1:9" hidden="1" x14ac:dyDescent="0.2"/>
    <row r="295" spans="1:9" hidden="1" x14ac:dyDescent="0.2"/>
    <row r="296" spans="1:9" hidden="1" x14ac:dyDescent="0.2"/>
    <row r="297" spans="1:9" hidden="1" x14ac:dyDescent="0.2"/>
    <row r="299" spans="1:9" x14ac:dyDescent="0.2">
      <c r="A299" s="271"/>
      <c r="B299" s="271"/>
      <c r="C299" s="401"/>
    </row>
    <row r="300" spans="1:9" x14ac:dyDescent="0.2">
      <c r="A300" s="530">
        <v>1</v>
      </c>
      <c r="B300" s="1068" t="str">
        <f t="shared" ref="B300:B317" si="11">IFERROR(INDEX(J$100:J$300,MATCH(A300&amp;". koht",J$101:J$301,0)),"")</f>
        <v>Peterburg 2 - Mikhail Severov, Tatiana Kazanceva, Viktor Anuhin</v>
      </c>
      <c r="C300" s="1070"/>
      <c r="D300" s="1071"/>
      <c r="E300" s="1071"/>
      <c r="F300" s="1071"/>
      <c r="G300" s="1071"/>
      <c r="H300" s="1072"/>
    </row>
    <row r="301" spans="1:9" x14ac:dyDescent="0.2">
      <c r="A301" s="530">
        <v>2</v>
      </c>
      <c r="B301" s="1068" t="str">
        <f t="shared" si="11"/>
        <v>Tartu 2 - Aimar Poom, Igor Kostin, Kertu Palm</v>
      </c>
      <c r="C301" s="1073"/>
      <c r="D301" s="1074"/>
      <c r="E301" s="1074"/>
      <c r="F301" s="1074"/>
      <c r="G301" s="1074"/>
      <c r="H301" s="1075"/>
    </row>
    <row r="302" spans="1:9" x14ac:dyDescent="0.2">
      <c r="A302" s="530">
        <v>3</v>
      </c>
      <c r="B302" s="1068" t="str">
        <f t="shared" si="11"/>
        <v>Tartu 1 - Alari Keedus, Marek Kolk, Valmar Pantšenko</v>
      </c>
      <c r="C302" s="1076"/>
      <c r="D302" s="1077"/>
      <c r="E302" s="1077"/>
      <c r="F302" s="1077"/>
      <c r="G302" s="1077"/>
      <c r="H302" s="1078"/>
    </row>
    <row r="303" spans="1:9" x14ac:dyDescent="0.2">
      <c r="A303" s="530">
        <v>4</v>
      </c>
      <c r="B303" s="1068" t="str">
        <f t="shared" si="11"/>
        <v>SMS - Jaan Sepp, Oskar Sepp, Mait Metsla</v>
      </c>
      <c r="C303" s="1069"/>
      <c r="D303" s="661"/>
      <c r="E303" s="661"/>
      <c r="F303" s="661"/>
      <c r="G303" s="661"/>
      <c r="H303" s="662"/>
    </row>
    <row r="304" spans="1:9" x14ac:dyDescent="0.2">
      <c r="A304" s="530">
        <v>5</v>
      </c>
      <c r="B304" s="1068" t="str">
        <f t="shared" si="11"/>
        <v>Vans - Kenneth Muusikus, Matti Vinni, Ülo Piik</v>
      </c>
      <c r="C304" s="1069"/>
      <c r="D304" s="661"/>
      <c r="E304" s="661"/>
      <c r="F304" s="661"/>
      <c r="G304" s="661"/>
      <c r="H304" s="662"/>
      <c r="I304" s="1" t="s">
        <v>584</v>
      </c>
    </row>
    <row r="305" spans="1:9" x14ac:dyDescent="0.2">
      <c r="A305" s="530">
        <v>6</v>
      </c>
      <c r="B305" s="1068" t="str">
        <f t="shared" si="11"/>
        <v>Oja - Aarne Välja, Janek Tarto, Oksana Rõndenkova, Oleg Rõndenkov</v>
      </c>
      <c r="C305" s="1069"/>
      <c r="D305" s="661"/>
      <c r="E305" s="661"/>
      <c r="F305" s="661"/>
      <c r="G305" s="661"/>
      <c r="H305" s="662"/>
    </row>
    <row r="306" spans="1:9" x14ac:dyDescent="0.2">
      <c r="A306" s="530">
        <v>7</v>
      </c>
      <c r="B306" s="1068" t="str">
        <f t="shared" si="11"/>
        <v>Narvakad - Argo Sepp, Ljudmila Varendi, Viktor Švarõgin</v>
      </c>
      <c r="C306" s="1069"/>
      <c r="D306" s="661"/>
      <c r="E306" s="661"/>
      <c r="F306" s="661"/>
      <c r="G306" s="661"/>
      <c r="H306" s="662"/>
    </row>
    <row r="307" spans="1:9" x14ac:dyDescent="0.2">
      <c r="A307" s="530">
        <v>8</v>
      </c>
      <c r="B307" s="1068" t="str">
        <f t="shared" si="11"/>
        <v>Ennud - Enn Tokman, Jaan Saar, Peep Peenema</v>
      </c>
      <c r="C307" s="1069"/>
      <c r="D307" s="661"/>
      <c r="E307" s="661"/>
      <c r="F307" s="661"/>
      <c r="G307" s="661"/>
      <c r="H307" s="662"/>
    </row>
    <row r="308" spans="1:9" x14ac:dyDescent="0.2">
      <c r="A308" s="530">
        <v>9</v>
      </c>
      <c r="B308" s="1068" t="str">
        <f t="shared" si="11"/>
        <v>Peterburg 1 - Aleksei Tkachenko, Anna Tkachenko, Denis Volkov</v>
      </c>
      <c r="C308" s="1069"/>
      <c r="D308" s="661"/>
      <c r="E308" s="661"/>
      <c r="F308" s="661"/>
      <c r="G308" s="661"/>
      <c r="H308" s="662"/>
      <c r="I308" s="1" t="s">
        <v>585</v>
      </c>
    </row>
    <row r="309" spans="1:9" x14ac:dyDescent="0.2">
      <c r="A309" s="530">
        <v>10</v>
      </c>
      <c r="B309" s="1068" t="str">
        <f t="shared" si="11"/>
        <v>Veskid - Andres Veski, Meelis Luud, Svetlana Veski</v>
      </c>
      <c r="C309" s="1069"/>
      <c r="D309" s="661"/>
      <c r="E309" s="661"/>
      <c r="F309" s="661"/>
      <c r="G309" s="661"/>
      <c r="H309" s="662"/>
    </row>
    <row r="310" spans="1:9" x14ac:dyDescent="0.2">
      <c r="A310" s="530">
        <v>11</v>
      </c>
      <c r="B310" s="1068" t="str">
        <f t="shared" si="11"/>
        <v>Pikad - Andrei Grintšak, Tarmo Bombe, Tatyana Chekmareva</v>
      </c>
      <c r="C310" s="1069"/>
      <c r="D310" s="661"/>
      <c r="E310" s="661"/>
      <c r="F310" s="661"/>
      <c r="G310" s="661"/>
      <c r="H310" s="662"/>
    </row>
    <row r="311" spans="1:9" x14ac:dyDescent="0.2">
      <c r="A311" s="530">
        <v>12</v>
      </c>
      <c r="B311" s="1068" t="str">
        <f t="shared" si="11"/>
        <v>Juuniorid - Henri Mitt, Kevin Sten Liik, Marko Tarassov</v>
      </c>
      <c r="C311" s="1069"/>
      <c r="D311" s="661"/>
      <c r="E311" s="661"/>
      <c r="F311" s="661"/>
      <c r="G311" s="661"/>
      <c r="H311" s="662"/>
    </row>
    <row r="312" spans="1:9" x14ac:dyDescent="0.2">
      <c r="A312" s="530">
        <v>13</v>
      </c>
      <c r="B312" s="1068" t="str">
        <f t="shared" si="11"/>
        <v>Orrod - Aigi Orro, Elmo Lageda, Kalle Orro</v>
      </c>
      <c r="C312" s="1069"/>
      <c r="D312" s="661"/>
      <c r="E312" s="661"/>
      <c r="F312" s="661"/>
      <c r="G312" s="661"/>
      <c r="H312" s="662"/>
      <c r="I312" s="1" t="s">
        <v>586</v>
      </c>
    </row>
    <row r="313" spans="1:9" x14ac:dyDescent="0.2">
      <c r="A313" s="530">
        <v>14</v>
      </c>
      <c r="B313" s="1068" t="str">
        <f t="shared" si="11"/>
        <v>Urmased - Olav Türk, Urmas Jõeäär, Urmas Randlaine</v>
      </c>
      <c r="C313" s="1069"/>
      <c r="D313" s="661"/>
      <c r="E313" s="661"/>
      <c r="F313" s="661"/>
      <c r="G313" s="661"/>
      <c r="H313" s="662"/>
    </row>
    <row r="314" spans="1:9" x14ac:dyDescent="0.2">
      <c r="A314" s="530">
        <v>15</v>
      </c>
      <c r="B314" s="1068" t="str">
        <f t="shared" si="11"/>
        <v>Team Ruudi - Janek Kiisk, Johannes Neiland, Karla Purgats, Ruudi Väärtnõu</v>
      </c>
      <c r="C314" s="1069"/>
      <c r="D314" s="661"/>
      <c r="E314" s="661"/>
      <c r="F314" s="661"/>
      <c r="G314" s="661"/>
      <c r="H314" s="662"/>
    </row>
    <row r="315" spans="1:9" x14ac:dyDescent="0.2">
      <c r="A315" s="530">
        <v>16</v>
      </c>
      <c r="B315" s="1068" t="str">
        <f t="shared" si="11"/>
        <v>Team Silver - Marko Ode, Martha Aavisto, Silver Kingissepp</v>
      </c>
      <c r="C315" s="1069"/>
      <c r="D315" s="661"/>
      <c r="E315" s="661"/>
      <c r="F315" s="661"/>
      <c r="G315" s="661"/>
      <c r="H315" s="662"/>
    </row>
    <row r="316" spans="1:9" x14ac:dyDescent="0.2">
      <c r="A316" s="530">
        <v>17</v>
      </c>
      <c r="B316" s="1068" t="str">
        <f t="shared" si="11"/>
        <v>Nadi - Tõnu Kapper, Vello Vasser, Vladimir Ogneštšikov</v>
      </c>
      <c r="C316" s="1069"/>
      <c r="D316" s="661"/>
      <c r="E316" s="661"/>
      <c r="F316" s="661"/>
      <c r="G316" s="661"/>
      <c r="H316" s="662"/>
    </row>
    <row r="317" spans="1:9" x14ac:dyDescent="0.2">
      <c r="A317" s="530">
        <v>18</v>
      </c>
      <c r="B317" s="1068" t="str">
        <f t="shared" si="11"/>
        <v>Tartu juuniorid - Aurelia Meldre, Daniel Lehtsaar, Roland Põld</v>
      </c>
      <c r="C317" s="1069"/>
      <c r="D317" s="661"/>
      <c r="E317" s="661"/>
      <c r="F317" s="661"/>
      <c r="G317" s="661"/>
      <c r="H317" s="662"/>
    </row>
  </sheetData>
  <conditionalFormatting sqref="D7 C8">
    <cfRule type="aboveAverage" dxfId="1586" priority="433"/>
  </conditionalFormatting>
  <conditionalFormatting sqref="E7 C9">
    <cfRule type="aboveAverage" dxfId="1585" priority="432"/>
  </conditionalFormatting>
  <conditionalFormatting sqref="F7 C10">
    <cfRule type="aboveAverage" dxfId="1584" priority="431"/>
  </conditionalFormatting>
  <conditionalFormatting sqref="E8 D9">
    <cfRule type="aboveAverage" dxfId="1583" priority="430"/>
  </conditionalFormatting>
  <conditionalFormatting sqref="G7 C11">
    <cfRule type="aboveAverage" dxfId="1582" priority="429"/>
  </conditionalFormatting>
  <conditionalFormatting sqref="F8 D10">
    <cfRule type="aboveAverage" dxfId="1581" priority="428"/>
  </conditionalFormatting>
  <conditionalFormatting sqref="G8 D11">
    <cfRule type="aboveAverage" dxfId="1580" priority="427"/>
  </conditionalFormatting>
  <conditionalFormatting sqref="F9 E10">
    <cfRule type="aboveAverage" dxfId="1579" priority="426"/>
  </conditionalFormatting>
  <conditionalFormatting sqref="G9 E11">
    <cfRule type="aboveAverage" dxfId="1578" priority="425"/>
  </conditionalFormatting>
  <conditionalFormatting sqref="F11 G10">
    <cfRule type="aboveAverage" dxfId="1577" priority="424"/>
  </conditionalFormatting>
  <conditionalFormatting sqref="D14 C15">
    <cfRule type="aboveAverage" dxfId="1576" priority="423"/>
  </conditionalFormatting>
  <conditionalFormatting sqref="E14 C16">
    <cfRule type="aboveAverage" dxfId="1575" priority="422"/>
  </conditionalFormatting>
  <conditionalFormatting sqref="F14 C17">
    <cfRule type="aboveAverage" dxfId="1574" priority="421"/>
  </conditionalFormatting>
  <conditionalFormatting sqref="E15 D16">
    <cfRule type="aboveAverage" dxfId="1573" priority="420"/>
  </conditionalFormatting>
  <conditionalFormatting sqref="G14 C18">
    <cfRule type="aboveAverage" dxfId="1572" priority="419"/>
  </conditionalFormatting>
  <conditionalFormatting sqref="F15 D17">
    <cfRule type="aboveAverage" dxfId="1571" priority="418"/>
  </conditionalFormatting>
  <conditionalFormatting sqref="G15 D18">
    <cfRule type="aboveAverage" dxfId="1570" priority="417"/>
  </conditionalFormatting>
  <conditionalFormatting sqref="F16 E17">
    <cfRule type="aboveAverage" dxfId="1569" priority="416"/>
  </conditionalFormatting>
  <conditionalFormatting sqref="G16 E18">
    <cfRule type="aboveAverage" dxfId="1568" priority="415"/>
  </conditionalFormatting>
  <conditionalFormatting sqref="F18 G17">
    <cfRule type="aboveAverage" dxfId="1567" priority="414"/>
  </conditionalFormatting>
  <conditionalFormatting sqref="D21 C22">
    <cfRule type="aboveAverage" dxfId="1566" priority="413"/>
  </conditionalFormatting>
  <conditionalFormatting sqref="E21 C23">
    <cfRule type="aboveAverage" dxfId="1565" priority="412"/>
  </conditionalFormatting>
  <conditionalFormatting sqref="F21 C24">
    <cfRule type="aboveAverage" dxfId="1564" priority="411"/>
  </conditionalFormatting>
  <conditionalFormatting sqref="E22 D23">
    <cfRule type="aboveAverage" dxfId="1563" priority="410"/>
  </conditionalFormatting>
  <conditionalFormatting sqref="G21 C25">
    <cfRule type="aboveAverage" dxfId="1562" priority="409"/>
  </conditionalFormatting>
  <conditionalFormatting sqref="F22 D24">
    <cfRule type="aboveAverage" dxfId="1561" priority="408"/>
  </conditionalFormatting>
  <conditionalFormatting sqref="G22 D25">
    <cfRule type="aboveAverage" dxfId="1560" priority="407"/>
  </conditionalFormatting>
  <conditionalFormatting sqref="F23 E24">
    <cfRule type="aboveAverage" dxfId="1559" priority="406"/>
  </conditionalFormatting>
  <conditionalFormatting sqref="G23 E25">
    <cfRule type="aboveAverage" dxfId="1558" priority="405"/>
  </conditionalFormatting>
  <conditionalFormatting sqref="F25 G24">
    <cfRule type="aboveAverage" dxfId="1557" priority="404"/>
  </conditionalFormatting>
  <conditionalFormatting sqref="D28 C29">
    <cfRule type="aboveAverage" dxfId="1556" priority="403"/>
  </conditionalFormatting>
  <conditionalFormatting sqref="E28 C30">
    <cfRule type="aboveAverage" dxfId="1555" priority="402"/>
  </conditionalFormatting>
  <conditionalFormatting sqref="F28 C31">
    <cfRule type="aboveAverage" dxfId="1554" priority="401"/>
  </conditionalFormatting>
  <conditionalFormatting sqref="E29 D30">
    <cfRule type="aboveAverage" dxfId="1553" priority="400"/>
  </conditionalFormatting>
  <conditionalFormatting sqref="G28 C32">
    <cfRule type="aboveAverage" dxfId="1552" priority="399"/>
  </conditionalFormatting>
  <conditionalFormatting sqref="F29 D31">
    <cfRule type="aboveAverage" dxfId="1551" priority="398"/>
  </conditionalFormatting>
  <conditionalFormatting sqref="G29 D32">
    <cfRule type="aboveAverage" dxfId="1550" priority="397"/>
  </conditionalFormatting>
  <conditionalFormatting sqref="F30 E31">
    <cfRule type="aboveAverage" dxfId="1549" priority="396"/>
  </conditionalFormatting>
  <conditionalFormatting sqref="G30 E32">
    <cfRule type="aboveAverage" dxfId="1548" priority="395"/>
  </conditionalFormatting>
  <conditionalFormatting sqref="F32 G31">
    <cfRule type="aboveAverage" dxfId="1547" priority="394"/>
  </conditionalFormatting>
  <conditionalFormatting sqref="D35 C36">
    <cfRule type="aboveAverage" dxfId="1546" priority="393"/>
  </conditionalFormatting>
  <conditionalFormatting sqref="E35 C37">
    <cfRule type="aboveAverage" dxfId="1545" priority="392"/>
  </conditionalFormatting>
  <conditionalFormatting sqref="F35 C38">
    <cfRule type="aboveAverage" dxfId="1544" priority="391"/>
  </conditionalFormatting>
  <conditionalFormatting sqref="E36 D37">
    <cfRule type="aboveAverage" dxfId="1543" priority="390"/>
  </conditionalFormatting>
  <conditionalFormatting sqref="G35 C39">
    <cfRule type="aboveAverage" dxfId="1542" priority="389"/>
  </conditionalFormatting>
  <conditionalFormatting sqref="F36 D38">
    <cfRule type="aboveAverage" dxfId="1541" priority="388"/>
  </conditionalFormatting>
  <conditionalFormatting sqref="G36 D39">
    <cfRule type="aboveAverage" dxfId="1540" priority="387"/>
  </conditionalFormatting>
  <conditionalFormatting sqref="F37 E38">
    <cfRule type="aboveAverage" dxfId="1539" priority="386"/>
  </conditionalFormatting>
  <conditionalFormatting sqref="G37 E39">
    <cfRule type="aboveAverage" dxfId="1538" priority="385"/>
  </conditionalFormatting>
  <conditionalFormatting sqref="F39 G38">
    <cfRule type="aboveAverage" dxfId="1537" priority="384"/>
  </conditionalFormatting>
  <conditionalFormatting sqref="D42 C43">
    <cfRule type="aboveAverage" dxfId="1536" priority="383"/>
  </conditionalFormatting>
  <conditionalFormatting sqref="E42 C44">
    <cfRule type="aboveAverage" dxfId="1535" priority="382"/>
  </conditionalFormatting>
  <conditionalFormatting sqref="F42 C45">
    <cfRule type="aboveAverage" dxfId="1534" priority="381"/>
  </conditionalFormatting>
  <conditionalFormatting sqref="E43 D44">
    <cfRule type="aboveAverage" dxfId="1533" priority="380"/>
  </conditionalFormatting>
  <conditionalFormatting sqref="G42 C46">
    <cfRule type="aboveAverage" dxfId="1532" priority="379"/>
  </conditionalFormatting>
  <conditionalFormatting sqref="F43 D45">
    <cfRule type="aboveAverage" dxfId="1531" priority="378"/>
  </conditionalFormatting>
  <conditionalFormatting sqref="G43 D46">
    <cfRule type="aboveAverage" dxfId="1530" priority="377"/>
  </conditionalFormatting>
  <conditionalFormatting sqref="F44 E45">
    <cfRule type="aboveAverage" dxfId="1529" priority="376"/>
  </conditionalFormatting>
  <conditionalFormatting sqref="G44 E46">
    <cfRule type="aboveAverage" dxfId="1528" priority="375"/>
  </conditionalFormatting>
  <conditionalFormatting sqref="F46 G45">
    <cfRule type="aboveAverage" dxfId="1527" priority="374"/>
  </conditionalFormatting>
  <conditionalFormatting sqref="H14:H18">
    <cfRule type="expression" dxfId="1526" priority="320">
      <formula>AND(Q14=4,IF(COUNTIF(Q$14:Q$18,"=4")&gt;=2,TRUE))</formula>
    </cfRule>
    <cfRule type="expression" dxfId="1525" priority="434">
      <formula>AND(Q14=3,IF(COUNTIF(Q$14:Q$18,"=3")&gt;=2,TRUE))</formula>
    </cfRule>
    <cfRule type="expression" dxfId="1524" priority="435">
      <formula>AND(Q14=2,IF(COUNTIF(Q$14:Q$18,"=2")&gt;=2,TRUE))</formula>
    </cfRule>
    <cfRule type="expression" dxfId="1523" priority="436">
      <formula>AND(Q14=1,IF(COUNTIF(Q$14:Q$18,"=1")&gt;=2,TRUE))</formula>
    </cfRule>
  </conditionalFormatting>
  <conditionalFormatting sqref="B7:B15 B17:B47">
    <cfRule type="duplicateValues" dxfId="1522" priority="373"/>
  </conditionalFormatting>
  <conditionalFormatting sqref="L7:L11">
    <cfRule type="expression" dxfId="1521" priority="356">
      <formula>K7=0</formula>
    </cfRule>
    <cfRule type="expression" dxfId="1520" priority="365">
      <formula>IF(COUNTIF(J$7:J$11,"=2")=2,TRUE)</formula>
    </cfRule>
    <cfRule type="expression" dxfId="1519" priority="366">
      <formula>IF(COUNTIF(J$7:J$11,"=1")=2,TRUE)</formula>
    </cfRule>
    <cfRule type="expression" dxfId="1518" priority="367">
      <formula>AND(IF(COUNTIF(Q$7:Q$11,"=1")=2,TRUE),IF(COUNTIF(Q$7:Q$11,"=2")=2,TRUE))</formula>
    </cfRule>
    <cfRule type="expression" dxfId="1517" priority="368">
      <formula>AND(Q7=4,IF(COUNTIF(Q$7:Q$11,"=4")=1,TRUE))</formula>
    </cfRule>
    <cfRule type="expression" dxfId="1516" priority="369">
      <formula>AND(Q7=3,IF(COUNTIF(Q$7:Q$11,"=3")=1,TRUE))</formula>
    </cfRule>
    <cfRule type="expression" dxfId="1515" priority="370">
      <formula>AND(Q7=2,IF(COUNTIF(Q$7:Q$11,"=2")=1,TRUE))</formula>
    </cfRule>
    <cfRule type="expression" dxfId="1514" priority="371">
      <formula>AND(Q7=1,IF(COUNTIF(Q$7:Q$11,"=1")=1,TRUE))</formula>
    </cfRule>
    <cfRule type="expression" dxfId="1513" priority="372">
      <formula>OR(Q7=0,Q7=5)</formula>
    </cfRule>
  </conditionalFormatting>
  <conditionalFormatting sqref="O7:O11">
    <cfRule type="expression" dxfId="1512" priority="364">
      <formula>OR(AND(J7=1,K7=1,L7=0,M7=1),AND(J7=2,K7=2,L7=0,M7=2))</formula>
    </cfRule>
  </conditionalFormatting>
  <conditionalFormatting sqref="M7:M11">
    <cfRule type="expression" dxfId="1511" priority="357">
      <formula>AND(L7&gt;0,IF(COUNTIF(L$7:L$11,L7)&gt;1,TRUE,FALSE))</formula>
    </cfRule>
    <cfRule type="expression" dxfId="1510" priority="358">
      <formula>AND(IF(COUNTIF(R$7:R$11,"=1")=2,TRUE),IF(COUNTIF(R$7:R$11,"=2")=2,TRUE))</formula>
    </cfRule>
    <cfRule type="expression" dxfId="1509" priority="359">
      <formula>AND(R7=4,IF(COUNTIF(R$7:R$11,"=4")=1,TRUE))</formula>
    </cfRule>
    <cfRule type="expression" dxfId="1508" priority="360">
      <formula>AND(R7=3,IF(COUNTIF(R$7:R$11,"=3")=1,TRUE))</formula>
    </cfRule>
    <cfRule type="expression" dxfId="1507" priority="361">
      <formula>AND(R7=2,IF(COUNTIF(R$7:R$11,"=2")=1,TRUE))</formula>
    </cfRule>
    <cfRule type="expression" dxfId="1506" priority="362">
      <formula>AND(R7=1,IF(COUNTIF(R$7:R$11,"=1")=1,TRUE))</formula>
    </cfRule>
    <cfRule type="expression" dxfId="1505" priority="363">
      <formula>OR(R7=0,R7=5)</formula>
    </cfRule>
  </conditionalFormatting>
  <conditionalFormatting sqref="J7:J11">
    <cfRule type="expression" dxfId="1504" priority="352">
      <formula>AND(Q7=4,IF(COUNTIF(Q$7:Q$11,"=4")&gt;=2,TRUE))</formula>
    </cfRule>
    <cfRule type="expression" dxfId="1503" priority="353">
      <formula>AND(Q7=3,IF(COUNTIF(Q$7:Q$11,"=3")&gt;=2,TRUE))</formula>
    </cfRule>
    <cfRule type="expression" dxfId="1502" priority="354">
      <formula>AND(Q7=2,IF(COUNTIF(Q$7:Q$11,"=2")&gt;=2,TRUE))</formula>
    </cfRule>
    <cfRule type="expression" dxfId="1501" priority="355">
      <formula>AND(Q7=1,IF(COUNTIF(Q$7:Q$11,"=1")&gt;=2,TRUE))</formula>
    </cfRule>
  </conditionalFormatting>
  <conditionalFormatting sqref="H7:H11">
    <cfRule type="expression" dxfId="1500" priority="321">
      <formula>AND(Q7=4,IF(COUNTIF(Q$7:Q$11,"=4")&gt;=2,TRUE))</formula>
    </cfRule>
    <cfRule type="expression" dxfId="1499" priority="437">
      <formula>AND(Q7=3,IF(COUNTIF(Q$7:Q$11,"=3")&gt;=2,TRUE))</formula>
    </cfRule>
    <cfRule type="expression" dxfId="1498" priority="438">
      <formula>AND(Q7=2,IF(COUNTIF(Q$7:Q$11,"=2")&gt;=2,TRUE))</formula>
    </cfRule>
    <cfRule type="expression" dxfId="1497" priority="439">
      <formula>AND(Q7=1,IF(COUNTIF(Q$7:Q$11,"=1")&gt;=2,TRUE))</formula>
    </cfRule>
  </conditionalFormatting>
  <conditionalFormatting sqref="K7:K11">
    <cfRule type="expression" dxfId="1496" priority="440">
      <formula>AND(J7&gt;0,IF(COUNTIF(J$7:J$11,"=1")=2,TRUE),IF(COUNTIF(J$7:J$11,"=2")=2,TRUE))</formula>
    </cfRule>
    <cfRule type="expression" dxfId="1495" priority="441">
      <formula>IF(COUNTIF(L$7:L$11,"=2")=2,TRUE)</formula>
    </cfRule>
    <cfRule type="expression" dxfId="1494" priority="442">
      <formula>IF(COUNTIF(L$7:L$11,"=1")=2,TRUE)</formula>
    </cfRule>
    <cfRule type="expression" dxfId="1493" priority="443">
      <formula>AND(IF(COUNTIF(R$7:R$11,"=1")=2,TRUE),IF(COUNTIF(S$7:S$11,"=2")=2,TRUE))</formula>
    </cfRule>
    <cfRule type="expression" dxfId="1492" priority="444">
      <formula>AND(R7=4,IF(COUNTIF(R$7:R$11,"=4")=1,TRUE))</formula>
    </cfRule>
    <cfRule type="expression" dxfId="1491" priority="445">
      <formula>AND(R7=3,IF(COUNTIF(R$7:R$11,"=3")=1,TRUE))</formula>
    </cfRule>
    <cfRule type="expression" dxfId="1490" priority="446">
      <formula>AND(R7=2,IF(COUNTIF(R$7:R$11,"=2")=1,TRUE))</formula>
    </cfRule>
    <cfRule type="expression" dxfId="1489" priority="447">
      <formula>AND(R7=1,IF(COUNTIF(R$7:R$11,"=1")=1,TRUE))</formula>
    </cfRule>
    <cfRule type="expression" dxfId="1488" priority="448">
      <formula>OR(R7=0,R7=5)</formula>
    </cfRule>
  </conditionalFormatting>
  <conditionalFormatting sqref="L14:L18">
    <cfRule type="expression" dxfId="1487" priority="326">
      <formula>K14=0</formula>
    </cfRule>
    <cfRule type="expression" dxfId="1486" priority="335">
      <formula>IF(COUNTIF(J$14:J$18,"=2")=2,TRUE)</formula>
    </cfRule>
    <cfRule type="expression" dxfId="1485" priority="336">
      <formula>IF(COUNTIF(J$14:J$18,"=1")=2,TRUE)</formula>
    </cfRule>
    <cfRule type="expression" dxfId="1484" priority="337">
      <formula>AND(IF(COUNTIF(Q$14:Q$18,"=1")=2,TRUE),IF(COUNTIF(Q$14:Q$18,"=2")=2,TRUE))</formula>
    </cfRule>
    <cfRule type="expression" dxfId="1483" priority="338">
      <formula>AND(Q14=4,IF(COUNTIF(Q$14:Q$18,"=4")=1,TRUE))</formula>
    </cfRule>
    <cfRule type="expression" dxfId="1482" priority="339">
      <formula>AND(Q14=3,IF(COUNTIF(Q$14:Q$18,"=3")=1,TRUE))</formula>
    </cfRule>
    <cfRule type="expression" dxfId="1481" priority="340">
      <formula>AND(Q14=2,IF(COUNTIF(Q$14:Q$18,"=2")=1,TRUE))</formula>
    </cfRule>
    <cfRule type="expression" dxfId="1480" priority="341">
      <formula>AND(Q14=1,IF(COUNTIF(Q$14:Q$18,"=1")=1,TRUE))</formula>
    </cfRule>
    <cfRule type="expression" dxfId="1479" priority="342">
      <formula>OR(Q14=0,Q14=5)</formula>
    </cfRule>
  </conditionalFormatting>
  <conditionalFormatting sqref="O14:O18">
    <cfRule type="expression" dxfId="1478" priority="334">
      <formula>OR(AND(J14=1,K14=1,L14=0,M14=1),AND(J14=2,K14=2,L14=0,M14=2))</formula>
    </cfRule>
  </conditionalFormatting>
  <conditionalFormatting sqref="M14:M18">
    <cfRule type="expression" dxfId="1477" priority="327">
      <formula>AND(L14&gt;0,IF(COUNTIF(L$14:L$18,L14)&gt;1,TRUE,FALSE))</formula>
    </cfRule>
    <cfRule type="expression" dxfId="1476" priority="328">
      <formula>AND(IF(COUNTIF(R$14:R$18,"=1")=2,TRUE),IF(COUNTIF(R$14:R$18,"=2")=2,TRUE))</formula>
    </cfRule>
    <cfRule type="expression" dxfId="1475" priority="329">
      <formula>AND(R14=4,IF(COUNTIF(R$14:R$18,"=4")=1,TRUE))</formula>
    </cfRule>
    <cfRule type="expression" dxfId="1474" priority="330">
      <formula>AND(R14=3,IF(COUNTIF(R$14:R$18,"=3")=1,TRUE))</formula>
    </cfRule>
    <cfRule type="expression" dxfId="1473" priority="331">
      <formula>AND(R14=2,IF(COUNTIF(R$14:R$18,"=2")=1,TRUE))</formula>
    </cfRule>
    <cfRule type="expression" dxfId="1472" priority="332">
      <formula>AND(R14=1,IF(COUNTIF(R$14:R$18,"=1")=1,TRUE))</formula>
    </cfRule>
    <cfRule type="expression" dxfId="1471" priority="333">
      <formula>OR(R14=0,R14=5)</formula>
    </cfRule>
  </conditionalFormatting>
  <conditionalFormatting sqref="J14:J18">
    <cfRule type="expression" dxfId="1470" priority="322">
      <formula>AND(Q14=4,IF(COUNTIF(Q$14:Q$18,"=4")&gt;=2,TRUE))</formula>
    </cfRule>
    <cfRule type="expression" dxfId="1469" priority="323">
      <formula>AND(Q14=3,IF(COUNTIF(Q$14:Q$18,"=3")&gt;=2,TRUE))</formula>
    </cfRule>
    <cfRule type="expression" dxfId="1468" priority="324">
      <formula>AND(Q14=2,IF(COUNTIF(Q$14:Q$18,"=2")&gt;=2,TRUE))</formula>
    </cfRule>
    <cfRule type="expression" dxfId="1467" priority="325">
      <formula>AND(Q14=1,IF(COUNTIF(Q$14:Q$18,"=1")&gt;=2,TRUE))</formula>
    </cfRule>
  </conditionalFormatting>
  <conditionalFormatting sqref="K14:K18">
    <cfRule type="expression" dxfId="1466" priority="343">
      <formula>AND(J14&gt;0,IF(COUNTIF(J$14:J$18,"=1")=2,TRUE),IF(COUNTIF(J$14:J$18,"=2")=2,TRUE))</formula>
    </cfRule>
    <cfRule type="expression" dxfId="1465" priority="344">
      <formula>IF(COUNTIF(L$14:L$18,"=2")=2,TRUE)</formula>
    </cfRule>
    <cfRule type="expression" dxfId="1464" priority="345">
      <formula>IF(COUNTIF(L$14:L$18,"=1")=2,TRUE)</formula>
    </cfRule>
    <cfRule type="expression" dxfId="1463" priority="346">
      <formula>AND(IF(COUNTIF(R$14:R$18,"=1")=2,TRUE),IF(COUNTIF(S$14:S$18,"=2")=2,TRUE))</formula>
    </cfRule>
    <cfRule type="expression" dxfId="1462" priority="347">
      <formula>AND(R14=4,IF(COUNTIF(R$14:R$18,"=4")=1,TRUE))</formula>
    </cfRule>
    <cfRule type="expression" dxfId="1461" priority="348">
      <formula>AND(R14=3,IF(COUNTIF(R$14:R$18,"=3")=1,TRUE))</formula>
    </cfRule>
    <cfRule type="expression" dxfId="1460" priority="349">
      <formula>AND(R14=2,IF(COUNTIF(R$14:R$18,"=2")=1,TRUE))</formula>
    </cfRule>
    <cfRule type="expression" dxfId="1459" priority="350">
      <formula>AND(R14=1,IF(COUNTIF(R$14:R$18,"=1")=1,TRUE))</formula>
    </cfRule>
    <cfRule type="expression" dxfId="1458" priority="351">
      <formula>OR(R14=0,R14=5)</formula>
    </cfRule>
  </conditionalFormatting>
  <conditionalFormatting sqref="L21:L25">
    <cfRule type="expression" dxfId="1457" priority="294">
      <formula>K21=0</formula>
    </cfRule>
    <cfRule type="expression" dxfId="1456" priority="303">
      <formula>IF(COUNTIF(J$21:J$25,"=2")=2,TRUE)</formula>
    </cfRule>
    <cfRule type="expression" dxfId="1455" priority="304">
      <formula>IF(COUNTIF(J$21:J$25,"=1")=2,TRUE)</formula>
    </cfRule>
    <cfRule type="expression" dxfId="1454" priority="305">
      <formula>AND(IF(COUNTIF(Q$21:Q$25,"=1")=2,TRUE),IF(COUNTIF(Q$21:Q$25,"=2")=2,TRUE))</formula>
    </cfRule>
    <cfRule type="expression" dxfId="1453" priority="306">
      <formula>AND(Q21=4,IF(COUNTIF(Q$21:Q$25,"=4")=1,TRUE))</formula>
    </cfRule>
    <cfRule type="expression" dxfId="1452" priority="307">
      <formula>AND(Q21=3,IF(COUNTIF(Q$21:Q$25,"=3")=1,TRUE))</formula>
    </cfRule>
    <cfRule type="expression" dxfId="1451" priority="308">
      <formula>AND(Q21=2,IF(COUNTIF(Q$21:Q$25,"=2")=1,TRUE))</formula>
    </cfRule>
    <cfRule type="expression" dxfId="1450" priority="309">
      <formula>AND(Q21=1,IF(COUNTIF(Q$21:Q$25,"=1")=1,TRUE))</formula>
    </cfRule>
    <cfRule type="expression" dxfId="1449" priority="310">
      <formula>OR(Q21=0,Q21=5)</formula>
    </cfRule>
  </conditionalFormatting>
  <conditionalFormatting sqref="O21:O25">
    <cfRule type="expression" dxfId="1448" priority="302">
      <formula>OR(AND(J21=1,K21=1,L21=0,M21=1),AND(J21=2,K21=2,L21=0,M21=2))</formula>
    </cfRule>
  </conditionalFormatting>
  <conditionalFormatting sqref="M21:M25">
    <cfRule type="expression" dxfId="1447" priority="295">
      <formula>AND(L21&gt;0,IF(COUNTIF(L$21:L$25,L21)&gt;1,TRUE,FALSE))</formula>
    </cfRule>
    <cfRule type="expression" dxfId="1446" priority="296">
      <formula>AND(IF(COUNTIF(R$21:R$25,"=1")=2,TRUE),IF(COUNTIF(R$21:R$25,"=2")=2,TRUE))</formula>
    </cfRule>
    <cfRule type="expression" dxfId="1445" priority="297">
      <formula>AND(R21=4,IF(COUNTIF(R$21:R$25,"=4")=1,TRUE))</formula>
    </cfRule>
    <cfRule type="expression" dxfId="1444" priority="298">
      <formula>AND(R21=3,IF(COUNTIF(R$21:R$25,"=3")=1,TRUE))</formula>
    </cfRule>
    <cfRule type="expression" dxfId="1443" priority="299">
      <formula>AND(R21=2,IF(COUNTIF(R$21:R$25,"=2")=1,TRUE))</formula>
    </cfRule>
    <cfRule type="expression" dxfId="1442" priority="300">
      <formula>AND(R21=1,IF(COUNTIF(R$21:R$25,"=1")=1,TRUE))</formula>
    </cfRule>
    <cfRule type="expression" dxfId="1441" priority="301">
      <formula>OR(R21=0,R21=5)</formula>
    </cfRule>
  </conditionalFormatting>
  <conditionalFormatting sqref="J21:J25">
    <cfRule type="expression" dxfId="1440" priority="290">
      <formula>AND(Q21=4,IF(COUNTIF(Q$21:Q$25,"=4")&gt;=2,TRUE))</formula>
    </cfRule>
    <cfRule type="expression" dxfId="1439" priority="291">
      <formula>AND(Q21=3,IF(COUNTIF(Q$21:Q$25,"=3")&gt;=2,TRUE))</formula>
    </cfRule>
    <cfRule type="expression" dxfId="1438" priority="292">
      <formula>AND(Q21=2,IF(COUNTIF(Q$21:Q$25,"=2")&gt;=2,TRUE))</formula>
    </cfRule>
    <cfRule type="expression" dxfId="1437" priority="293">
      <formula>AND(Q21=1,IF(COUNTIF(Q$21:Q$25,"=1")&gt;=2,TRUE))</formula>
    </cfRule>
  </conditionalFormatting>
  <conditionalFormatting sqref="K21:K25">
    <cfRule type="expression" dxfId="1436" priority="311">
      <formula>AND(J21&gt;0,IF(COUNTIF(J$21:J$25,"=1")=2,TRUE),IF(COUNTIF(J$21:J$25,"=2")=2,TRUE))</formula>
    </cfRule>
    <cfRule type="expression" dxfId="1435" priority="312">
      <formula>IF(COUNTIF(L$21:L$25,"=2")=2,TRUE)</formula>
    </cfRule>
    <cfRule type="expression" dxfId="1434" priority="313">
      <formula>IF(COUNTIF(L$21:L$25,"=1")=2,TRUE)</formula>
    </cfRule>
    <cfRule type="expression" dxfId="1433" priority="314">
      <formula>AND(IF(COUNTIF(R$21:R$25,"=1")=2,TRUE),IF(COUNTIF(S$21:S$25,"=2")=2,TRUE))</formula>
    </cfRule>
    <cfRule type="expression" dxfId="1432" priority="315">
      <formula>AND(R21=4,IF(COUNTIF(R$21:R$25,"=4")=1,TRUE))</formula>
    </cfRule>
    <cfRule type="expression" dxfId="1431" priority="316">
      <formula>AND(R21=3,IF(COUNTIF(R$21:R$25,"=3")=1,TRUE))</formula>
    </cfRule>
    <cfRule type="expression" dxfId="1430" priority="317">
      <formula>AND(R21=2,IF(COUNTIF(R$21:R$25,"=2")=1,TRUE))</formula>
    </cfRule>
    <cfRule type="expression" dxfId="1429" priority="318">
      <formula>AND(R21=1,IF(COUNTIF(R$21:R$25,"=1")=1,TRUE))</formula>
    </cfRule>
    <cfRule type="expression" dxfId="1428" priority="319">
      <formula>OR(R21=0,R21=5)</formula>
    </cfRule>
  </conditionalFormatting>
  <conditionalFormatting sqref="H21:H25">
    <cfRule type="expression" dxfId="1427" priority="286">
      <formula>AND(Q21=4,IF(COUNTIF(Q$21:Q$25,"=4")&gt;=2,TRUE))</formula>
    </cfRule>
    <cfRule type="expression" dxfId="1426" priority="287">
      <formula>AND(Q21=3,IF(COUNTIF(Q$21:Q$25,"=3")&gt;=2,TRUE))</formula>
    </cfRule>
    <cfRule type="expression" dxfId="1425" priority="288">
      <formula>AND(Q21=2,IF(COUNTIF(Q$21:Q$25,"=2")&gt;=2,TRUE))</formula>
    </cfRule>
    <cfRule type="expression" dxfId="1424" priority="289">
      <formula>AND(Q21=1,IF(COUNTIF(Q$21:Q$25,"=1")&gt;=2,TRUE))</formula>
    </cfRule>
  </conditionalFormatting>
  <conditionalFormatting sqref="L28:L32">
    <cfRule type="expression" dxfId="1423" priority="260">
      <formula>K28=0</formula>
    </cfRule>
    <cfRule type="expression" dxfId="1422" priority="269">
      <formula>IF(COUNTIF(J$28:J$32,"=2")=2,TRUE)</formula>
    </cfRule>
    <cfRule type="expression" dxfId="1421" priority="270">
      <formula>IF(COUNTIF(J$28:J$32,"=1")=2,TRUE)</formula>
    </cfRule>
    <cfRule type="expression" dxfId="1420" priority="271">
      <formula>AND(IF(COUNTIF(Q$28:Q$32,"=1")=2,TRUE),IF(COUNTIF(Q$28:Q$32,"=2")=2,TRUE))</formula>
    </cfRule>
    <cfRule type="expression" dxfId="1419" priority="272">
      <formula>AND(Q28=4,IF(COUNTIF(Q$28:Q$32,"=4")=1,TRUE))</formula>
    </cfRule>
    <cfRule type="expression" dxfId="1418" priority="273">
      <formula>AND(Q28=3,IF(COUNTIF(Q$28:Q$32,"=3")=1,TRUE))</formula>
    </cfRule>
    <cfRule type="expression" dxfId="1417" priority="274">
      <formula>AND(Q28=2,IF(COUNTIF(Q$28:Q$32,"=2")=1,TRUE))</formula>
    </cfRule>
    <cfRule type="expression" dxfId="1416" priority="275">
      <formula>AND(Q28=1,IF(COUNTIF(Q$28:Q$32,"=1")=1,TRUE))</formula>
    </cfRule>
    <cfRule type="expression" dxfId="1415" priority="276">
      <formula>OR(Q28=0,Q28=5)</formula>
    </cfRule>
  </conditionalFormatting>
  <conditionalFormatting sqref="O28:O32">
    <cfRule type="expression" dxfId="1414" priority="268">
      <formula>OR(AND(J28=1,K28=1,L28=0,M28=1),AND(J28=2,K28=2,L28=0,M28=2))</formula>
    </cfRule>
  </conditionalFormatting>
  <conditionalFormatting sqref="M28:M32">
    <cfRule type="expression" dxfId="1413" priority="261">
      <formula>AND(L28&gt;0,IF(COUNTIF(L$28:L$32,L28)&gt;1,TRUE,FALSE))</formula>
    </cfRule>
    <cfRule type="expression" dxfId="1412" priority="262">
      <formula>AND(IF(COUNTIF(R$28:R$32,"=1")=2,TRUE),IF(COUNTIF(R$28:R$32,"=2")=2,TRUE))</formula>
    </cfRule>
    <cfRule type="expression" dxfId="1411" priority="263">
      <formula>AND(R28=4,IF(COUNTIF(R$28:R$32,"=4")=1,TRUE))</formula>
    </cfRule>
    <cfRule type="expression" dxfId="1410" priority="264">
      <formula>AND(R28=3,IF(COUNTIF(R$28:R$32,"=3")=1,TRUE))</formula>
    </cfRule>
    <cfRule type="expression" dxfId="1409" priority="265">
      <formula>AND(R28=2,IF(COUNTIF(R$28:R$32,"=2")=1,TRUE))</formula>
    </cfRule>
    <cfRule type="expression" dxfId="1408" priority="266">
      <formula>AND(R28=1,IF(COUNTIF(R$28:R$32,"=1")=1,TRUE))</formula>
    </cfRule>
    <cfRule type="expression" dxfId="1407" priority="267">
      <formula>OR(R28=0,R28=5)</formula>
    </cfRule>
  </conditionalFormatting>
  <conditionalFormatting sqref="J28:J32">
    <cfRule type="expression" dxfId="1406" priority="256">
      <formula>AND(Q28=4,IF(COUNTIF(Q$28:Q$32,"=4")&gt;=2,TRUE))</formula>
    </cfRule>
    <cfRule type="expression" dxfId="1405" priority="257">
      <formula>AND(Q28=3,IF(COUNTIF(Q$28:Q$32,"=3")&gt;=2,TRUE))</formula>
    </cfRule>
    <cfRule type="expression" dxfId="1404" priority="258">
      <formula>AND(Q28=2,IF(COUNTIF(Q$28:Q$32,"=2")&gt;=2,TRUE))</formula>
    </cfRule>
    <cfRule type="expression" dxfId="1403" priority="259">
      <formula>AND(Q28=1,IF(COUNTIF(Q$28:Q$32,"=1")&gt;=2,TRUE))</formula>
    </cfRule>
  </conditionalFormatting>
  <conditionalFormatting sqref="K28:K32">
    <cfRule type="expression" dxfId="1402" priority="277">
      <formula>AND(J28&gt;0,IF(COUNTIF(J$28:J$32,"=1")=2,TRUE),IF(COUNTIF(J$28:J$32,"=2")=2,TRUE))</formula>
    </cfRule>
    <cfRule type="expression" dxfId="1401" priority="278">
      <formula>IF(COUNTIF(L$28:L$32,"=2")=2,TRUE)</formula>
    </cfRule>
    <cfRule type="expression" dxfId="1400" priority="279">
      <formula>IF(COUNTIF(L$28:L$32,"=1")=2,TRUE)</formula>
    </cfRule>
    <cfRule type="expression" dxfId="1399" priority="280">
      <formula>AND(IF(COUNTIF(R$28:R$32,"=1")=2,TRUE),IF(COUNTIF(S$28:S$32,"=2")=2,TRUE))</formula>
    </cfRule>
    <cfRule type="expression" dxfId="1398" priority="281">
      <formula>AND(R28=4,IF(COUNTIF(R$28:R$32,"=4")=1,TRUE))</formula>
    </cfRule>
    <cfRule type="expression" dxfId="1397" priority="282">
      <formula>AND(R28=3,IF(COUNTIF(R$28:R$32,"=3")=1,TRUE))</formula>
    </cfRule>
    <cfRule type="expression" dxfId="1396" priority="283">
      <formula>AND(R28=2,IF(COUNTIF(R$28:R$32,"=2")=1,TRUE))</formula>
    </cfRule>
    <cfRule type="expression" dxfId="1395" priority="284">
      <formula>AND(R28=1,IF(COUNTIF(R$28:R$32,"=1")=1,TRUE))</formula>
    </cfRule>
    <cfRule type="expression" dxfId="1394" priority="285">
      <formula>OR(R28=0,R28=5)</formula>
    </cfRule>
  </conditionalFormatting>
  <conditionalFormatting sqref="H28:H32">
    <cfRule type="expression" dxfId="1393" priority="252">
      <formula>AND(Q28=4,IF(COUNTIF(Q$28:Q$32,"=4")&gt;=2,TRUE))</formula>
    </cfRule>
    <cfRule type="expression" dxfId="1392" priority="253">
      <formula>AND(Q28=3,IF(COUNTIF(Q$28:Q$32,"=3")&gt;=2,TRUE))</formula>
    </cfRule>
    <cfRule type="expression" dxfId="1391" priority="254">
      <formula>AND(Q28=2,IF(COUNTIF(Q$28:Q$32,"=2")&gt;=2,TRUE))</formula>
    </cfRule>
    <cfRule type="expression" dxfId="1390" priority="255">
      <formula>AND(Q28=1,IF(COUNTIF(Q$28:Q$32,"=1")&gt;=2,TRUE))</formula>
    </cfRule>
  </conditionalFormatting>
  <conditionalFormatting sqref="L35:L39">
    <cfRule type="expression" dxfId="1389" priority="226">
      <formula>K35=0</formula>
    </cfRule>
    <cfRule type="expression" dxfId="1388" priority="235">
      <formula>IF(COUNTIF(J$35:J$39,"=2")=2,TRUE)</formula>
    </cfRule>
    <cfRule type="expression" dxfId="1387" priority="236">
      <formula>IF(COUNTIF(J$35:J$39,"=1")=2,TRUE)</formula>
    </cfRule>
    <cfRule type="expression" dxfId="1386" priority="237">
      <formula>AND(IF(COUNTIF(Q$35:Q$39,"=1")=2,TRUE),IF(COUNTIF(Q$35:Q$39,"=2")=2,TRUE))</formula>
    </cfRule>
    <cfRule type="expression" dxfId="1385" priority="238">
      <formula>AND(Q35=4,IF(COUNTIF(Q$35:Q$39,"=4")=1,TRUE))</formula>
    </cfRule>
    <cfRule type="expression" dxfId="1384" priority="239">
      <formula>AND(Q35=3,IF(COUNTIF(Q$35:Q$39,"=3")=1,TRUE))</formula>
    </cfRule>
    <cfRule type="expression" dxfId="1383" priority="240">
      <formula>AND(Q35=2,IF(COUNTIF(Q$35:Q$39,"=2")=1,TRUE))</formula>
    </cfRule>
    <cfRule type="expression" dxfId="1382" priority="241">
      <formula>AND(Q35=1,IF(COUNTIF(Q$35:Q$39,"=1")=1,TRUE))</formula>
    </cfRule>
    <cfRule type="expression" dxfId="1381" priority="242">
      <formula>OR(Q35=0,Q35=5)</formula>
    </cfRule>
  </conditionalFormatting>
  <conditionalFormatting sqref="O35:O39">
    <cfRule type="expression" dxfId="1380" priority="234">
      <formula>OR(AND(J35=1,K35=1,L35=0,M35=1),AND(J35=2,K35=2,L35=0,M35=2))</formula>
    </cfRule>
  </conditionalFormatting>
  <conditionalFormatting sqref="M35:M39">
    <cfRule type="expression" dxfId="1379" priority="227">
      <formula>AND(L35&gt;0,IF(COUNTIF(L$35:L$39,L35)&gt;1,TRUE,FALSE))</formula>
    </cfRule>
    <cfRule type="expression" dxfId="1378" priority="228">
      <formula>AND(IF(COUNTIF(R$35:R$39,"=1")=2,TRUE),IF(COUNTIF(R$35:R$39,"=2")=2,TRUE))</formula>
    </cfRule>
    <cfRule type="expression" dxfId="1377" priority="229">
      <formula>AND(R35=4,IF(COUNTIF(R$35:R$39,"=4")=1,TRUE))</formula>
    </cfRule>
    <cfRule type="expression" dxfId="1376" priority="230">
      <formula>AND(R35=3,IF(COUNTIF(R$35:R$39,"=3")=1,TRUE))</formula>
    </cfRule>
    <cfRule type="expression" dxfId="1375" priority="231">
      <formula>AND(R35=2,IF(COUNTIF(R$35:R$39,"=2")=1,TRUE))</formula>
    </cfRule>
    <cfRule type="expression" dxfId="1374" priority="232">
      <formula>AND(R35=1,IF(COUNTIF(R$35:R$39,"=1")=1,TRUE))</formula>
    </cfRule>
    <cfRule type="expression" dxfId="1373" priority="233">
      <formula>OR(R35=0,R35=5)</formula>
    </cfRule>
  </conditionalFormatting>
  <conditionalFormatting sqref="J35:J39">
    <cfRule type="expression" dxfId="1372" priority="222">
      <formula>AND(Q35=4,IF(COUNTIF(Q$35:Q$39,"=4")&gt;=2,TRUE))</formula>
    </cfRule>
    <cfRule type="expression" dxfId="1371" priority="223">
      <formula>AND(Q35=3,IF(COUNTIF(Q$35:Q$39,"=3")&gt;=2,TRUE))</formula>
    </cfRule>
    <cfRule type="expression" dxfId="1370" priority="224">
      <formula>AND(Q35=2,IF(COUNTIF(Q$35:Q$39,"=2")&gt;=2,TRUE))</formula>
    </cfRule>
    <cfRule type="expression" dxfId="1369" priority="225">
      <formula>AND(Q35=1,IF(COUNTIF(Q$35:Q$39,"=1")&gt;=2,TRUE))</formula>
    </cfRule>
  </conditionalFormatting>
  <conditionalFormatting sqref="K35:K39">
    <cfRule type="expression" dxfId="1368" priority="243">
      <formula>AND(J35&gt;0,IF(COUNTIF(J$35:J$39,"=1")=2,TRUE),IF(COUNTIF(J$35:J$39,"=2")=2,TRUE))</formula>
    </cfRule>
    <cfRule type="expression" dxfId="1367" priority="244">
      <formula>IF(COUNTIF(L$35:L$39,"=2")=2,TRUE)</formula>
    </cfRule>
    <cfRule type="expression" dxfId="1366" priority="245">
      <formula>IF(COUNTIF(L$35:L$39,"=1")=2,TRUE)</formula>
    </cfRule>
    <cfRule type="expression" dxfId="1365" priority="246">
      <formula>AND(IF(COUNTIF(R$35:R$39,"=1")=2,TRUE),IF(COUNTIF(S$35:S$39,"=2")=2,TRUE))</formula>
    </cfRule>
    <cfRule type="expression" dxfId="1364" priority="247">
      <formula>AND(R35=4,IF(COUNTIF(R$35:R$39,"=4")=1,TRUE))</formula>
    </cfRule>
    <cfRule type="expression" dxfId="1363" priority="248">
      <formula>AND(R35=3,IF(COUNTIF(R$35:R$39,"=3")=1,TRUE))</formula>
    </cfRule>
    <cfRule type="expression" dxfId="1362" priority="249">
      <formula>AND(R35=2,IF(COUNTIF(R$35:R$39,"=2")=1,TRUE))</formula>
    </cfRule>
    <cfRule type="expression" dxfId="1361" priority="250">
      <formula>AND(R35=1,IF(COUNTIF(R$35:R$39,"=1")=1,TRUE))</formula>
    </cfRule>
    <cfRule type="expression" dxfId="1360" priority="251">
      <formula>OR(R35=0,R35=5)</formula>
    </cfRule>
  </conditionalFormatting>
  <conditionalFormatting sqref="H35:H39">
    <cfRule type="expression" dxfId="1359" priority="218">
      <formula>AND(Q35=4,IF(COUNTIF(Q$35:Q$39,"=4")&gt;=2,TRUE))</formula>
    </cfRule>
    <cfRule type="expression" dxfId="1358" priority="219">
      <formula>AND(Q35=3,IF(COUNTIF(Q$35:Q$39,"=3")&gt;=2,TRUE))</formula>
    </cfRule>
    <cfRule type="expression" dxfId="1357" priority="220">
      <formula>AND(Q35=2,IF(COUNTIF(Q$35:Q$39,"=2")&gt;=2,TRUE))</formula>
    </cfRule>
    <cfRule type="expression" dxfId="1356" priority="221">
      <formula>AND(Q35=1,IF(COUNTIF(Q$35:Q$39,"=1")&gt;=2,TRUE))</formula>
    </cfRule>
  </conditionalFormatting>
  <conditionalFormatting sqref="L42:L46">
    <cfRule type="expression" dxfId="1355" priority="192">
      <formula>K42=0</formula>
    </cfRule>
    <cfRule type="expression" dxfId="1354" priority="201">
      <formula>IF(COUNTIF(J$42:J$46,"=2")=2,TRUE)</formula>
    </cfRule>
    <cfRule type="expression" dxfId="1353" priority="202">
      <formula>IF(COUNTIF(J$42:J$46,"=1")=2,TRUE)</formula>
    </cfRule>
    <cfRule type="expression" dxfId="1352" priority="203">
      <formula>AND(IF(COUNTIF(Q$42:Q$46,"=1")=2,TRUE),IF(COUNTIF(Q$42:Q$46,"=2")=2,TRUE))</formula>
    </cfRule>
    <cfRule type="expression" dxfId="1351" priority="204">
      <formula>AND(Q42=4,IF(COUNTIF(Q$42:Q$46,"=4")=1,TRUE))</formula>
    </cfRule>
    <cfRule type="expression" dxfId="1350" priority="205">
      <formula>AND(Q42=3,IF(COUNTIF(Q$42:Q$46,"=3")=1,TRUE))</formula>
    </cfRule>
    <cfRule type="expression" dxfId="1349" priority="206">
      <formula>AND(Q42=2,IF(COUNTIF(Q$42:Q$46,"=2")=1,TRUE))</formula>
    </cfRule>
    <cfRule type="expression" dxfId="1348" priority="207">
      <formula>AND(Q42=1,IF(COUNTIF(Q$42:Q$46,"=1")=1,TRUE))</formula>
    </cfRule>
    <cfRule type="expression" dxfId="1347" priority="208">
      <formula>OR(Q42=0,Q42=5)</formula>
    </cfRule>
  </conditionalFormatting>
  <conditionalFormatting sqref="O42:O46">
    <cfRule type="expression" dxfId="1346" priority="200">
      <formula>OR(AND(J42=1,K42=1,L42=0,M42=1),AND(J42=2,K42=2,L42=0,M42=2))</formula>
    </cfRule>
  </conditionalFormatting>
  <conditionalFormatting sqref="M42:M46">
    <cfRule type="expression" dxfId="1345" priority="193">
      <formula>AND(L42&gt;0,IF(COUNTIF(L$42:L$46,L42)&gt;1,TRUE,FALSE))</formula>
    </cfRule>
    <cfRule type="expression" dxfId="1344" priority="194">
      <formula>AND(IF(COUNTIF(R$42:R$46,"=1")=2,TRUE),IF(COUNTIF(R$42:R$46,"=2")=2,TRUE))</formula>
    </cfRule>
    <cfRule type="expression" dxfId="1343" priority="195">
      <formula>AND(R42=4,IF(COUNTIF(R$42:R$46,"=4")=1,TRUE))</formula>
    </cfRule>
    <cfRule type="expression" dxfId="1342" priority="196">
      <formula>AND(R42=3,IF(COUNTIF(R$42:R$46,"=3")=1,TRUE))</formula>
    </cfRule>
    <cfRule type="expression" dxfId="1341" priority="197">
      <formula>AND(R42=2,IF(COUNTIF(R$42:R$46,"=2")=1,TRUE))</formula>
    </cfRule>
    <cfRule type="expression" dxfId="1340" priority="198">
      <formula>AND(R42=1,IF(COUNTIF(R$42:R$46,"=1")=1,TRUE))</formula>
    </cfRule>
    <cfRule type="expression" dxfId="1339" priority="199">
      <formula>OR(R42=0,R42=5)</formula>
    </cfRule>
  </conditionalFormatting>
  <conditionalFormatting sqref="J42:J46">
    <cfRule type="expression" dxfId="1338" priority="188">
      <formula>AND(Q42=4,IF(COUNTIF(Q$42:Q$46,"=4")&gt;=2,TRUE))</formula>
    </cfRule>
    <cfRule type="expression" dxfId="1337" priority="189">
      <formula>AND(Q42=3,IF(COUNTIF(Q$42:Q$46,"=3")&gt;=2,TRUE))</formula>
    </cfRule>
    <cfRule type="expression" dxfId="1336" priority="190">
      <formula>AND(Q42=2,IF(COUNTIF(Q$42:Q$46,"=2")&gt;=2,TRUE))</formula>
    </cfRule>
    <cfRule type="expression" dxfId="1335" priority="191">
      <formula>AND(Q42=1,IF(COUNTIF(Q$42:Q$46,"=1")&gt;=2,TRUE))</formula>
    </cfRule>
  </conditionalFormatting>
  <conditionalFormatting sqref="K42:K46">
    <cfRule type="expression" dxfId="1334" priority="209">
      <formula>AND(J42&gt;0,IF(COUNTIF(J$42:J$46,"=1")=2,TRUE),IF(COUNTIF(J$42:J$46,"=2")=2,TRUE))</formula>
    </cfRule>
    <cfRule type="expression" dxfId="1333" priority="210">
      <formula>IF(COUNTIF(L$42:L$46,"=2")=2,TRUE)</formula>
    </cfRule>
    <cfRule type="expression" dxfId="1332" priority="211">
      <formula>IF(COUNTIF(L$42:L$46,"=1")=2,TRUE)</formula>
    </cfRule>
    <cfRule type="expression" dxfId="1331" priority="212">
      <formula>AND(IF(COUNTIF(R$42:R$46,"=1")=2,TRUE),IF(COUNTIF(S$42:S$46,"=2")=2,TRUE))</formula>
    </cfRule>
    <cfRule type="expression" dxfId="1330" priority="213">
      <formula>AND(R42=4,IF(COUNTIF(R$42:R$46,"=4")=1,TRUE))</formula>
    </cfRule>
    <cfRule type="expression" dxfId="1329" priority="214">
      <formula>AND(R42=3,IF(COUNTIF(R$42:R$46,"=3")=1,TRUE))</formula>
    </cfRule>
    <cfRule type="expression" dxfId="1328" priority="215">
      <formula>AND(R42=2,IF(COUNTIF(R$42:R$46,"=2")=1,TRUE))</formula>
    </cfRule>
    <cfRule type="expression" dxfId="1327" priority="216">
      <formula>AND(R42=1,IF(COUNTIF(R$42:R$46,"=1")=1,TRUE))</formula>
    </cfRule>
    <cfRule type="expression" dxfId="1326" priority="217">
      <formula>OR(R42=0,R42=5)</formula>
    </cfRule>
  </conditionalFormatting>
  <conditionalFormatting sqref="H42:H46">
    <cfRule type="expression" dxfId="1325" priority="184">
      <formula>AND(Q42=4,IF(COUNTIF(Q$42:Q$46,"=4")&gt;=2,TRUE))</formula>
    </cfRule>
    <cfRule type="expression" dxfId="1324" priority="185">
      <formula>AND(Q42=3,IF(COUNTIF(Q$42:Q$46,"=3")&gt;=2,TRUE))</formula>
    </cfRule>
    <cfRule type="expression" dxfId="1323" priority="186">
      <formula>AND(Q42=2,IF(COUNTIF(Q$42:Q$46,"=2")&gt;=2,TRUE))</formula>
    </cfRule>
    <cfRule type="expression" dxfId="1322" priority="187">
      <formula>AND(Q42=1,IF(COUNTIF(Q$42:Q$46,"=1")&gt;=2,TRUE))</formula>
    </cfRule>
  </conditionalFormatting>
  <conditionalFormatting sqref="E196 E198">
    <cfRule type="containsBlanks" dxfId="1321" priority="117">
      <formula>LEN(TRIM(E196))=0</formula>
    </cfRule>
  </conditionalFormatting>
  <conditionalFormatting sqref="G179 G181">
    <cfRule type="containsBlanks" dxfId="1320" priority="123">
      <formula>LEN(TRIM(G179))=0</formula>
    </cfRule>
  </conditionalFormatting>
  <conditionalFormatting sqref="A102:A132">
    <cfRule type="cellIs" priority="94" stopIfTrue="1" operator="equal">
      <formula>"-"</formula>
    </cfRule>
    <cfRule type="duplicateValues" dxfId="1319" priority="183"/>
  </conditionalFormatting>
  <conditionalFormatting sqref="C102 C104">
    <cfRule type="aboveAverage" dxfId="1318" priority="182"/>
  </conditionalFormatting>
  <conditionalFormatting sqref="C102 C104">
    <cfRule type="containsBlanks" dxfId="1317" priority="181">
      <formula>LEN(TRIM(C102))=0</formula>
    </cfRule>
  </conditionalFormatting>
  <conditionalFormatting sqref="E157 E159">
    <cfRule type="aboveAverage" dxfId="1316" priority="142"/>
  </conditionalFormatting>
  <conditionalFormatting sqref="E157 E159">
    <cfRule type="containsBlanks" dxfId="1315" priority="141">
      <formula>LEN(TRIM(E157))=0</formula>
    </cfRule>
  </conditionalFormatting>
  <conditionalFormatting sqref="G183 G185">
    <cfRule type="containsBlanks" dxfId="1314" priority="121">
      <formula>LEN(TRIM(G183))=0</formula>
    </cfRule>
  </conditionalFormatting>
  <conditionalFormatting sqref="I187 I189">
    <cfRule type="containsBlanks" dxfId="1313" priority="119">
      <formula>LEN(TRIM(I187))=0</formula>
    </cfRule>
  </conditionalFormatting>
  <conditionalFormatting sqref="E161 E163">
    <cfRule type="aboveAverage" dxfId="1312" priority="136"/>
  </conditionalFormatting>
  <conditionalFormatting sqref="E161 E163">
    <cfRule type="containsBlanks" dxfId="1311" priority="135">
      <formula>LEN(TRIM(E161))=0</formula>
    </cfRule>
  </conditionalFormatting>
  <conditionalFormatting sqref="E165 E167">
    <cfRule type="aboveAverage" dxfId="1310" priority="134"/>
  </conditionalFormatting>
  <conditionalFormatting sqref="E165 E167">
    <cfRule type="containsBlanks" dxfId="1309" priority="133">
      <formula>LEN(TRIM(E165))=0</formula>
    </cfRule>
  </conditionalFormatting>
  <conditionalFormatting sqref="E169 E171">
    <cfRule type="aboveAverage" dxfId="1308" priority="132"/>
  </conditionalFormatting>
  <conditionalFormatting sqref="E169 E171">
    <cfRule type="containsBlanks" dxfId="1307" priority="131">
      <formula>LEN(TRIM(E169))=0</formula>
    </cfRule>
  </conditionalFormatting>
  <conditionalFormatting sqref="E200 E202">
    <cfRule type="containsBlanks" dxfId="1306" priority="55">
      <formula>LEN(TRIM(E200))=0</formula>
    </cfRule>
  </conditionalFormatting>
  <conditionalFormatting sqref="I180 I184">
    <cfRule type="containsBlanks" dxfId="1305" priority="125">
      <formula>LEN(TRIM(I180))=0</formula>
    </cfRule>
    <cfRule type="aboveAverage" dxfId="1304" priority="126"/>
  </conditionalFormatting>
  <conditionalFormatting sqref="G179 G181">
    <cfRule type="aboveAverage" dxfId="1303" priority="124"/>
  </conditionalFormatting>
  <conditionalFormatting sqref="G183 G185">
    <cfRule type="aboveAverage" dxfId="1302" priority="122"/>
  </conditionalFormatting>
  <conditionalFormatting sqref="I187 I189">
    <cfRule type="aboveAverage" dxfId="1301" priority="120"/>
  </conditionalFormatting>
  <conditionalFormatting sqref="E196 E198">
    <cfRule type="aboveAverage" dxfId="1300" priority="118"/>
  </conditionalFormatting>
  <conditionalFormatting sqref="E200 E202">
    <cfRule type="aboveAverage" dxfId="1299" priority="56"/>
  </conditionalFormatting>
  <conditionalFormatting sqref="C130 C132">
    <cfRule type="containsBlanks" dxfId="1298" priority="57">
      <formula>LEN(TRIM(C130))=0</formula>
    </cfRule>
  </conditionalFormatting>
  <conditionalFormatting sqref="E204 E206">
    <cfRule type="containsBlanks" dxfId="1297" priority="53">
      <formula>LEN(TRIM(E204))=0</formula>
    </cfRule>
  </conditionalFormatting>
  <conditionalFormatting sqref="AJ7:AJ44">
    <cfRule type="expression" dxfId="1296" priority="87">
      <formula>AND(AI7="",FIND(",",AJ7))</formula>
    </cfRule>
    <cfRule type="expression" dxfId="1295" priority="89">
      <formula>AND(AI7="",COUNTIF(AJ7,"*,*")=0)</formula>
    </cfRule>
  </conditionalFormatting>
  <conditionalFormatting sqref="AH7:AH44">
    <cfRule type="expression" dxfId="1294" priority="90">
      <formula>AND(AG7="",FIND(",",AH7))</formula>
    </cfRule>
    <cfRule type="expression" dxfId="1293" priority="91">
      <formula>AND(AG7="",COUNTIF(AH7,"*,*")=0)</formula>
    </cfRule>
  </conditionalFormatting>
  <conditionalFormatting sqref="AL7:AL44">
    <cfRule type="expression" dxfId="1292" priority="92">
      <formula>AND(AK7="",FIND(",",AL7))</formula>
    </cfRule>
    <cfRule type="expression" dxfId="1291" priority="93">
      <formula>AND(AK7="",COUNTIF(AL7,"*,*")=0)</formula>
    </cfRule>
  </conditionalFormatting>
  <conditionalFormatting sqref="AF7:AF44">
    <cfRule type="expression" dxfId="1290" priority="88">
      <formula>AND(AE7="",COUNTIF(AF7,"*,*")=0)</formula>
    </cfRule>
  </conditionalFormatting>
  <conditionalFormatting sqref="AN7:AN44">
    <cfRule type="expression" dxfId="1289" priority="84">
      <formula>AND(AM7="",COUNTIF(AN7,"*,*")=0)</formula>
    </cfRule>
    <cfRule type="expression" dxfId="1288" priority="86">
      <formula>AND(AM7="",FIND(",",AN7))</formula>
    </cfRule>
  </conditionalFormatting>
  <conditionalFormatting sqref="AP7:AP44">
    <cfRule type="expression" dxfId="1287" priority="83">
      <formula>AND(AO7="",COUNTIF(AP7,"*,*")=0)</formula>
    </cfRule>
    <cfRule type="expression" dxfId="1286" priority="85">
      <formula>AND(AO7="",FIND(",",AP7))</formula>
    </cfRule>
  </conditionalFormatting>
  <conditionalFormatting sqref="I28:I32">
    <cfRule type="expression" dxfId="1285" priority="77">
      <formula>FIND(2,I28,1)</formula>
    </cfRule>
    <cfRule type="expression" dxfId="1284" priority="78">
      <formula>FIND(1,I28,1)</formula>
    </cfRule>
  </conditionalFormatting>
  <conditionalFormatting sqref="I21:I25">
    <cfRule type="expression" dxfId="1283" priority="79">
      <formula>FIND(2,I21,1)</formula>
    </cfRule>
    <cfRule type="expression" dxfId="1282" priority="80">
      <formula>FIND(1,I21,1)</formula>
    </cfRule>
  </conditionalFormatting>
  <conditionalFormatting sqref="I7:I11">
    <cfRule type="expression" dxfId="1281" priority="81">
      <formula>FIND(2,I7,1)</formula>
    </cfRule>
    <cfRule type="expression" dxfId="1280" priority="82">
      <formula>FIND(1,I7,1)</formula>
    </cfRule>
  </conditionalFormatting>
  <conditionalFormatting sqref="I35:I39">
    <cfRule type="expression" dxfId="1279" priority="75">
      <formula>FIND(2,I35,1)</formula>
    </cfRule>
    <cfRule type="expression" dxfId="1278" priority="76">
      <formula>FIND(1,I35,1)</formula>
    </cfRule>
  </conditionalFormatting>
  <conditionalFormatting sqref="I42:I46">
    <cfRule type="expression" dxfId="1277" priority="73">
      <formula>FIND(2,I42,1)</formula>
    </cfRule>
    <cfRule type="expression" dxfId="1276" priority="74">
      <formula>FIND(1,I42,1)</formula>
    </cfRule>
  </conditionalFormatting>
  <conditionalFormatting sqref="I14:I18">
    <cfRule type="expression" dxfId="1275" priority="71">
      <formula>FIND(2,I14,1)</formula>
    </cfRule>
    <cfRule type="expression" dxfId="1274" priority="72">
      <formula>FIND(1,I14,1)</formula>
    </cfRule>
  </conditionalFormatting>
  <conditionalFormatting sqref="C106 C108">
    <cfRule type="aboveAverage" dxfId="1273" priority="70"/>
  </conditionalFormatting>
  <conditionalFormatting sqref="C106 C108">
    <cfRule type="containsBlanks" dxfId="1272" priority="69">
      <formula>LEN(TRIM(C106))=0</formula>
    </cfRule>
  </conditionalFormatting>
  <conditionalFormatting sqref="C110 C112">
    <cfRule type="aboveAverage" dxfId="1271" priority="68"/>
  </conditionalFormatting>
  <conditionalFormatting sqref="C110 C112">
    <cfRule type="containsBlanks" dxfId="1270" priority="67">
      <formula>LEN(TRIM(C110))=0</formula>
    </cfRule>
  </conditionalFormatting>
  <conditionalFormatting sqref="C114 C116">
    <cfRule type="aboveAverage" dxfId="1269" priority="66"/>
  </conditionalFormatting>
  <conditionalFormatting sqref="C114 C116">
    <cfRule type="containsBlanks" dxfId="1268" priority="65">
      <formula>LEN(TRIM(C114))=0</formula>
    </cfRule>
  </conditionalFormatting>
  <conditionalFormatting sqref="C118 C120">
    <cfRule type="aboveAverage" dxfId="1267" priority="64"/>
  </conditionalFormatting>
  <conditionalFormatting sqref="C118 C120">
    <cfRule type="containsBlanks" dxfId="1266" priority="63">
      <formula>LEN(TRIM(C118))=0</formula>
    </cfRule>
  </conditionalFormatting>
  <conditionalFormatting sqref="C122 C124">
    <cfRule type="aboveAverage" dxfId="1265" priority="62"/>
  </conditionalFormatting>
  <conditionalFormatting sqref="C122 C124">
    <cfRule type="containsBlanks" dxfId="1264" priority="61">
      <formula>LEN(TRIM(C122))=0</formula>
    </cfRule>
  </conditionalFormatting>
  <conditionalFormatting sqref="C126 C128">
    <cfRule type="aboveAverage" dxfId="1263" priority="60"/>
  </conditionalFormatting>
  <conditionalFormatting sqref="C126 C128">
    <cfRule type="containsBlanks" dxfId="1262" priority="59">
      <formula>LEN(TRIM(C126))=0</formula>
    </cfRule>
  </conditionalFormatting>
  <conditionalFormatting sqref="C130 C132">
    <cfRule type="aboveAverage" dxfId="1261" priority="58"/>
  </conditionalFormatting>
  <conditionalFormatting sqref="E204 E206">
    <cfRule type="aboveAverage" dxfId="1260" priority="54"/>
  </conditionalFormatting>
  <conditionalFormatting sqref="I211 I213">
    <cfRule type="aboveAverage" dxfId="1259" priority="52"/>
  </conditionalFormatting>
  <conditionalFormatting sqref="I211 I213">
    <cfRule type="containsBlanks" dxfId="1258" priority="51">
      <formula>LEN(TRIM(I211))=0</formula>
    </cfRule>
  </conditionalFormatting>
  <conditionalFormatting sqref="E208 E210">
    <cfRule type="aboveAverage" dxfId="1257" priority="50"/>
  </conditionalFormatting>
  <conditionalFormatting sqref="E208 E210">
    <cfRule type="containsBlanks" dxfId="1256" priority="49">
      <formula>LEN(TRIM(E208))=0</formula>
    </cfRule>
  </conditionalFormatting>
  <conditionalFormatting sqref="I131 I133">
    <cfRule type="aboveAverage" dxfId="1255" priority="48"/>
  </conditionalFormatting>
  <conditionalFormatting sqref="I131 I133">
    <cfRule type="containsBlanks" dxfId="1254" priority="47">
      <formula>LEN(TRIM(I131))=0</formula>
    </cfRule>
  </conditionalFormatting>
  <conditionalFormatting sqref="I148 I150">
    <cfRule type="aboveAverage" dxfId="1253" priority="46"/>
  </conditionalFormatting>
  <conditionalFormatting sqref="I148 I150">
    <cfRule type="containsBlanks" dxfId="1252" priority="45">
      <formula>LEN(TRIM(I148))=0</formula>
    </cfRule>
  </conditionalFormatting>
  <conditionalFormatting sqref="I172 I174">
    <cfRule type="aboveAverage" dxfId="1251" priority="44"/>
  </conditionalFormatting>
  <conditionalFormatting sqref="I172 I174">
    <cfRule type="containsBlanks" dxfId="1250" priority="43">
      <formula>LEN(TRIM(I172))=0</formula>
    </cfRule>
  </conditionalFormatting>
  <conditionalFormatting sqref="I226 I228">
    <cfRule type="aboveAverage" dxfId="1249" priority="42"/>
  </conditionalFormatting>
  <conditionalFormatting sqref="I226 I228">
    <cfRule type="containsBlanks" dxfId="1248" priority="41">
      <formula>LEN(TRIM(I226))=0</formula>
    </cfRule>
  </conditionalFormatting>
  <conditionalFormatting sqref="E103 E107">
    <cfRule type="containsBlanks" dxfId="1247" priority="39">
      <formula>LEN(TRIM(E103))=0</formula>
    </cfRule>
    <cfRule type="aboveAverage" dxfId="1246" priority="40"/>
  </conditionalFormatting>
  <conditionalFormatting sqref="E111 E115">
    <cfRule type="containsBlanks" dxfId="1245" priority="37">
      <formula>LEN(TRIM(E111))=0</formula>
    </cfRule>
    <cfRule type="aboveAverage" dxfId="1244" priority="38"/>
  </conditionalFormatting>
  <conditionalFormatting sqref="E119 E123">
    <cfRule type="containsBlanks" dxfId="1243" priority="35">
      <formula>LEN(TRIM(E119))=0</formula>
    </cfRule>
    <cfRule type="aboveAverage" dxfId="1242" priority="36"/>
  </conditionalFormatting>
  <conditionalFormatting sqref="E127 E131">
    <cfRule type="containsBlanks" dxfId="1241" priority="33">
      <formula>LEN(TRIM(E127))=0</formula>
    </cfRule>
    <cfRule type="aboveAverage" dxfId="1240" priority="34"/>
  </conditionalFormatting>
  <conditionalFormatting sqref="I141 I145">
    <cfRule type="containsBlanks" dxfId="1239" priority="31">
      <formula>LEN(TRIM(I141))=0</formula>
    </cfRule>
    <cfRule type="aboveAverage" dxfId="1238" priority="32"/>
  </conditionalFormatting>
  <conditionalFormatting sqref="G158 G162">
    <cfRule type="containsBlanks" dxfId="1237" priority="29">
      <formula>LEN(TRIM(G158))=0</formula>
    </cfRule>
    <cfRule type="aboveAverage" dxfId="1236" priority="30"/>
  </conditionalFormatting>
  <conditionalFormatting sqref="G166 G170">
    <cfRule type="containsBlanks" dxfId="1235" priority="27">
      <formula>LEN(TRIM(G166))=0</formula>
    </cfRule>
    <cfRule type="aboveAverage" dxfId="1234" priority="28"/>
  </conditionalFormatting>
  <conditionalFormatting sqref="G197 G201">
    <cfRule type="containsBlanks" dxfId="1233" priority="25">
      <formula>LEN(TRIM(G197))=0</formula>
    </cfRule>
    <cfRule type="aboveAverage" dxfId="1232" priority="26"/>
  </conditionalFormatting>
  <conditionalFormatting sqref="G205 G209">
    <cfRule type="containsBlanks" dxfId="1231" priority="23">
      <formula>LEN(TRIM(G205))=0</formula>
    </cfRule>
    <cfRule type="aboveAverage" dxfId="1230" priority="24"/>
  </conditionalFormatting>
  <conditionalFormatting sqref="I219 I223">
    <cfRule type="containsBlanks" dxfId="1229" priority="21">
      <formula>LEN(TRIM(I219))=0</formula>
    </cfRule>
    <cfRule type="aboveAverage" dxfId="1228" priority="22"/>
  </conditionalFormatting>
  <conditionalFormatting sqref="G105 G113">
    <cfRule type="containsBlanks" dxfId="1227" priority="19">
      <formula>LEN(TRIM(G105))=0</formula>
    </cfRule>
    <cfRule type="aboveAverage" dxfId="1226" priority="20"/>
  </conditionalFormatting>
  <conditionalFormatting sqref="G121 G129">
    <cfRule type="containsBlanks" dxfId="1225" priority="17">
      <formula>LEN(TRIM(G121))=0</formula>
    </cfRule>
    <cfRule type="aboveAverage" dxfId="1224" priority="18"/>
  </conditionalFormatting>
  <conditionalFormatting sqref="I160 I168">
    <cfRule type="containsBlanks" dxfId="1223" priority="15">
      <formula>LEN(TRIM(I160))=0</formula>
    </cfRule>
    <cfRule type="aboveAverage" dxfId="1222" priority="16"/>
  </conditionalFormatting>
  <conditionalFormatting sqref="I199 I207">
    <cfRule type="containsBlanks" dxfId="1221" priority="13">
      <formula>LEN(TRIM(I199))=0</formula>
    </cfRule>
    <cfRule type="aboveAverage" dxfId="1220" priority="14"/>
  </conditionalFormatting>
  <conditionalFormatting sqref="I109">
    <cfRule type="containsBlanks" dxfId="1219" priority="11">
      <formula>LEN(TRIM(I109))=0</formula>
    </cfRule>
    <cfRule type="aboveAverage" dxfId="1218" priority="12"/>
  </conditionalFormatting>
  <conditionalFormatting sqref="I125">
    <cfRule type="containsBlanks" dxfId="1217" priority="9">
      <formula>LEN(TRIM(I125))=0</formula>
    </cfRule>
    <cfRule type="aboveAverage" dxfId="1216" priority="10"/>
  </conditionalFormatting>
  <conditionalFormatting sqref="G218 G220">
    <cfRule type="aboveAverage" dxfId="1215" priority="8"/>
  </conditionalFormatting>
  <conditionalFormatting sqref="G218 G220">
    <cfRule type="containsBlanks" dxfId="1214" priority="7">
      <formula>LEN(TRIM(G218))=0</formula>
    </cfRule>
  </conditionalFormatting>
  <conditionalFormatting sqref="G222 G224">
    <cfRule type="aboveAverage" dxfId="1213" priority="6"/>
  </conditionalFormatting>
  <conditionalFormatting sqref="G222 G224">
    <cfRule type="containsBlanks" dxfId="1212" priority="5">
      <formula>LEN(TRIM(G222))=0</formula>
    </cfRule>
  </conditionalFormatting>
  <conditionalFormatting sqref="G140 G142">
    <cfRule type="aboveAverage" dxfId="1211" priority="4"/>
  </conditionalFormatting>
  <conditionalFormatting sqref="G140 G142">
    <cfRule type="containsBlanks" dxfId="1210" priority="3">
      <formula>LEN(TRIM(G140))=0</formula>
    </cfRule>
  </conditionalFormatting>
  <conditionalFormatting sqref="G144 G146">
    <cfRule type="aboveAverage" dxfId="1209" priority="2"/>
  </conditionalFormatting>
  <conditionalFormatting sqref="G144 G146">
    <cfRule type="containsBlanks" dxfId="1208" priority="1">
      <formula>LEN(TRIM(G144))=0</formula>
    </cfRule>
  </conditionalFormatting>
  <conditionalFormatting sqref="B300:B317">
    <cfRule type="expression" dxfId="1207" priority="1002">
      <formula>A300=3</formula>
    </cfRule>
    <cfRule type="expression" dxfId="1206" priority="1003">
      <formula>A300=2</formula>
    </cfRule>
    <cfRule type="expression" dxfId="1205" priority="1004">
      <formula>A300=1</formula>
    </cfRule>
    <cfRule type="containsBlanks" dxfId="1204" priority="1005">
      <formula>LEN(TRIM(B300))=0</formula>
    </cfRule>
    <cfRule type="duplicateValues" dxfId="1203" priority="1006"/>
  </conditionalFormatting>
  <pageMargins left="0.39370078740157483" right="0.39370078740157483" top="0.78740157480314965" bottom="0.39370078740157483" header="0.59055118110236227" footer="0"/>
  <pageSetup paperSize="9" fitToHeight="0" orientation="landscape" verticalDpi="1200" r:id="rId1"/>
  <headerFooter>
    <oddHeader>&amp;R&amp;P. leht &amp;N&amp; -st</oddHeader>
  </headerFooter>
  <rowBreaks count="5" manualBreakCount="5">
    <brk id="25" max="16383" man="1"/>
    <brk id="98" max="16383" man="1"/>
    <brk id="136" max="16383" man="1"/>
    <brk id="192" max="16383" man="1"/>
    <brk id="231"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305"/>
  <sheetViews>
    <sheetView showGridLines="0" showRowColHeaders="0" workbookViewId="0">
      <pane ySplit="1" topLeftCell="A2" activePane="bottomLeft" state="frozen"/>
      <selection pane="bottomLeft" activeCell="A5" sqref="A5"/>
    </sheetView>
  </sheetViews>
  <sheetFormatPr defaultRowHeight="12.75" x14ac:dyDescent="0.2"/>
  <cols>
    <col min="1" max="1" width="3.28515625" style="1" customWidth="1"/>
    <col min="2" max="2" width="31.140625" style="1" bestFit="1" customWidth="1"/>
    <col min="3" max="9" width="5.140625" style="1" customWidth="1"/>
    <col min="10" max="10" width="5.140625" style="1" bestFit="1" customWidth="1"/>
    <col min="11" max="11" width="3.42578125" style="1" bestFit="1" customWidth="1"/>
    <col min="12" max="12" width="9.140625" style="1" hidden="1" customWidth="1"/>
    <col min="13" max="13" width="5" style="1" bestFit="1" customWidth="1"/>
    <col min="14" max="14" width="9.140625" style="1" hidden="1" customWidth="1"/>
    <col min="15" max="15" width="5.5703125" style="1" hidden="1" customWidth="1"/>
    <col min="16" max="16" width="4.140625" style="1" hidden="1" customWidth="1"/>
    <col min="17" max="19" width="9.140625" style="1" hidden="1" customWidth="1"/>
    <col min="20" max="20" width="11.5703125" style="1" hidden="1" customWidth="1"/>
    <col min="21" max="21" width="9.140625" style="1" hidden="1" customWidth="1"/>
    <col min="22" max="16384" width="9.140625" style="1"/>
  </cols>
  <sheetData>
    <row r="1" spans="1:26" x14ac:dyDescent="0.2">
      <c r="A1" s="400" t="str">
        <f>UPPER((Kalend!E30)&amp;" - "&amp;(Kalend!C30))&amp;" - "&amp;LOWER(Kalend!D30)&amp;" - "&amp;(Kalend!A30)&amp;" kell "&amp;(Kalend!B30)&amp;" - "&amp;(Kalend!F30)</f>
        <v>N+V - EW 102 NOORED + VANAD - duo - N, 27.02.2020 kell 18:00 - Voka petangihall</v>
      </c>
      <c r="J1" s="70"/>
      <c r="K1" s="271"/>
      <c r="L1" s="271"/>
      <c r="M1" s="271"/>
      <c r="N1" s="271"/>
      <c r="O1" s="271"/>
      <c r="P1" s="271"/>
      <c r="Q1" s="271"/>
      <c r="R1" s="271"/>
      <c r="S1" s="271"/>
      <c r="T1" s="271"/>
      <c r="U1" s="271"/>
      <c r="X1" s="271"/>
      <c r="Y1" s="271"/>
    </row>
    <row r="2" spans="1:26" hidden="1" x14ac:dyDescent="0.2">
      <c r="F2" s="271"/>
      <c r="G2" s="312"/>
      <c r="H2" s="312"/>
      <c r="I2" s="415"/>
      <c r="K2" s="409"/>
      <c r="L2" s="409"/>
      <c r="M2" s="271"/>
      <c r="N2" s="271"/>
      <c r="O2" s="271"/>
      <c r="P2" s="271"/>
      <c r="Q2" s="271"/>
      <c r="R2" s="409"/>
      <c r="S2" s="409"/>
      <c r="T2" s="409"/>
      <c r="U2" s="271"/>
      <c r="V2" s="271"/>
      <c r="W2" s="271"/>
      <c r="X2" s="271"/>
    </row>
    <row r="3" spans="1:26" hidden="1" x14ac:dyDescent="0.2">
      <c r="K3" s="409"/>
      <c r="L3" s="409"/>
      <c r="M3" s="271"/>
      <c r="N3" s="271"/>
      <c r="O3" s="271"/>
      <c r="P3" s="271"/>
      <c r="Q3" s="271"/>
      <c r="R3" s="409"/>
      <c r="S3" s="409"/>
      <c r="T3" s="409"/>
      <c r="U3" s="271"/>
      <c r="V3" s="271"/>
      <c r="W3" s="271"/>
      <c r="X3" s="271"/>
      <c r="Y3" s="271"/>
    </row>
    <row r="4" spans="1:26" hidden="1" x14ac:dyDescent="0.2">
      <c r="K4" s="271"/>
      <c r="L4" s="271"/>
      <c r="M4" s="271"/>
      <c r="N4" s="271"/>
      <c r="O4" s="271"/>
      <c r="P4" s="271"/>
      <c r="Q4" s="271"/>
      <c r="R4" s="271"/>
      <c r="S4" s="271"/>
      <c r="T4" s="271"/>
      <c r="U4" s="271"/>
      <c r="V4" s="271"/>
      <c r="W4" s="271"/>
      <c r="X4" s="271"/>
      <c r="Y4" s="271"/>
    </row>
    <row r="5" spans="1:26" x14ac:dyDescent="0.2">
      <c r="F5" s="271"/>
      <c r="G5" s="53"/>
      <c r="H5" s="53"/>
      <c r="I5" s="53"/>
      <c r="J5" s="312"/>
      <c r="K5" s="271"/>
      <c r="L5" s="271"/>
      <c r="M5" s="967" t="s">
        <v>476</v>
      </c>
      <c r="N5" s="271"/>
      <c r="O5" s="271"/>
      <c r="P5" s="271"/>
      <c r="Q5" s="271"/>
      <c r="R5" s="271"/>
      <c r="S5" s="271"/>
      <c r="T5" s="271"/>
      <c r="U5" s="271"/>
      <c r="V5" s="271"/>
      <c r="W5" s="271"/>
      <c r="X5" s="271"/>
      <c r="Y5" s="271"/>
    </row>
    <row r="6" spans="1:26" x14ac:dyDescent="0.2">
      <c r="A6" s="311"/>
      <c r="B6" s="416"/>
      <c r="C6" s="276">
        <v>1</v>
      </c>
      <c r="D6" s="276">
        <v>2</v>
      </c>
      <c r="E6" s="276">
        <v>3</v>
      </c>
      <c r="F6" s="276">
        <v>4</v>
      </c>
      <c r="G6" s="276">
        <v>5</v>
      </c>
      <c r="H6" s="276">
        <v>6</v>
      </c>
      <c r="I6" s="276" t="s">
        <v>168</v>
      </c>
      <c r="J6" s="275" t="s">
        <v>169</v>
      </c>
      <c r="K6" s="417" t="s">
        <v>257</v>
      </c>
      <c r="L6" s="418" t="s">
        <v>258</v>
      </c>
      <c r="M6" s="419" t="s">
        <v>259</v>
      </c>
      <c r="N6" s="419" t="s">
        <v>260</v>
      </c>
      <c r="O6" s="420" t="s">
        <v>170</v>
      </c>
      <c r="P6" s="420" t="s">
        <v>170</v>
      </c>
      <c r="Q6" s="421" t="s">
        <v>261</v>
      </c>
      <c r="R6" s="422" t="s">
        <v>21</v>
      </c>
      <c r="S6" s="422" t="b">
        <f>OR(AND(COUNTA(B7:B11)=3,COUNTA(C7:G11)=30),AND(COUNTA(B7:B11)=4,COUNTA(C7:G11)=12),AND(COUNTA(B7:B11)=5,COUNTA(C7:G11)=20))</f>
        <v>1</v>
      </c>
      <c r="T6" s="423" t="s">
        <v>262</v>
      </c>
      <c r="U6" s="424" t="s">
        <v>263</v>
      </c>
    </row>
    <row r="7" spans="1:26" x14ac:dyDescent="0.2">
      <c r="A7" s="316">
        <v>1</v>
      </c>
      <c r="B7" s="479" t="s">
        <v>637</v>
      </c>
      <c r="C7" s="319"/>
      <c r="D7" s="318">
        <v>13</v>
      </c>
      <c r="E7" s="318">
        <v>13</v>
      </c>
      <c r="F7" s="318">
        <v>13</v>
      </c>
      <c r="G7" s="318">
        <v>6</v>
      </c>
      <c r="H7" s="318">
        <v>13</v>
      </c>
      <c r="I7" s="1511" t="s">
        <v>644</v>
      </c>
      <c r="J7" s="468">
        <v>2</v>
      </c>
      <c r="K7" s="480"/>
      <c r="L7" s="481"/>
      <c r="M7" s="1508"/>
      <c r="N7" s="483">
        <f>SUM(AND(S7=S8,D7&gt;C8),AND(S7=S9,E7&gt;C9),AND(S7=S10,F7&gt;C10),AND(S7=S11,G7&gt;C11))</f>
        <v>0</v>
      </c>
      <c r="O7" s="484" t="str">
        <f>SUM(C7:H7)&amp;"-"&amp;SUM(C7:C12)</f>
        <v>58-30</v>
      </c>
      <c r="P7" s="533" t="e">
        <f>D7+E7+F7+G7+H7+#REF!+#REF!-C8-C9-C10-C11-C12-#REF!-#REF!</f>
        <v>#REF!</v>
      </c>
      <c r="Q7" s="485">
        <f>SUM(C7:G7,C7:C11)/SUM(C7:C11)</f>
        <v>2.5517241379310347</v>
      </c>
      <c r="R7" s="320">
        <f>VALUE(LEFT(I7,1))</f>
        <v>4</v>
      </c>
      <c r="S7" s="321">
        <f>R7*100000+K7*10000+L7*1000+100*M7</f>
        <v>400000</v>
      </c>
      <c r="T7" s="486" t="e">
        <f>S7+N7*0.1+IF(ISNONTEXT(B7),0,0.01)+0.0001*P7</f>
        <v>#REF!</v>
      </c>
      <c r="U7" s="487" t="str">
        <f t="shared" ref="U7:U12" si="0">R7&amp;K7</f>
        <v>4</v>
      </c>
      <c r="V7" s="477"/>
      <c r="W7" s="477"/>
      <c r="X7" s="477"/>
      <c r="Y7" s="477"/>
      <c r="Z7" s="477"/>
    </row>
    <row r="8" spans="1:26" x14ac:dyDescent="0.2">
      <c r="A8" s="316">
        <v>2</v>
      </c>
      <c r="B8" s="542" t="s">
        <v>638</v>
      </c>
      <c r="C8" s="318">
        <v>1</v>
      </c>
      <c r="D8" s="319"/>
      <c r="E8" s="318">
        <v>13</v>
      </c>
      <c r="F8" s="318">
        <v>13</v>
      </c>
      <c r="G8" s="318">
        <v>9</v>
      </c>
      <c r="H8" s="318">
        <v>13</v>
      </c>
      <c r="I8" s="1512" t="s">
        <v>645</v>
      </c>
      <c r="J8" s="468">
        <v>3</v>
      </c>
      <c r="K8" s="489"/>
      <c r="L8" s="483"/>
      <c r="M8" s="553"/>
      <c r="N8" s="483">
        <f>SUM(AND(S8=S7,C8&gt;D7),AND(S8=S9,E8&gt;D9),AND(S8=S10,F8&gt;D10),AND(S8=S11,G8&gt;D11))</f>
        <v>0</v>
      </c>
      <c r="O8" s="484" t="str">
        <f>SUM(C8:H8)&amp;"-"&amp;SUM(D7:D12)</f>
        <v>49-47</v>
      </c>
      <c r="P8" s="533" t="e">
        <f>C8+E8+F8+G8+H8+#REF!+#REF!-D7-D9-D10-D11-D12-#REF!-#REF!</f>
        <v>#REF!</v>
      </c>
      <c r="Q8" s="485">
        <f>SUM(C8:G8,D7:D11)/SUM(D7:D11)</f>
        <v>1.8372093023255813</v>
      </c>
      <c r="R8" s="320">
        <f t="shared" ref="R8:R12" si="1">VALUE(LEFT(I8,1))</f>
        <v>3</v>
      </c>
      <c r="S8" s="321">
        <f>R8*100000+K8*10000+L8*1000+100*M8</f>
        <v>300000</v>
      </c>
      <c r="T8" s="486" t="e">
        <f>S8+N8*0.1+IF(ISNONTEXT(B8),0,0.01)+0.0001*P8</f>
        <v>#REF!</v>
      </c>
      <c r="U8" s="487" t="str">
        <f t="shared" si="0"/>
        <v>3</v>
      </c>
      <c r="V8" s="477"/>
      <c r="W8" s="477"/>
      <c r="X8" s="477"/>
      <c r="Y8" s="477"/>
      <c r="Z8" s="477"/>
    </row>
    <row r="9" spans="1:26" x14ac:dyDescent="0.2">
      <c r="A9" s="316">
        <v>3</v>
      </c>
      <c r="B9" s="542" t="s">
        <v>639</v>
      </c>
      <c r="C9" s="318">
        <v>9</v>
      </c>
      <c r="D9" s="492">
        <v>9</v>
      </c>
      <c r="E9" s="319"/>
      <c r="F9" s="468">
        <v>13</v>
      </c>
      <c r="G9" s="318">
        <v>11</v>
      </c>
      <c r="H9" s="318">
        <v>13</v>
      </c>
      <c r="I9" s="1512" t="s">
        <v>183</v>
      </c>
      <c r="J9" s="468">
        <v>4</v>
      </c>
      <c r="K9" s="489"/>
      <c r="L9" s="483"/>
      <c r="M9" s="553"/>
      <c r="N9" s="483">
        <f>SUM(AND(S9=S7,C9&gt;E7),AND(S9=S8,D9&gt;E8),AND(S9=S10,F9&gt;E10),AND(S9=S11,G9&gt;E11))</f>
        <v>0</v>
      </c>
      <c r="O9" s="484" t="str">
        <f>SUM(C9:H9)&amp;"-"&amp;SUM(E7:E12)</f>
        <v>55-58</v>
      </c>
      <c r="P9" s="533" t="e">
        <f>C9+D9+F9+G9+H9+#REF!+#REF!-E7-E8-E10-E11-E12-#REF!-#REF!</f>
        <v>#REF!</v>
      </c>
      <c r="Q9" s="485">
        <f>SUM(C9:G9,E7:E11)/SUM(E7:E11)</f>
        <v>1.8571428571428572</v>
      </c>
      <c r="R9" s="320">
        <f t="shared" si="1"/>
        <v>2</v>
      </c>
      <c r="S9" s="321">
        <f>R9*100000+K9*10000+L9*1000+100*M9</f>
        <v>200000</v>
      </c>
      <c r="T9" s="486" t="e">
        <f>S9+N9*0.1+IF(ISNONTEXT(B9),0,0.01)+0.0001*P9</f>
        <v>#REF!</v>
      </c>
      <c r="U9" s="487" t="str">
        <f t="shared" si="0"/>
        <v>2</v>
      </c>
      <c r="V9" s="477"/>
      <c r="W9" s="477"/>
      <c r="X9" s="477"/>
      <c r="Y9" s="477"/>
      <c r="Z9" s="477"/>
    </row>
    <row r="10" spans="1:26" x14ac:dyDescent="0.2">
      <c r="A10" s="316">
        <v>4</v>
      </c>
      <c r="B10" s="493" t="s">
        <v>640</v>
      </c>
      <c r="C10" s="318">
        <v>6</v>
      </c>
      <c r="D10" s="492">
        <v>8</v>
      </c>
      <c r="E10" s="318">
        <v>10</v>
      </c>
      <c r="F10" s="319"/>
      <c r="G10" s="468">
        <v>6</v>
      </c>
      <c r="H10" s="468">
        <v>13</v>
      </c>
      <c r="I10" s="1512" t="s">
        <v>184</v>
      </c>
      <c r="J10" s="468">
        <v>5</v>
      </c>
      <c r="K10" s="489"/>
      <c r="L10" s="483"/>
      <c r="M10" s="553"/>
      <c r="N10" s="483">
        <f>SUM(AND(S10=S7,C10&gt;F7),AND(S10=S8,D10&gt;F8),AND(S10=S9,E10&gt;F9),AND(S10=S11,G10&gt;F11))</f>
        <v>0</v>
      </c>
      <c r="O10" s="484" t="str">
        <f>SUM(C10:H10)&amp;"-"&amp;SUM(F7:F12)</f>
        <v>43-64</v>
      </c>
      <c r="P10" s="533" t="e">
        <f>C10+D10+E10+G10+H10+#REF!+#REF!-F7-F8-F9-F11-F12-#REF!-#REF!</f>
        <v>#REF!</v>
      </c>
      <c r="Q10" s="485">
        <f>SUM(C10:G10,F7:F11)/SUM(F7:F11)</f>
        <v>1.5769230769230769</v>
      </c>
      <c r="R10" s="320">
        <f t="shared" si="1"/>
        <v>1</v>
      </c>
      <c r="S10" s="321">
        <f>R10*100000+K10*10000+L10*1000+100*M10</f>
        <v>100000</v>
      </c>
      <c r="T10" s="486" t="e">
        <f>S10+N10*0.1+IF(ISNONTEXT(B10),0,0.01)+0.0001*P10</f>
        <v>#REF!</v>
      </c>
      <c r="U10" s="487" t="str">
        <f t="shared" si="0"/>
        <v>1</v>
      </c>
      <c r="V10" s="477"/>
      <c r="W10" s="477"/>
      <c r="X10" s="477"/>
      <c r="Y10" s="477"/>
      <c r="Z10" s="477"/>
    </row>
    <row r="11" spans="1:26" x14ac:dyDescent="0.2">
      <c r="A11" s="316">
        <v>5</v>
      </c>
      <c r="B11" s="542" t="s">
        <v>641</v>
      </c>
      <c r="C11" s="318">
        <v>13</v>
      </c>
      <c r="D11" s="318">
        <v>13</v>
      </c>
      <c r="E11" s="318">
        <v>13</v>
      </c>
      <c r="F11" s="318">
        <v>13</v>
      </c>
      <c r="G11" s="319"/>
      <c r="H11" s="318">
        <v>13</v>
      </c>
      <c r="I11" s="1512" t="s">
        <v>646</v>
      </c>
      <c r="J11" s="468">
        <v>1</v>
      </c>
      <c r="K11" s="489"/>
      <c r="L11" s="483"/>
      <c r="M11" s="553"/>
      <c r="N11" s="483">
        <f>SUM(AND(S11=S7,C11&gt;G7),AND(S11=S8,D11&gt;G8),AND(S11=S9,E11&gt;G9),AND(S11=S10,F11&gt;G10))</f>
        <v>0</v>
      </c>
      <c r="O11" s="484" t="str">
        <f>SUM(C11:H11)&amp;"-"&amp;SUM(G7:G12)</f>
        <v>65-34</v>
      </c>
      <c r="P11" s="533" t="e">
        <f>C11+D11+E11+F11+H11+#REF!+#REF!-G7-G8-G9-G10-G12-#REF!-#REF!</f>
        <v>#REF!</v>
      </c>
      <c r="Q11" s="485">
        <f>SUM(C11:G11,G7:G11)/SUM(G7:G11)</f>
        <v>2.625</v>
      </c>
      <c r="R11" s="320">
        <f t="shared" si="1"/>
        <v>5</v>
      </c>
      <c r="S11" s="321">
        <f>R11*100000+K11*10000+L11*1000+100*M11</f>
        <v>500000</v>
      </c>
      <c r="T11" s="486" t="e">
        <f>S11+N11*0.1+IF(ISNONTEXT(B11),0,0.01)+0.0001*P11</f>
        <v>#REF!</v>
      </c>
      <c r="U11" s="487" t="str">
        <f t="shared" si="0"/>
        <v>5</v>
      </c>
      <c r="V11" s="477"/>
      <c r="W11" s="477"/>
      <c r="X11" s="477"/>
      <c r="Y11" s="477"/>
      <c r="Z11" s="477"/>
    </row>
    <row r="12" spans="1:26" x14ac:dyDescent="0.2">
      <c r="A12" s="316">
        <v>6</v>
      </c>
      <c r="B12" s="488" t="s">
        <v>642</v>
      </c>
      <c r="C12" s="318">
        <v>1</v>
      </c>
      <c r="D12" s="492">
        <v>4</v>
      </c>
      <c r="E12" s="468">
        <v>9</v>
      </c>
      <c r="F12" s="318">
        <v>12</v>
      </c>
      <c r="G12" s="318">
        <v>2</v>
      </c>
      <c r="H12" s="319"/>
      <c r="I12" s="1512" t="s">
        <v>647</v>
      </c>
      <c r="J12" s="468">
        <v>6</v>
      </c>
      <c r="K12" s="1509"/>
      <c r="L12" s="52"/>
      <c r="M12" s="1510"/>
      <c r="O12" s="484" t="str">
        <f>SUM(C12:H12)&amp;"-"&amp;SUM(H7:H12)</f>
        <v>28-65</v>
      </c>
      <c r="P12" s="548" t="e">
        <f>C12+D12+E12+F12+G12+#REF!+#REF!-H7-H8-H9-H10-H11-#REF!-#REF!</f>
        <v>#REF!</v>
      </c>
      <c r="R12" s="320">
        <f t="shared" si="1"/>
        <v>0</v>
      </c>
      <c r="U12" s="487" t="str">
        <f t="shared" si="0"/>
        <v>0</v>
      </c>
      <c r="V12" s="477"/>
      <c r="W12" s="477"/>
      <c r="X12" s="477"/>
      <c r="Y12" s="477"/>
      <c r="Z12" s="477"/>
    </row>
    <row r="13" spans="1:26" hidden="1" x14ac:dyDescent="0.2">
      <c r="T13" s="477"/>
      <c r="U13" s="477"/>
      <c r="V13" s="477"/>
      <c r="W13" s="477"/>
      <c r="X13" s="477"/>
      <c r="Y13" s="477"/>
      <c r="Z13" s="477"/>
    </row>
    <row r="14" spans="1:26" hidden="1" x14ac:dyDescent="0.2">
      <c r="B14" s="544" t="s">
        <v>171</v>
      </c>
      <c r="T14" s="477"/>
      <c r="U14" s="477"/>
      <c r="V14" s="477"/>
      <c r="W14" s="477"/>
      <c r="X14" s="477"/>
      <c r="Y14" s="477"/>
      <c r="Z14" s="477"/>
    </row>
    <row r="15" spans="1:26" hidden="1" x14ac:dyDescent="0.2">
      <c r="B15" s="544" t="s">
        <v>174</v>
      </c>
      <c r="T15" s="477"/>
      <c r="U15" s="477"/>
      <c r="V15" s="477"/>
      <c r="W15" s="477"/>
      <c r="X15" s="477"/>
      <c r="Y15" s="477"/>
      <c r="Z15" s="477"/>
    </row>
    <row r="16" spans="1:26" hidden="1" x14ac:dyDescent="0.2">
      <c r="B16" s="544" t="s">
        <v>177</v>
      </c>
      <c r="T16" s="477"/>
      <c r="U16" s="477"/>
      <c r="V16" s="477"/>
      <c r="W16" s="477"/>
      <c r="X16" s="477"/>
      <c r="Y16" s="477"/>
      <c r="Z16" s="477"/>
    </row>
    <row r="17" spans="2:26" hidden="1" x14ac:dyDescent="0.2">
      <c r="B17" s="544" t="s">
        <v>180</v>
      </c>
      <c r="T17" s="477"/>
      <c r="U17" s="477"/>
      <c r="V17" s="477"/>
      <c r="W17" s="477"/>
      <c r="X17" s="477"/>
      <c r="Y17" s="477"/>
      <c r="Z17" s="477"/>
    </row>
    <row r="18" spans="2:26" hidden="1" x14ac:dyDescent="0.2">
      <c r="B18" s="544" t="s">
        <v>182</v>
      </c>
      <c r="T18" s="477"/>
      <c r="U18" s="477"/>
      <c r="V18" s="477"/>
      <c r="W18" s="477"/>
      <c r="X18" s="477"/>
      <c r="Y18" s="477"/>
      <c r="Z18" s="477"/>
    </row>
    <row r="19" spans="2:26" hidden="1" x14ac:dyDescent="0.2">
      <c r="B19" s="544" t="s">
        <v>636</v>
      </c>
      <c r="T19" s="477"/>
      <c r="U19" s="477"/>
      <c r="V19" s="477"/>
      <c r="W19" s="477"/>
      <c r="X19" s="477"/>
      <c r="Y19" s="477"/>
      <c r="Z19" s="477"/>
    </row>
    <row r="20" spans="2:26" hidden="1" x14ac:dyDescent="0.2">
      <c r="B20" s="544" t="s">
        <v>297</v>
      </c>
      <c r="T20" s="477"/>
      <c r="U20" s="477"/>
      <c r="V20" s="477"/>
      <c r="W20" s="477"/>
      <c r="X20" s="477"/>
      <c r="Y20" s="477"/>
      <c r="Z20" s="477"/>
    </row>
    <row r="21" spans="2:26" hidden="1" x14ac:dyDescent="0.2">
      <c r="B21" s="544" t="s">
        <v>298</v>
      </c>
      <c r="T21" s="477"/>
      <c r="U21" s="477"/>
      <c r="V21" s="477"/>
      <c r="W21" s="477"/>
      <c r="X21" s="477"/>
      <c r="Y21" s="477"/>
      <c r="Z21" s="477"/>
    </row>
    <row r="22" spans="2:26" hidden="1" x14ac:dyDescent="0.2">
      <c r="T22" s="477"/>
      <c r="U22" s="477"/>
      <c r="V22" s="477"/>
      <c r="W22" s="477"/>
      <c r="X22" s="477"/>
      <c r="Y22" s="477"/>
      <c r="Z22" s="477"/>
    </row>
    <row r="23" spans="2:26" hidden="1" x14ac:dyDescent="0.2">
      <c r="T23" s="477"/>
      <c r="U23" s="477"/>
      <c r="V23" s="477"/>
      <c r="W23" s="477"/>
      <c r="X23" s="477"/>
      <c r="Y23" s="477"/>
      <c r="Z23" s="477"/>
    </row>
    <row r="24" spans="2:26" hidden="1" x14ac:dyDescent="0.2">
      <c r="T24" s="477"/>
      <c r="U24" s="477"/>
      <c r="V24" s="477"/>
      <c r="W24" s="477"/>
      <c r="X24" s="477"/>
      <c r="Y24" s="477"/>
      <c r="Z24" s="477"/>
    </row>
    <row r="25" spans="2:26" hidden="1" x14ac:dyDescent="0.2">
      <c r="T25" s="477"/>
      <c r="U25" s="477"/>
      <c r="V25" s="477"/>
      <c r="W25" s="477"/>
      <c r="X25" s="477"/>
      <c r="Y25" s="477"/>
      <c r="Z25" s="477"/>
    </row>
    <row r="26" spans="2:26" hidden="1" x14ac:dyDescent="0.2">
      <c r="T26" s="477"/>
      <c r="U26" s="477"/>
      <c r="V26" s="477"/>
      <c r="W26" s="477"/>
      <c r="X26" s="477"/>
      <c r="Y26" s="477"/>
      <c r="Z26" s="477"/>
    </row>
    <row r="27" spans="2:26" hidden="1" x14ac:dyDescent="0.2">
      <c r="T27" s="477"/>
      <c r="U27" s="477"/>
      <c r="V27" s="477"/>
      <c r="W27" s="477"/>
      <c r="X27" s="477"/>
      <c r="Y27" s="477"/>
      <c r="Z27" s="477"/>
    </row>
    <row r="28" spans="2:26" hidden="1" x14ac:dyDescent="0.2">
      <c r="T28" s="477"/>
      <c r="U28" s="477"/>
      <c r="V28" s="477"/>
      <c r="W28" s="477"/>
      <c r="X28" s="477"/>
      <c r="Y28" s="477"/>
      <c r="Z28" s="477"/>
    </row>
    <row r="29" spans="2:26" hidden="1" x14ac:dyDescent="0.2">
      <c r="T29" s="477"/>
      <c r="U29" s="477"/>
      <c r="V29" s="477"/>
      <c r="W29" s="477"/>
      <c r="X29" s="477"/>
      <c r="Y29" s="477"/>
      <c r="Z29" s="477"/>
    </row>
    <row r="30" spans="2:26" hidden="1" x14ac:dyDescent="0.2"/>
    <row r="31" spans="2:26" hidden="1" x14ac:dyDescent="0.2"/>
    <row r="32" spans="2:26"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spans="1:19" hidden="1" x14ac:dyDescent="0.2"/>
    <row r="50" spans="1:19" hidden="1" x14ac:dyDescent="0.2"/>
    <row r="51" spans="1:19" hidden="1" x14ac:dyDescent="0.2"/>
    <row r="52" spans="1:19" hidden="1" x14ac:dyDescent="0.2"/>
    <row r="53" spans="1:19" hidden="1" x14ac:dyDescent="0.2"/>
    <row r="54" spans="1:19" hidden="1" x14ac:dyDescent="0.2"/>
    <row r="55" spans="1:19" hidden="1" x14ac:dyDescent="0.2"/>
    <row r="56" spans="1:19" hidden="1" x14ac:dyDescent="0.2"/>
    <row r="57" spans="1:19" hidden="1" x14ac:dyDescent="0.2"/>
    <row r="58" spans="1:19" hidden="1" x14ac:dyDescent="0.2"/>
    <row r="59" spans="1:19" hidden="1" x14ac:dyDescent="0.2"/>
    <row r="60" spans="1:19" hidden="1" x14ac:dyDescent="0.2">
      <c r="A60" s="79"/>
      <c r="E60" s="79"/>
      <c r="F60" s="62"/>
      <c r="G60" s="79"/>
      <c r="H60" s="79"/>
      <c r="I60" s="62"/>
      <c r="J60" s="79"/>
      <c r="K60" s="62"/>
      <c r="L60" s="79"/>
      <c r="M60" s="299"/>
      <c r="N60" s="62"/>
      <c r="O60" s="62"/>
      <c r="P60" s="62"/>
      <c r="Q60" s="62"/>
      <c r="R60" s="62"/>
      <c r="S60" s="62"/>
    </row>
    <row r="61" spans="1:19" hidden="1" x14ac:dyDescent="0.2">
      <c r="A61" s="79"/>
      <c r="E61" s="79"/>
      <c r="F61" s="62"/>
      <c r="G61" s="79"/>
      <c r="H61" s="79"/>
      <c r="I61" s="62"/>
      <c r="J61" s="79"/>
      <c r="K61" s="62"/>
      <c r="L61" s="79"/>
      <c r="M61" s="299"/>
      <c r="N61" s="62"/>
      <c r="O61" s="62"/>
      <c r="P61" s="62"/>
      <c r="Q61" s="62"/>
      <c r="R61" s="62"/>
      <c r="S61" s="62"/>
    </row>
    <row r="62" spans="1:19" hidden="1" x14ac:dyDescent="0.2">
      <c r="A62" s="79"/>
      <c r="E62" s="79"/>
      <c r="F62" s="62"/>
      <c r="G62" s="79"/>
      <c r="H62" s="79"/>
      <c r="I62" s="62"/>
      <c r="J62" s="79"/>
      <c r="K62" s="62"/>
      <c r="L62" s="79"/>
      <c r="M62" s="299"/>
      <c r="N62" s="62"/>
      <c r="O62" s="62"/>
      <c r="P62" s="62"/>
      <c r="Q62" s="62"/>
      <c r="R62" s="62"/>
      <c r="S62" s="62"/>
    </row>
    <row r="63" spans="1:19" hidden="1" x14ac:dyDescent="0.2">
      <c r="A63" s="79"/>
      <c r="E63" s="79"/>
      <c r="F63" s="79"/>
      <c r="G63" s="79"/>
      <c r="H63" s="79"/>
      <c r="I63" s="62"/>
      <c r="J63" s="79"/>
      <c r="K63" s="62"/>
      <c r="L63" s="79"/>
      <c r="M63" s="299"/>
      <c r="N63" s="62"/>
      <c r="O63" s="62"/>
      <c r="P63" s="62"/>
      <c r="Q63" s="62"/>
      <c r="R63" s="62"/>
      <c r="S63" s="62"/>
    </row>
    <row r="64" spans="1:19" hidden="1" x14ac:dyDescent="0.2">
      <c r="A64" s="79"/>
      <c r="E64" s="79"/>
      <c r="F64" s="79"/>
      <c r="G64" s="79"/>
      <c r="H64" s="79"/>
      <c r="I64" s="62"/>
      <c r="J64" s="79"/>
      <c r="K64" s="62"/>
      <c r="L64" s="79"/>
      <c r="M64" s="299"/>
      <c r="N64" s="62"/>
      <c r="O64" s="62"/>
      <c r="P64" s="62"/>
      <c r="Q64" s="62"/>
      <c r="R64" s="62"/>
      <c r="S64" s="62"/>
    </row>
    <row r="65" spans="1:19" hidden="1" x14ac:dyDescent="0.2">
      <c r="A65" s="79"/>
      <c r="E65" s="79"/>
      <c r="F65" s="79"/>
      <c r="G65" s="79"/>
      <c r="H65" s="79"/>
      <c r="I65" s="62"/>
      <c r="J65" s="79"/>
      <c r="K65" s="62"/>
      <c r="L65" s="79"/>
      <c r="M65" s="299"/>
      <c r="N65" s="62"/>
      <c r="O65" s="62"/>
      <c r="P65" s="62"/>
      <c r="Q65" s="62"/>
      <c r="R65" s="62"/>
      <c r="S65" s="62"/>
    </row>
    <row r="66" spans="1:19" hidden="1" x14ac:dyDescent="0.2">
      <c r="A66" s="79"/>
      <c r="E66" s="79"/>
      <c r="F66" s="79"/>
      <c r="G66" s="79"/>
      <c r="H66" s="79"/>
      <c r="I66" s="62"/>
      <c r="J66" s="79"/>
      <c r="K66" s="62"/>
      <c r="L66" s="79"/>
      <c r="M66" s="299"/>
      <c r="N66" s="62"/>
      <c r="O66" s="62"/>
      <c r="P66" s="62"/>
      <c r="Q66" s="62"/>
      <c r="R66" s="62"/>
      <c r="S66" s="62"/>
    </row>
    <row r="67" spans="1:19" hidden="1" x14ac:dyDescent="0.2">
      <c r="A67" s="79"/>
      <c r="B67" s="330"/>
      <c r="C67" s="140"/>
      <c r="D67" s="140"/>
      <c r="E67" s="79"/>
      <c r="F67" s="79"/>
      <c r="G67" s="79"/>
      <c r="H67" s="79"/>
      <c r="I67" s="62"/>
      <c r="J67" s="79"/>
      <c r="K67" s="62"/>
      <c r="L67" s="79"/>
      <c r="M67" s="299"/>
      <c r="N67" s="62"/>
      <c r="O67" s="62"/>
      <c r="P67" s="62"/>
      <c r="Q67" s="62"/>
      <c r="R67" s="62"/>
      <c r="S67" s="62"/>
    </row>
    <row r="68" spans="1:19" hidden="1" x14ac:dyDescent="0.2">
      <c r="A68" s="79"/>
      <c r="E68" s="79"/>
      <c r="F68" s="62"/>
      <c r="G68" s="62"/>
      <c r="H68" s="79"/>
      <c r="I68" s="62"/>
      <c r="J68" s="79"/>
      <c r="K68" s="62"/>
      <c r="L68" s="79"/>
      <c r="M68" s="299"/>
      <c r="N68" s="62"/>
      <c r="O68" s="62"/>
      <c r="P68" s="62"/>
      <c r="Q68" s="62"/>
      <c r="R68" s="62"/>
      <c r="S68" s="62"/>
    </row>
    <row r="69" spans="1:19" hidden="1" x14ac:dyDescent="0.2">
      <c r="A69" s="79"/>
      <c r="E69" s="79"/>
      <c r="F69" s="62"/>
      <c r="G69" s="62"/>
      <c r="H69" s="62"/>
      <c r="I69" s="62"/>
      <c r="J69" s="79"/>
      <c r="K69" s="62"/>
      <c r="L69" s="79"/>
      <c r="M69" s="299"/>
      <c r="N69" s="62"/>
      <c r="O69" s="62"/>
      <c r="P69" s="62"/>
      <c r="Q69" s="62"/>
      <c r="R69" s="62"/>
      <c r="S69" s="62"/>
    </row>
    <row r="70" spans="1:19" hidden="1" x14ac:dyDescent="0.2">
      <c r="A70" s="79"/>
      <c r="E70" s="79"/>
      <c r="F70" s="62"/>
      <c r="G70" s="62"/>
      <c r="H70" s="79"/>
      <c r="I70" s="62"/>
      <c r="J70" s="79"/>
      <c r="K70" s="62"/>
      <c r="L70" s="79"/>
      <c r="M70" s="299"/>
      <c r="N70" s="62"/>
      <c r="O70" s="62"/>
      <c r="P70" s="62"/>
      <c r="Q70" s="62"/>
      <c r="R70" s="62"/>
      <c r="S70" s="62"/>
    </row>
    <row r="71" spans="1:19" hidden="1" x14ac:dyDescent="0.2">
      <c r="A71" s="79"/>
      <c r="E71" s="79"/>
      <c r="F71" s="62"/>
      <c r="G71" s="62"/>
      <c r="H71" s="79"/>
      <c r="I71" s="62"/>
      <c r="J71" s="79"/>
      <c r="K71" s="62"/>
      <c r="L71" s="79"/>
      <c r="M71" s="299"/>
      <c r="N71" s="62"/>
      <c r="O71" s="62"/>
      <c r="P71" s="62"/>
      <c r="Q71" s="62"/>
      <c r="R71" s="62"/>
      <c r="S71" s="62"/>
    </row>
    <row r="72" spans="1:19" hidden="1" x14ac:dyDescent="0.2">
      <c r="A72" s="79"/>
      <c r="E72" s="79"/>
      <c r="F72" s="62"/>
      <c r="G72" s="62"/>
      <c r="H72" s="79"/>
      <c r="I72" s="62"/>
      <c r="J72" s="79"/>
      <c r="K72" s="62"/>
      <c r="L72" s="79"/>
      <c r="M72" s="299"/>
      <c r="N72" s="62"/>
      <c r="O72" s="62"/>
      <c r="P72" s="62"/>
      <c r="Q72" s="62"/>
      <c r="R72" s="62"/>
      <c r="S72" s="62"/>
    </row>
    <row r="73" spans="1:19" hidden="1" x14ac:dyDescent="0.2"/>
    <row r="74" spans="1:19" hidden="1" x14ac:dyDescent="0.2"/>
    <row r="75" spans="1:19" hidden="1" x14ac:dyDescent="0.2"/>
    <row r="76" spans="1:19" hidden="1" x14ac:dyDescent="0.2"/>
    <row r="77" spans="1:19" hidden="1" x14ac:dyDescent="0.2"/>
    <row r="78" spans="1:19" hidden="1" x14ac:dyDescent="0.2"/>
    <row r="79" spans="1:19" hidden="1" x14ac:dyDescent="0.2"/>
    <row r="80" spans="1:19"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8" spans="1:8" x14ac:dyDescent="0.2">
      <c r="A98" s="286" t="s">
        <v>643</v>
      </c>
      <c r="H98" s="269"/>
    </row>
    <row r="99" spans="1:8" x14ac:dyDescent="0.2">
      <c r="H99" s="269"/>
    </row>
    <row r="100" spans="1:8" ht="13.5" thickBot="1" x14ac:dyDescent="0.25">
      <c r="G100" s="452" t="str">
        <f>IFERROR(INDEX(B$1:B$98,MATCH(1,J$1:J$98,0)),"")</f>
        <v>Marko Tarassov, Fredi Müür</v>
      </c>
      <c r="H100" s="269"/>
    </row>
    <row r="101" spans="1:8" x14ac:dyDescent="0.2">
      <c r="G101" s="290" t="s">
        <v>185</v>
      </c>
      <c r="H101" s="453"/>
    </row>
    <row r="102" spans="1:8" x14ac:dyDescent="0.2">
      <c r="G102" s="269"/>
      <c r="H102" s="269"/>
    </row>
    <row r="103" spans="1:8" ht="13.5" thickBot="1" x14ac:dyDescent="0.25">
      <c r="G103" s="452" t="str">
        <f>IFERROR(INDEX(B$1:B$98,MATCH(2,J$1:J$98,0)),"")</f>
        <v>Daniel Lehtsaar, Kenneth Muusikus</v>
      </c>
      <c r="H103" s="454"/>
    </row>
    <row r="104" spans="1:8" x14ac:dyDescent="0.2">
      <c r="G104" s="290" t="s">
        <v>186</v>
      </c>
      <c r="H104" s="287"/>
    </row>
    <row r="105" spans="1:8" x14ac:dyDescent="0.2">
      <c r="G105" s="269"/>
      <c r="H105" s="269"/>
    </row>
    <row r="106" spans="1:8" ht="13.5" thickBot="1" x14ac:dyDescent="0.25">
      <c r="G106" s="452" t="str">
        <f>IFERROR(INDEX(B$1:B$98,MATCH(3,J$1:J$98,0)),"")</f>
        <v>Veroonika Mendes, Jaan Saar</v>
      </c>
      <c r="H106" s="454"/>
    </row>
    <row r="107" spans="1:8" x14ac:dyDescent="0.2">
      <c r="G107" s="296" t="s">
        <v>187</v>
      </c>
      <c r="H107" s="287"/>
    </row>
    <row r="108" spans="1:8" x14ac:dyDescent="0.2">
      <c r="G108" s="287"/>
      <c r="H108" s="287"/>
    </row>
    <row r="109" spans="1:8" ht="13.5" thickBot="1" x14ac:dyDescent="0.25">
      <c r="G109" s="452" t="str">
        <f>IFERROR(INDEX(B$1:B$98,MATCH(4,J$1:J$98,0)),"")</f>
        <v>Reimo Lõhmus, Enn Tokman</v>
      </c>
      <c r="H109" s="454"/>
    </row>
    <row r="110" spans="1:8" x14ac:dyDescent="0.2">
      <c r="G110" s="268" t="s">
        <v>188</v>
      </c>
      <c r="H110" s="269"/>
    </row>
    <row r="111" spans="1:8" x14ac:dyDescent="0.2">
      <c r="G111" s="269"/>
      <c r="H111" s="269"/>
    </row>
    <row r="112" spans="1:8" ht="13.5" thickBot="1" x14ac:dyDescent="0.25">
      <c r="G112" s="452" t="str">
        <f>IFERROR(INDEX(B$1:B$98,MATCH(5,J$1:J$98,0)),"")</f>
        <v>Ksenija Matšneva, Peep Peenema</v>
      </c>
      <c r="H112" s="269"/>
    </row>
    <row r="113" spans="7:8" x14ac:dyDescent="0.2">
      <c r="G113" s="290" t="s">
        <v>189</v>
      </c>
      <c r="H113" s="453"/>
    </row>
    <row r="114" spans="7:8" x14ac:dyDescent="0.2">
      <c r="G114" s="269"/>
      <c r="H114" s="269"/>
    </row>
    <row r="115" spans="7:8" ht="13.5" thickBot="1" x14ac:dyDescent="0.25">
      <c r="G115" s="452" t="str">
        <f>IFERROR(INDEX(B$1:B$98,MATCH(6,J$1:J$98,0)),"")</f>
        <v>Aurelia Meldre, Tarmo Bombe</v>
      </c>
      <c r="H115" s="454"/>
    </row>
    <row r="116" spans="7:8" x14ac:dyDescent="0.2">
      <c r="G116" s="290" t="s">
        <v>190</v>
      </c>
      <c r="H116" s="287"/>
    </row>
    <row r="117" spans="7:8" hidden="1" x14ac:dyDescent="0.2"/>
    <row r="118" spans="7:8" hidden="1" x14ac:dyDescent="0.2"/>
    <row r="119" spans="7:8" hidden="1" x14ac:dyDescent="0.2"/>
    <row r="120" spans="7:8" hidden="1" x14ac:dyDescent="0.2"/>
    <row r="121" spans="7:8" hidden="1" x14ac:dyDescent="0.2"/>
    <row r="122" spans="7:8" hidden="1" x14ac:dyDescent="0.2"/>
    <row r="123" spans="7:8" hidden="1" x14ac:dyDescent="0.2"/>
    <row r="124" spans="7:8" hidden="1" x14ac:dyDescent="0.2"/>
    <row r="125" spans="7:8" hidden="1" x14ac:dyDescent="0.2"/>
    <row r="126" spans="7:8" hidden="1" x14ac:dyDescent="0.2"/>
    <row r="127" spans="7:8" hidden="1" x14ac:dyDescent="0.2"/>
    <row r="128" spans="7: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3" hidden="1" x14ac:dyDescent="0.2"/>
    <row r="290" spans="1:3" hidden="1" x14ac:dyDescent="0.2"/>
    <row r="291" spans="1:3" hidden="1" x14ac:dyDescent="0.2"/>
    <row r="292" spans="1:3" hidden="1" x14ac:dyDescent="0.2"/>
    <row r="293" spans="1:3" hidden="1" x14ac:dyDescent="0.2"/>
    <row r="294" spans="1:3" hidden="1" x14ac:dyDescent="0.2"/>
    <row r="295" spans="1:3" hidden="1" x14ac:dyDescent="0.2"/>
    <row r="296" spans="1:3" hidden="1" x14ac:dyDescent="0.2"/>
    <row r="297" spans="1:3" hidden="1" x14ac:dyDescent="0.2">
      <c r="A297" s="271"/>
      <c r="B297" s="271"/>
      <c r="C297" s="401"/>
    </row>
    <row r="298" spans="1:3" x14ac:dyDescent="0.2">
      <c r="C298" s="499"/>
    </row>
    <row r="299" spans="1:3" x14ac:dyDescent="0.2">
      <c r="C299" s="499"/>
    </row>
    <row r="300" spans="1:3" x14ac:dyDescent="0.2">
      <c r="A300" s="530">
        <v>1</v>
      </c>
      <c r="B300" s="529" t="str">
        <f t="shared" ref="B300:B305" si="2">IFERROR(INDEX(G$98:G$298,MATCH(A300&amp;". koht",G$99:G$299,0)),"")</f>
        <v>Marko Tarassov, Fredi Müür</v>
      </c>
      <c r="C300" s="499"/>
    </row>
    <row r="301" spans="1:3" x14ac:dyDescent="0.2">
      <c r="A301" s="530">
        <v>2</v>
      </c>
      <c r="B301" s="529" t="str">
        <f t="shared" si="2"/>
        <v>Daniel Lehtsaar, Kenneth Muusikus</v>
      </c>
      <c r="C301" s="499"/>
    </row>
    <row r="302" spans="1:3" x14ac:dyDescent="0.2">
      <c r="A302" s="530">
        <v>3</v>
      </c>
      <c r="B302" s="529" t="str">
        <f t="shared" si="2"/>
        <v>Veroonika Mendes, Jaan Saar</v>
      </c>
      <c r="C302" s="499"/>
    </row>
    <row r="303" spans="1:3" x14ac:dyDescent="0.2">
      <c r="A303" s="530">
        <v>4</v>
      </c>
      <c r="B303" s="529" t="str">
        <f t="shared" si="2"/>
        <v>Reimo Lõhmus, Enn Tokman</v>
      </c>
      <c r="C303" s="499"/>
    </row>
    <row r="304" spans="1:3" x14ac:dyDescent="0.2">
      <c r="A304" s="530">
        <v>5</v>
      </c>
      <c r="B304" s="529" t="str">
        <f t="shared" si="2"/>
        <v>Ksenija Matšneva, Peep Peenema</v>
      </c>
      <c r="C304" s="477"/>
    </row>
    <row r="305" spans="1:2" x14ac:dyDescent="0.2">
      <c r="A305" s="530">
        <v>6</v>
      </c>
      <c r="B305" s="529" t="str">
        <f t="shared" si="2"/>
        <v>Aurelia Meldre, Tarmo Bombe</v>
      </c>
    </row>
  </sheetData>
  <conditionalFormatting sqref="D7 C8">
    <cfRule type="aboveAverage" dxfId="1202" priority="25"/>
  </conditionalFormatting>
  <conditionalFormatting sqref="E7 C9 C12">
    <cfRule type="aboveAverage" dxfId="1201" priority="24"/>
  </conditionalFormatting>
  <conditionalFormatting sqref="E8 D9 D12">
    <cfRule type="aboveAverage" dxfId="1200" priority="22"/>
  </conditionalFormatting>
  <conditionalFormatting sqref="P7:P11">
    <cfRule type="expression" dxfId="1199" priority="14">
      <formula>OR(AND(K7=1,L7=1,M7=0,N7=1),AND(K7=2,L7=2,M7=0,N7=2))</formula>
    </cfRule>
  </conditionalFormatting>
  <conditionalFormatting sqref="N7:N11">
    <cfRule type="expression" dxfId="1198" priority="7">
      <formula>AND(M7&gt;0,IF(COUNTIF(M$7:M$11,M7)&gt;1,TRUE,FALSE))</formula>
    </cfRule>
    <cfRule type="expression" dxfId="1197" priority="8">
      <formula>AND(IF(COUNTIF(S$7:S$11,"=1")=2,TRUE),IF(COUNTIF(S$7:S$11,"=2")=2,TRUE))</formula>
    </cfRule>
    <cfRule type="expression" dxfId="1196" priority="9">
      <formula>AND(S7=4,IF(COUNTIF(S$7:S$11,"=4")=1,TRUE))</formula>
    </cfRule>
    <cfRule type="expression" dxfId="1195" priority="10">
      <formula>AND(S7=3,IF(COUNTIF(S$7:S$11,"=3")=1,TRUE))</formula>
    </cfRule>
    <cfRule type="expression" dxfId="1194" priority="11">
      <formula>AND(S7=2,IF(COUNTIF(S$7:S$11,"=2")=1,TRUE))</formula>
    </cfRule>
    <cfRule type="expression" dxfId="1193" priority="12">
      <formula>AND(S7=1,IF(COUNTIF(S$7:S$11,"=1")=1,TRUE))</formula>
    </cfRule>
    <cfRule type="expression" dxfId="1192" priority="13">
      <formula>OR(S7=0,S7=5)</formula>
    </cfRule>
  </conditionalFormatting>
  <conditionalFormatting sqref="K7:K11">
    <cfRule type="expression" dxfId="1191" priority="3">
      <formula>AND(R7=4,IF(COUNTIF(R$7:R$11,"=4")&gt;=2,TRUE))</formula>
    </cfRule>
    <cfRule type="expression" dxfId="1190" priority="4">
      <formula>AND(R7=3,IF(COUNTIF(R$7:R$11,"=3")&gt;=2,TRUE))</formula>
    </cfRule>
    <cfRule type="expression" dxfId="1189" priority="5">
      <formula>AND(R7=2,IF(COUNTIF(R$7:R$11,"=2")&gt;=2,TRUE))</formula>
    </cfRule>
    <cfRule type="expression" dxfId="1188" priority="6">
      <formula>AND(R7=1,IF(COUNTIF(R$7:R$11,"=1")&gt;=2,TRUE))</formula>
    </cfRule>
  </conditionalFormatting>
  <conditionalFormatting sqref="L7:L11">
    <cfRule type="expression" dxfId="1187" priority="29">
      <formula>AND(K7&gt;0,IF(COUNTIF(K$7:K$11,"=1")=2,TRUE),IF(COUNTIF(K$7:K$11,"=2")=2,TRUE))</formula>
    </cfRule>
    <cfRule type="expression" dxfId="1186" priority="30">
      <formula>IF(COUNTIF(M$7:M$11,"=2")=2,TRUE)</formula>
    </cfRule>
    <cfRule type="expression" dxfId="1185" priority="31">
      <formula>IF(COUNTIF(M$7:M$11,"=1")=2,TRUE)</formula>
    </cfRule>
    <cfRule type="expression" dxfId="1184" priority="32">
      <formula>AND(IF(COUNTIF(S$7:S$11,"=1")=2,TRUE),IF(COUNTIF(T$7:T$11,"=2")=2,TRUE))</formula>
    </cfRule>
    <cfRule type="expression" dxfId="1183" priority="33">
      <formula>AND(S7=4,IF(COUNTIF(S$7:S$11,"=4")=1,TRUE))</formula>
    </cfRule>
    <cfRule type="expression" dxfId="1182" priority="34">
      <formula>AND(S7=3,IF(COUNTIF(S$7:S$11,"=3")=1,TRUE))</formula>
    </cfRule>
    <cfRule type="expression" dxfId="1181" priority="35">
      <formula>AND(S7=2,IF(COUNTIF(S$7:S$11,"=2")=1,TRUE))</formula>
    </cfRule>
    <cfRule type="expression" dxfId="1180" priority="36">
      <formula>AND(S7=1,IF(COUNTIF(S$7:S$11,"=1")=1,TRUE))</formula>
    </cfRule>
    <cfRule type="expression" dxfId="1179" priority="37">
      <formula>OR(S7=0,S7=5)</formula>
    </cfRule>
  </conditionalFormatting>
  <conditionalFormatting sqref="H128 H98:H99 G100:G116">
    <cfRule type="containsText" dxfId="1178" priority="1" operator="containsText" text="I-Viru">
      <formula>NOT(ISERROR(SEARCH("I-Viru",G98)))</formula>
    </cfRule>
  </conditionalFormatting>
  <conditionalFormatting sqref="B7 B10 B12">
    <cfRule type="duplicateValues" dxfId="1177" priority="1045"/>
  </conditionalFormatting>
  <conditionalFormatting sqref="I7:I12">
    <cfRule type="expression" dxfId="1176" priority="1048">
      <formula>AND(R7=4,IF(COUNTIF(R$7:R$12,"=4")&gt;=2,TRUE))</formula>
    </cfRule>
    <cfRule type="expression" dxfId="1175" priority="1049">
      <formula>AND(R7=3,IF(COUNTIF(R$7:R$12,"=3")&gt;=2,TRUE))</formula>
    </cfRule>
    <cfRule type="expression" dxfId="1174" priority="1050">
      <formula>AND(R7=2,IF(COUNTIF(R$7:R$12,"=2")&gt;=2,TRUE))</formula>
    </cfRule>
    <cfRule type="expression" dxfId="1173" priority="1051">
      <formula>AND(R7=1,IF(COUNTIF(R$7:R$12,"=1")&gt;=2,TRUE))</formula>
    </cfRule>
  </conditionalFormatting>
  <conditionalFormatting sqref="F7 C10 H7">
    <cfRule type="aboveAverage" dxfId="1172" priority="1057"/>
  </conditionalFormatting>
  <conditionalFormatting sqref="G7 C11">
    <cfRule type="aboveAverage" dxfId="1171" priority="1060"/>
  </conditionalFormatting>
  <conditionalFormatting sqref="F8 D10 H8">
    <cfRule type="aboveAverage" dxfId="1170" priority="1062"/>
  </conditionalFormatting>
  <conditionalFormatting sqref="G8 D11">
    <cfRule type="aboveAverage" dxfId="1169" priority="1065"/>
  </conditionalFormatting>
  <conditionalFormatting sqref="F9 E10 F12 H9 H12">
    <cfRule type="aboveAverage" dxfId="1168" priority="1067"/>
  </conditionalFormatting>
  <conditionalFormatting sqref="G9 E11 G12">
    <cfRule type="aboveAverage" dxfId="1167" priority="1072"/>
  </conditionalFormatting>
  <conditionalFormatting sqref="F11 G10 H11">
    <cfRule type="aboveAverage" dxfId="1166" priority="1075"/>
  </conditionalFormatting>
  <conditionalFormatting sqref="B300:B305">
    <cfRule type="expression" dxfId="1165" priority="1076">
      <formula>A300=3</formula>
    </cfRule>
    <cfRule type="expression" dxfId="1164" priority="1077">
      <formula>A300=2</formula>
    </cfRule>
    <cfRule type="expression" dxfId="1163" priority="1078">
      <formula>A300=1</formula>
    </cfRule>
    <cfRule type="containsBlanks" dxfId="1162" priority="1079">
      <formula>LEN(TRIM(B300))=0</formula>
    </cfRule>
    <cfRule type="duplicateValues" dxfId="1161" priority="1080"/>
  </conditionalFormatting>
  <pageMargins left="0.78740157480314965" right="0.39370078740157483" top="0.78740157480314965" bottom="0.39370078740157483" header="0.78740157480314965" footer="0"/>
  <pageSetup paperSize="9" fitToHeight="0" orientation="portrait" verticalDpi="1200" r:id="rId1"/>
  <headerFooter>
    <oddHeader>&amp;R&amp;P. leht &amp;N&amp; -st</oddHead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AP309"/>
  <sheetViews>
    <sheetView showGridLines="0" showRowColHeaders="0" workbookViewId="0">
      <pane ySplit="1" topLeftCell="A2" activePane="bottomLeft" state="frozen"/>
      <selection pane="bottomLeft" activeCell="A5" sqref="A5"/>
    </sheetView>
  </sheetViews>
  <sheetFormatPr defaultRowHeight="12.75" x14ac:dyDescent="0.2"/>
  <cols>
    <col min="1" max="1" width="3.28515625" style="1" customWidth="1"/>
    <col min="2" max="2" width="30.85546875" style="1" bestFit="1" customWidth="1"/>
    <col min="3" max="3" width="4.7109375" style="1" customWidth="1"/>
    <col min="4" max="4" width="1.140625" style="1" customWidth="1"/>
    <col min="5" max="5" width="2.7109375" style="1" customWidth="1"/>
    <col min="6" max="6" width="9.140625" style="1"/>
    <col min="7" max="7" width="2.7109375" style="1" customWidth="1"/>
    <col min="8" max="8" width="1.140625" style="1" customWidth="1"/>
    <col min="9" max="9" width="2.7109375" style="1" customWidth="1"/>
    <col min="10" max="10" width="9.140625" style="1"/>
    <col min="11" max="11" width="2.7109375" style="1" customWidth="1"/>
    <col min="12" max="12" width="1.140625" style="1" customWidth="1"/>
    <col min="13" max="13" width="2.7109375" style="1" customWidth="1"/>
    <col min="14" max="14" width="9.140625" style="1"/>
    <col min="15" max="15" width="2.7109375" style="1" customWidth="1"/>
    <col min="16" max="16" width="1.140625" style="1" customWidth="1"/>
    <col min="17" max="17" width="2.7109375" style="1" customWidth="1"/>
    <col min="18" max="18" width="9.140625" style="1"/>
    <col min="19" max="19" width="2.7109375" style="1" customWidth="1"/>
    <col min="20" max="20" width="1.140625" style="1" customWidth="1"/>
    <col min="21" max="21" width="2.7109375" style="1" customWidth="1"/>
    <col min="22" max="22" width="9.140625" style="1"/>
    <col min="23" max="23" width="5.7109375" style="1" bestFit="1" customWidth="1"/>
    <col min="24" max="24" width="5.5703125" style="1" hidden="1" customWidth="1"/>
    <col min="25" max="25" width="2.7109375" style="1" customWidth="1"/>
    <col min="26" max="26" width="1.140625" style="1" customWidth="1"/>
    <col min="27" max="27" width="2.7109375" style="1" customWidth="1"/>
    <col min="28" max="28" width="4.7109375" style="1" customWidth="1"/>
    <col min="29" max="29" width="9.140625" style="1"/>
    <col min="30" max="31" width="9.140625" style="1" hidden="1" customWidth="1"/>
    <col min="32" max="32" width="16.5703125" style="1" hidden="1" customWidth="1"/>
    <col min="33" max="33" width="9.140625" style="1" hidden="1" customWidth="1"/>
    <col min="34" max="34" width="18.7109375" style="1" hidden="1" customWidth="1"/>
    <col min="35" max="35" width="9.140625" style="1" hidden="1" customWidth="1"/>
    <col min="36" max="36" width="17.28515625" style="1" hidden="1" customWidth="1"/>
    <col min="37" max="37" width="9.140625" style="1" hidden="1" customWidth="1"/>
    <col min="38" max="38" width="13.85546875" style="1" hidden="1" customWidth="1"/>
    <col min="39" max="39" width="9.140625" style="1" hidden="1" customWidth="1"/>
    <col min="40" max="40" width="17.28515625" style="1" hidden="1" customWidth="1"/>
    <col min="41" max="41" width="9.140625" style="1" hidden="1" customWidth="1"/>
    <col min="42" max="42" width="13.85546875" style="1" hidden="1" customWidth="1"/>
    <col min="43" max="16384" width="9.140625" style="1"/>
  </cols>
  <sheetData>
    <row r="1" spans="1:42" x14ac:dyDescent="0.2">
      <c r="A1" s="400" t="str">
        <f>UPPER((Kalend!E38)&amp;" - "&amp;(Kalend!C38))&amp;" - "&amp;LOWER(Kalend!D38)&amp;" - "&amp;(Kalend!A38)&amp;" kell "&amp;(Kalend!B38)&amp;" - "&amp;(Kalend!F38)</f>
        <v>IV-D - IDA-VIRUMAA SISE-MV - duo - P, 01.03.2020 kell 11:00 - Voka petangihall</v>
      </c>
      <c r="O1" s="271"/>
      <c r="P1" s="271"/>
      <c r="Q1" s="312"/>
      <c r="R1" s="312"/>
      <c r="S1" s="312"/>
      <c r="T1" s="70"/>
      <c r="U1" s="70"/>
      <c r="V1" s="70"/>
      <c r="W1" s="271"/>
      <c r="X1" s="402"/>
      <c r="Y1" s="271"/>
      <c r="Z1" s="271"/>
      <c r="AD1" s="152" t="s">
        <v>94</v>
      </c>
      <c r="AE1" s="402"/>
      <c r="AF1" s="402"/>
      <c r="AG1" s="402"/>
      <c r="AH1" s="402"/>
      <c r="AI1" s="402"/>
      <c r="AJ1" s="402"/>
      <c r="AK1" s="402"/>
      <c r="AL1" s="402"/>
      <c r="AM1" s="402"/>
      <c r="AN1" s="402"/>
      <c r="AO1" s="532"/>
      <c r="AP1" s="532"/>
    </row>
    <row r="2" spans="1:42" hidden="1" x14ac:dyDescent="0.2">
      <c r="A2" s="151"/>
      <c r="B2" s="151"/>
      <c r="C2" s="151"/>
      <c r="D2" s="151"/>
      <c r="E2" s="151"/>
      <c r="F2" s="271"/>
      <c r="G2" s="151"/>
      <c r="H2" s="151"/>
      <c r="I2" s="151"/>
      <c r="J2" s="151"/>
      <c r="K2" s="151"/>
      <c r="L2" s="409"/>
      <c r="M2" s="409"/>
      <c r="N2" s="409"/>
      <c r="O2" s="271"/>
      <c r="P2" s="271"/>
      <c r="Q2" s="271"/>
      <c r="R2" s="271"/>
      <c r="S2" s="151"/>
      <c r="T2" s="151"/>
      <c r="U2" s="151"/>
      <c r="V2" s="410" t="s">
        <v>253</v>
      </c>
      <c r="W2" s="411">
        <v>1</v>
      </c>
      <c r="X2" s="151"/>
      <c r="Y2" s="271" t="s">
        <v>254</v>
      </c>
      <c r="Z2" s="151"/>
      <c r="AA2" s="151"/>
      <c r="AB2" s="151"/>
      <c r="AD2" s="271"/>
      <c r="AE2" s="271"/>
      <c r="AF2" s="271"/>
      <c r="AG2" s="271"/>
      <c r="AH2" s="271"/>
      <c r="AI2" s="271"/>
      <c r="AJ2" s="412"/>
      <c r="AK2" s="271"/>
      <c r="AL2" s="271"/>
      <c r="AM2" s="271"/>
      <c r="AN2" s="271"/>
    </row>
    <row r="3" spans="1:42" hidden="1" x14ac:dyDescent="0.2">
      <c r="A3" s="151"/>
      <c r="B3" s="151"/>
      <c r="C3" s="151"/>
      <c r="D3" s="151"/>
      <c r="E3" s="151"/>
      <c r="F3" s="271"/>
      <c r="G3" s="151"/>
      <c r="H3" s="151"/>
      <c r="I3" s="151"/>
      <c r="J3" s="151"/>
      <c r="K3" s="151"/>
      <c r="L3" s="409"/>
      <c r="M3" s="409"/>
      <c r="N3" s="409"/>
      <c r="O3" s="271"/>
      <c r="P3" s="271"/>
      <c r="Q3" s="271"/>
      <c r="R3" s="271"/>
      <c r="S3" s="151"/>
      <c r="T3" s="151"/>
      <c r="U3" s="151"/>
      <c r="V3" s="413" t="s">
        <v>255</v>
      </c>
      <c r="W3" s="411">
        <v>0.5</v>
      </c>
      <c r="X3" s="151"/>
      <c r="Y3" s="271" t="s">
        <v>254</v>
      </c>
      <c r="Z3" s="151"/>
      <c r="AA3" s="151"/>
      <c r="AB3" s="151"/>
      <c r="AE3" s="271"/>
      <c r="AG3" s="271"/>
      <c r="AH3" s="271"/>
      <c r="AI3" s="271"/>
      <c r="AJ3" s="271"/>
      <c r="AK3" s="271"/>
      <c r="AL3" s="271"/>
      <c r="AM3" s="271"/>
      <c r="AN3" s="271"/>
    </row>
    <row r="4" spans="1:42" hidden="1" x14ac:dyDescent="0.2">
      <c r="A4" s="151"/>
      <c r="B4" s="151"/>
      <c r="C4" s="151"/>
      <c r="D4" s="151"/>
      <c r="E4" s="151"/>
      <c r="F4" s="271"/>
      <c r="G4" s="151"/>
      <c r="H4" s="151"/>
      <c r="I4" s="151"/>
      <c r="J4" s="151"/>
      <c r="K4" s="151"/>
      <c r="L4" s="271"/>
      <c r="M4" s="271"/>
      <c r="N4" s="271"/>
      <c r="O4" s="271"/>
      <c r="P4" s="271"/>
      <c r="Q4" s="271"/>
      <c r="R4" s="271"/>
      <c r="S4" s="151"/>
      <c r="T4" s="151"/>
      <c r="U4" s="151"/>
      <c r="V4" s="414" t="s">
        <v>256</v>
      </c>
      <c r="W4" s="411">
        <v>0</v>
      </c>
      <c r="X4" s="151"/>
      <c r="Y4" s="271" t="s">
        <v>254</v>
      </c>
      <c r="Z4" s="151"/>
      <c r="AA4" s="271"/>
      <c r="AB4" s="151"/>
      <c r="AE4" s="409"/>
      <c r="AF4" s="409"/>
      <c r="AG4" s="409"/>
      <c r="AH4" s="376"/>
      <c r="AI4" s="409"/>
      <c r="AJ4" s="409"/>
      <c r="AK4" s="409"/>
      <c r="AL4" s="409"/>
      <c r="AM4" s="409"/>
      <c r="AN4" s="409"/>
      <c r="AO4" s="409"/>
      <c r="AP4" s="409"/>
    </row>
    <row r="5" spans="1:42" x14ac:dyDescent="0.2">
      <c r="A5" s="151"/>
      <c r="B5" s="151"/>
      <c r="C5" s="151"/>
      <c r="D5" s="151"/>
      <c r="E5" s="151"/>
      <c r="F5" s="271"/>
      <c r="G5" s="151"/>
      <c r="H5" s="151"/>
      <c r="I5" s="151"/>
      <c r="J5" s="151"/>
      <c r="K5" s="151"/>
      <c r="L5" s="271"/>
      <c r="M5" s="271"/>
      <c r="N5" s="271"/>
      <c r="O5" s="271"/>
      <c r="P5" s="271"/>
      <c r="Q5" s="271"/>
      <c r="R5" s="271"/>
      <c r="S5" s="271"/>
      <c r="T5" s="271"/>
      <c r="U5" s="271"/>
      <c r="V5" s="271"/>
      <c r="W5" s="271"/>
      <c r="X5" s="271"/>
      <c r="Y5" s="271"/>
      <c r="Z5" s="271"/>
      <c r="AA5" s="967" t="s">
        <v>476</v>
      </c>
      <c r="AB5" s="151"/>
      <c r="AC5" s="271"/>
      <c r="AD5" s="964" t="s">
        <v>214</v>
      </c>
    </row>
    <row r="6" spans="1:42" x14ac:dyDescent="0.2">
      <c r="A6" s="607" t="s">
        <v>10</v>
      </c>
      <c r="B6" s="607" t="s">
        <v>79</v>
      </c>
      <c r="C6" s="608" t="s">
        <v>171</v>
      </c>
      <c r="D6" s="609"/>
      <c r="E6" s="609"/>
      <c r="F6" s="610"/>
      <c r="G6" s="608" t="s">
        <v>174</v>
      </c>
      <c r="H6" s="609"/>
      <c r="I6" s="609"/>
      <c r="J6" s="610"/>
      <c r="K6" s="608" t="s">
        <v>177</v>
      </c>
      <c r="L6" s="609"/>
      <c r="M6" s="609"/>
      <c r="N6" s="610"/>
      <c r="O6" s="608" t="s">
        <v>180</v>
      </c>
      <c r="P6" s="609"/>
      <c r="Q6" s="609"/>
      <c r="R6" s="610"/>
      <c r="S6" s="608" t="s">
        <v>182</v>
      </c>
      <c r="T6" s="609"/>
      <c r="U6" s="609"/>
      <c r="V6" s="610"/>
      <c r="W6" s="607" t="s">
        <v>102</v>
      </c>
      <c r="X6" s="611" t="s">
        <v>361</v>
      </c>
      <c r="Y6" s="611"/>
      <c r="Z6" s="612" t="s">
        <v>362</v>
      </c>
      <c r="AA6" s="613"/>
      <c r="AB6" s="271"/>
      <c r="AC6" s="271"/>
      <c r="AD6" s="272" t="s">
        <v>370</v>
      </c>
      <c r="AE6" s="273"/>
      <c r="AF6" s="273" t="s">
        <v>249</v>
      </c>
      <c r="AG6" s="273"/>
      <c r="AH6" s="403" t="s">
        <v>250</v>
      </c>
      <c r="AI6" s="273"/>
      <c r="AJ6" s="273" t="s">
        <v>251</v>
      </c>
      <c r="AK6" s="274"/>
      <c r="AL6" s="273" t="s">
        <v>252</v>
      </c>
      <c r="AM6" s="274"/>
      <c r="AN6" s="274" t="s">
        <v>472</v>
      </c>
      <c r="AO6" s="945"/>
      <c r="AP6" s="274" t="s">
        <v>473</v>
      </c>
    </row>
    <row r="7" spans="1:42" x14ac:dyDescent="0.2">
      <c r="A7" s="614">
        <v>1</v>
      </c>
      <c r="B7" s="459" t="s">
        <v>278</v>
      </c>
      <c r="C7" s="615">
        <v>13</v>
      </c>
      <c r="D7" s="616" t="s">
        <v>363</v>
      </c>
      <c r="E7" s="617">
        <v>5</v>
      </c>
      <c r="F7" s="618" t="str">
        <f>B9</f>
        <v>Elmo Lageda, Tõnu Piik</v>
      </c>
      <c r="G7" s="615">
        <v>13</v>
      </c>
      <c r="H7" s="616" t="s">
        <v>363</v>
      </c>
      <c r="I7" s="617">
        <v>10</v>
      </c>
      <c r="J7" s="618" t="str">
        <f>B12</f>
        <v>Kaspar Mänd, Urmas Randlaine</v>
      </c>
      <c r="K7" s="615">
        <v>13</v>
      </c>
      <c r="L7" s="616" t="s">
        <v>363</v>
      </c>
      <c r="M7" s="617">
        <v>8</v>
      </c>
      <c r="N7" s="618" t="str">
        <f>B8</f>
        <v>Matti Vinni, Vladimir Ogneštšikov</v>
      </c>
      <c r="O7" s="615">
        <v>13</v>
      </c>
      <c r="P7" s="616" t="s">
        <v>363</v>
      </c>
      <c r="Q7" s="617">
        <v>3</v>
      </c>
      <c r="R7" s="618" t="str">
        <f>B10</f>
        <v>Janek Tarto, Romek Tarto</v>
      </c>
      <c r="S7" s="615">
        <v>13</v>
      </c>
      <c r="T7" s="616" t="s">
        <v>363</v>
      </c>
      <c r="U7" s="617">
        <v>6</v>
      </c>
      <c r="V7" s="618" t="str">
        <f>B14</f>
        <v>Jaan Sepp, Oskar Sepp</v>
      </c>
      <c r="W7" s="619">
        <f t="shared" ref="W7:W16" si="0">IF(C7&gt;E7,W$2,IF(C7&lt;E7,W$4,IF(ISNUMBER(C7),W$3,0)))+IF(G7&gt;I7,W$2,IF(G7&lt;I7,W$4,IF(ISNUMBER(G7),W$3,0)))+IF(K7&gt;M7,W$2,IF(K7&lt;M7,W$4,IF(ISNUMBER(K7),W$3,0)))+IF(O7&gt;Q7,W$2,IF(O7&lt;Q7,W$4,IF(ISNUMBER(O7),W$3,0)))+IF(S7&gt;U7,W$2,IF(S7&lt;U7,W$4,IF(ISNUMBER(S7),W$3,0)))</f>
        <v>5</v>
      </c>
      <c r="X7" s="620"/>
      <c r="Y7" s="615">
        <f>C7+G7+K7+O7+S7</f>
        <v>65</v>
      </c>
      <c r="Z7" s="616" t="s">
        <v>363</v>
      </c>
      <c r="AA7" s="621">
        <f>E7+I7+M7+Q7+U7</f>
        <v>32</v>
      </c>
      <c r="AB7" s="622">
        <f>Y7-AA7</f>
        <v>33</v>
      </c>
      <c r="AD7" s="405">
        <f>SUM(AE7:AP7)</f>
        <v>365</v>
      </c>
      <c r="AE7" s="406">
        <f>IFERROR(INDEX(V!$R:$R,MATCH(AF7,V!$L:$L,0)),"")</f>
        <v>187</v>
      </c>
      <c r="AF7" s="407" t="str">
        <f>IFERROR(LEFT($B7,(FIND(",",$B7,1)-1)),"")</f>
        <v>Kenneth Muusikus</v>
      </c>
      <c r="AG7" s="406">
        <f>IFERROR(INDEX(V!$R:$R,MATCH(AH7,V!$L:$L,0)),"")</f>
        <v>178</v>
      </c>
      <c r="AH7" s="407" t="str">
        <f>IFERROR(MID($B7,FIND(", ",$B7)+2,256),"")</f>
        <v>Mait Metsla</v>
      </c>
      <c r="AI7" s="406" t="str">
        <f>IFERROR(INDEX(V!$R:$R,MATCH(AJ7,V!$L:$L,0)),"")</f>
        <v/>
      </c>
      <c r="AJ7" s="407" t="str">
        <f>IFERROR(MID($B7,FIND("^",SUBSTITUTE($B7,", ","^",1))+2,FIND("^",SUBSTITUTE($B7,", ","^",2))-FIND("^",SUBSTITUTE($B7,", ","^",1))-2),"")</f>
        <v/>
      </c>
      <c r="AK7" s="406" t="str">
        <f>IFERROR(INDEX(V!$R:$R,MATCH(AL7,V!$L:$L,0)),"")</f>
        <v/>
      </c>
      <c r="AL7" s="407" t="str">
        <f>IFERROR(MID($B7,FIND(", ",$B7,FIND(", ",$B7,FIND(", ",$B7))+1)+2,30000),"")</f>
        <v/>
      </c>
      <c r="AM7" s="406" t="str">
        <f>IFERROR(INDEX(V!$R:$R,MATCH(AN7,V!$L:$L,0)),"")</f>
        <v/>
      </c>
      <c r="AN7" s="407" t="str">
        <f>IFERROR(MID($B7,FIND(", ",$B7,FIND(", ",$B7)+1)+2,FIND(", ",$B7,FIND(", ",$B7,FIND(", ",$B7)+1)+1)-FIND(", ",$B7,FIND(", ",$B7)+1)-2),"")</f>
        <v/>
      </c>
      <c r="AO7" s="406" t="str">
        <f>IFERROR(INDEX(V!$R:$R,MATCH(AP7,V!$L:$L,0)),"")</f>
        <v/>
      </c>
      <c r="AP7" s="407" t="str">
        <f>IFERROR(MID($B7,FIND(", ",$B7,FIND(", ",$B7,FIND(", ",$B7)+1)+1)+2,30000),"")</f>
        <v/>
      </c>
    </row>
    <row r="8" spans="1:42" x14ac:dyDescent="0.2">
      <c r="A8" s="614">
        <v>2</v>
      </c>
      <c r="B8" s="459" t="s">
        <v>282</v>
      </c>
      <c r="C8" s="615">
        <v>13</v>
      </c>
      <c r="D8" s="616" t="s">
        <v>363</v>
      </c>
      <c r="E8" s="617">
        <v>7</v>
      </c>
      <c r="F8" s="618" t="str">
        <f>B13</f>
        <v>Andrei Grintšak, Oleg Rõndenkov</v>
      </c>
      <c r="G8" s="615">
        <v>10</v>
      </c>
      <c r="H8" s="616" t="s">
        <v>363</v>
      </c>
      <c r="I8" s="617">
        <v>13</v>
      </c>
      <c r="J8" s="618" t="str">
        <f>B7</f>
        <v>Kenneth Muusikus, Mait Metsla</v>
      </c>
      <c r="K8" s="615">
        <v>13</v>
      </c>
      <c r="L8" s="616" t="s">
        <v>363</v>
      </c>
      <c r="M8" s="617">
        <v>6</v>
      </c>
      <c r="N8" s="618" t="str">
        <f>B15</f>
        <v>Enn Tokman, Tarmo Bombe</v>
      </c>
      <c r="O8" s="615">
        <v>13</v>
      </c>
      <c r="P8" s="616" t="s">
        <v>363</v>
      </c>
      <c r="Q8" s="617">
        <v>10</v>
      </c>
      <c r="R8" s="618" t="str">
        <f>B12</f>
        <v>Kaspar Mänd, Urmas Randlaine</v>
      </c>
      <c r="S8" s="615">
        <v>13</v>
      </c>
      <c r="T8" s="616" t="s">
        <v>363</v>
      </c>
      <c r="U8" s="617">
        <v>3</v>
      </c>
      <c r="V8" s="618" t="str">
        <f>B10</f>
        <v>Janek Tarto, Romek Tarto</v>
      </c>
      <c r="W8" s="619">
        <f t="shared" si="0"/>
        <v>4</v>
      </c>
      <c r="X8" s="620"/>
      <c r="Y8" s="615">
        <f t="shared" ref="Y8:Y16" si="1">C8+G8+K8+O8+S8</f>
        <v>62</v>
      </c>
      <c r="Z8" s="616" t="s">
        <v>363</v>
      </c>
      <c r="AA8" s="621">
        <f t="shared" ref="AA8:AA16" si="2">E8+I8+M8+Q8+U8</f>
        <v>39</v>
      </c>
      <c r="AB8" s="622">
        <f t="shared" ref="AB8:AB16" si="3">Y8-AA8</f>
        <v>23</v>
      </c>
      <c r="AD8" s="405">
        <f t="shared" ref="AD8:AD16" si="4">SUM(AE8:AP8)</f>
        <v>320</v>
      </c>
      <c r="AE8" s="406">
        <f>IFERROR(INDEX(V!$R:$R,MATCH(AF8,V!$L:$L,0)),"")</f>
        <v>168</v>
      </c>
      <c r="AF8" s="407" t="str">
        <f t="shared" ref="AF8:AF16" si="5">IFERROR(LEFT($B8,(FIND(",",$B8,1)-1)),"")</f>
        <v>Matti Vinni</v>
      </c>
      <c r="AG8" s="406">
        <f>IFERROR(INDEX(V!$R:$R,MATCH(AH8,V!$L:$L,0)),"")</f>
        <v>152</v>
      </c>
      <c r="AH8" s="407" t="str">
        <f t="shared" ref="AH8:AH16" si="6">IFERROR(MID($B8,FIND(", ",$B8)+2,256),"")</f>
        <v>Vladimir Ogneštšikov</v>
      </c>
      <c r="AI8" s="406" t="str">
        <f>IFERROR(INDEX(V!$R:$R,MATCH(AJ8,V!$L:$L,0)),"")</f>
        <v/>
      </c>
      <c r="AJ8" s="407" t="str">
        <f t="shared" ref="AJ8:AJ16" si="7">IFERROR(MID($B8,FIND("^",SUBSTITUTE($B8,", ","^",1))+2,FIND("^",SUBSTITUTE($B8,", ","^",2))-FIND("^",SUBSTITUTE($B8,", ","^",1))-2),"")</f>
        <v/>
      </c>
      <c r="AK8" s="406" t="str">
        <f>IFERROR(INDEX(V!$R:$R,MATCH(AL8,V!$L:$L,0)),"")</f>
        <v/>
      </c>
      <c r="AL8" s="407" t="str">
        <f t="shared" ref="AL8:AL16" si="8">IFERROR(MID($B8,FIND(", ",$B8,FIND(", ",$B8,FIND(", ",$B8))+1)+2,30000),"")</f>
        <v/>
      </c>
      <c r="AM8" s="406" t="str">
        <f>IFERROR(INDEX(V!$R:$R,MATCH(AN8,V!$L:$L,0)),"")</f>
        <v/>
      </c>
      <c r="AN8" s="407" t="str">
        <f t="shared" ref="AN8:AN16" si="9">IFERROR(MID($B8,FIND(", ",$B8,FIND(", ",$B8)+1)+2,FIND(", ",$B8,FIND(", ",$B8,FIND(", ",$B8)+1)+1)-FIND(", ",$B8,FIND(", ",$B8)+1)-2),"")</f>
        <v/>
      </c>
      <c r="AO8" s="406" t="str">
        <f>IFERROR(INDEX(V!$R:$R,MATCH(AP8,V!$L:$L,0)),"")</f>
        <v/>
      </c>
      <c r="AP8" s="407" t="str">
        <f t="shared" ref="AP8:AP16" si="10">IFERROR(MID($B8,FIND(", ",$B8,FIND(", ",$B8,FIND(", ",$B8)+1)+1)+2,30000),"")</f>
        <v/>
      </c>
    </row>
    <row r="9" spans="1:42" x14ac:dyDescent="0.2">
      <c r="A9" s="614">
        <v>3</v>
      </c>
      <c r="B9" s="479" t="s">
        <v>273</v>
      </c>
      <c r="C9" s="615">
        <v>5</v>
      </c>
      <c r="D9" s="616" t="s">
        <v>363</v>
      </c>
      <c r="E9" s="617">
        <v>13</v>
      </c>
      <c r="F9" s="618" t="str">
        <f>B7</f>
        <v>Kenneth Muusikus, Mait Metsla</v>
      </c>
      <c r="G9" s="615">
        <v>13</v>
      </c>
      <c r="H9" s="616" t="s">
        <v>363</v>
      </c>
      <c r="I9" s="617">
        <v>10</v>
      </c>
      <c r="J9" s="618" t="str">
        <f>B13</f>
        <v>Andrei Grintšak, Oleg Rõndenkov</v>
      </c>
      <c r="K9" s="615">
        <v>13</v>
      </c>
      <c r="L9" s="616" t="s">
        <v>363</v>
      </c>
      <c r="M9" s="617">
        <v>2</v>
      </c>
      <c r="N9" s="618" t="str">
        <f>B16</f>
        <v>Karla Purgats, Lemmit Toomra</v>
      </c>
      <c r="O9" s="615">
        <v>6</v>
      </c>
      <c r="P9" s="616" t="s">
        <v>363</v>
      </c>
      <c r="Q9" s="617">
        <v>13</v>
      </c>
      <c r="R9" s="618" t="str">
        <f>B14</f>
        <v>Jaan Sepp, Oskar Sepp</v>
      </c>
      <c r="S9" s="615">
        <v>13</v>
      </c>
      <c r="T9" s="616" t="s">
        <v>363</v>
      </c>
      <c r="U9" s="617">
        <v>9</v>
      </c>
      <c r="V9" s="618" t="str">
        <f>B15</f>
        <v>Enn Tokman, Tarmo Bombe</v>
      </c>
      <c r="W9" s="1116">
        <f>IF(C9&gt;E9,W$2,IF(C9&lt;E9,W$4,IF(ISNUMBER(C9),W$3,0)))+IF(G9&gt;I9,W$2,IF(G9&lt;I9,W$4,IF(ISNUMBER(G9),W$3,0)))+IF(K9&gt;M9,W$2,IF(K9&lt;M9,W$4,IF(ISNUMBER(K9),W$3,0)))+IF(O9&gt;Q9,W$2,IF(O9&lt;Q9,W$4,IF(ISNUMBER(O9),W$3,0)))+IF(S9&gt;U9,W$2,IF(S9&lt;U9,W$4,IF(ISNUMBER(S9),W$3,0)))</f>
        <v>3</v>
      </c>
      <c r="X9" s="620"/>
      <c r="Y9" s="615">
        <f>C9+G9+K9+O9+S9</f>
        <v>50</v>
      </c>
      <c r="Z9" s="616" t="s">
        <v>363</v>
      </c>
      <c r="AA9" s="621">
        <f>E9+I9+M9+Q9+U9</f>
        <v>47</v>
      </c>
      <c r="AB9" s="622">
        <f>Y9-AA9</f>
        <v>3</v>
      </c>
      <c r="AD9" s="405">
        <f>SUM(AE9:AP9)</f>
        <v>233.5</v>
      </c>
      <c r="AE9" s="406">
        <f>IFERROR(INDEX(V!$R:$R,MATCH(AF9,V!$L:$L,0)),"")</f>
        <v>100</v>
      </c>
      <c r="AF9" s="407" t="str">
        <f>IFERROR(LEFT($B9,(FIND(",",$B9,1)-1)),"")</f>
        <v>Elmo Lageda</v>
      </c>
      <c r="AG9" s="406">
        <f>IFERROR(INDEX(V!$R:$R,MATCH(AH9,V!$L:$L,0)),"")</f>
        <v>133.5</v>
      </c>
      <c r="AH9" s="407" t="str">
        <f>IFERROR(MID($B9,FIND(", ",$B9)+2,256),"")</f>
        <v>Tõnu Piik</v>
      </c>
      <c r="AI9" s="406" t="str">
        <f>IFERROR(INDEX(V!$R:$R,MATCH(AJ9,V!$L:$L,0)),"")</f>
        <v/>
      </c>
      <c r="AJ9" s="407" t="str">
        <f>IFERROR(MID($B9,FIND("^",SUBSTITUTE($B9,", ","^",1))+2,FIND("^",SUBSTITUTE($B9,", ","^",2))-FIND("^",SUBSTITUTE($B9,", ","^",1))-2),"")</f>
        <v/>
      </c>
      <c r="AK9" s="406" t="str">
        <f>IFERROR(INDEX(V!$R:$R,MATCH(AL9,V!$L:$L,0)),"")</f>
        <v/>
      </c>
      <c r="AL9" s="407" t="str">
        <f>IFERROR(MID($B9,FIND(", ",$B9,FIND(", ",$B9,FIND(", ",$B9))+1)+2,30000),"")</f>
        <v/>
      </c>
      <c r="AM9" s="406" t="str">
        <f>IFERROR(INDEX(V!$R:$R,MATCH(AN9,V!$L:$L,0)),"")</f>
        <v/>
      </c>
      <c r="AN9" s="407" t="str">
        <f>IFERROR(MID($B9,FIND(", ",$B9,FIND(", ",$B9)+1)+2,FIND(", ",$B9,FIND(", ",$B9,FIND(", ",$B9)+1)+1)-FIND(", ",$B9,FIND(", ",$B9)+1)-2),"")</f>
        <v/>
      </c>
      <c r="AO9" s="406" t="str">
        <f>IFERROR(INDEX(V!$R:$R,MATCH(AP9,V!$L:$L,0)),"")</f>
        <v/>
      </c>
      <c r="AP9" s="407" t="str">
        <f>IFERROR(MID($B9,FIND(", ",$B9,FIND(", ",$B9,FIND(", ",$B9)+1)+1)+2,30000),"")</f>
        <v/>
      </c>
    </row>
    <row r="10" spans="1:42" x14ac:dyDescent="0.2">
      <c r="A10" s="614">
        <v>4</v>
      </c>
      <c r="B10" s="479" t="s">
        <v>587</v>
      </c>
      <c r="C10" s="615">
        <v>13</v>
      </c>
      <c r="D10" s="616" t="s">
        <v>363</v>
      </c>
      <c r="E10" s="617">
        <v>11</v>
      </c>
      <c r="F10" s="618" t="str">
        <f>B16</f>
        <v>Karla Purgats, Lemmit Toomra</v>
      </c>
      <c r="G10" s="615">
        <v>13</v>
      </c>
      <c r="H10" s="616" t="s">
        <v>363</v>
      </c>
      <c r="I10" s="617">
        <v>9</v>
      </c>
      <c r="J10" s="618" t="str">
        <f>B15</f>
        <v>Enn Tokman, Tarmo Bombe</v>
      </c>
      <c r="K10" s="615">
        <v>13</v>
      </c>
      <c r="L10" s="616" t="s">
        <v>363</v>
      </c>
      <c r="M10" s="617">
        <v>6</v>
      </c>
      <c r="N10" s="618" t="str">
        <f>B14</f>
        <v>Jaan Sepp, Oskar Sepp</v>
      </c>
      <c r="O10" s="615">
        <v>3</v>
      </c>
      <c r="P10" s="616" t="s">
        <v>363</v>
      </c>
      <c r="Q10" s="617">
        <v>13</v>
      </c>
      <c r="R10" s="618" t="str">
        <f>B7</f>
        <v>Kenneth Muusikus, Mait Metsla</v>
      </c>
      <c r="S10" s="615">
        <v>3</v>
      </c>
      <c r="T10" s="616" t="s">
        <v>363</v>
      </c>
      <c r="U10" s="617">
        <v>13</v>
      </c>
      <c r="V10" s="618" t="str">
        <f>B8</f>
        <v>Matti Vinni, Vladimir Ogneštšikov</v>
      </c>
      <c r="W10" s="1116">
        <f t="shared" si="0"/>
        <v>3</v>
      </c>
      <c r="X10" s="620"/>
      <c r="Y10" s="615">
        <f t="shared" si="1"/>
        <v>45</v>
      </c>
      <c r="Z10" s="616" t="s">
        <v>363</v>
      </c>
      <c r="AA10" s="621">
        <f t="shared" si="2"/>
        <v>52</v>
      </c>
      <c r="AB10" s="622">
        <f t="shared" si="3"/>
        <v>-7</v>
      </c>
      <c r="AD10" s="405">
        <f t="shared" si="4"/>
        <v>90</v>
      </c>
      <c r="AE10" s="406">
        <f>IFERROR(INDEX(V!$R:$R,MATCH(AF10,V!$L:$L,0)),"")</f>
        <v>90</v>
      </c>
      <c r="AF10" s="407" t="str">
        <f t="shared" si="5"/>
        <v>Janek Tarto</v>
      </c>
      <c r="AG10" s="406" t="str">
        <f>IFERROR(INDEX(V!$R:$R,MATCH(AH10,V!$L:$L,0)),"")</f>
        <v/>
      </c>
      <c r="AH10" s="407" t="str">
        <f t="shared" si="6"/>
        <v>Romek Tarto</v>
      </c>
      <c r="AI10" s="406" t="str">
        <f>IFERROR(INDEX(V!$R:$R,MATCH(AJ10,V!$L:$L,0)),"")</f>
        <v/>
      </c>
      <c r="AJ10" s="407" t="str">
        <f t="shared" si="7"/>
        <v/>
      </c>
      <c r="AK10" s="406" t="str">
        <f>IFERROR(INDEX(V!$R:$R,MATCH(AL10,V!$L:$L,0)),"")</f>
        <v/>
      </c>
      <c r="AL10" s="407" t="str">
        <f t="shared" si="8"/>
        <v/>
      </c>
      <c r="AM10" s="406" t="str">
        <f>IFERROR(INDEX(V!$R:$R,MATCH(AN10,V!$L:$L,0)),"")</f>
        <v/>
      </c>
      <c r="AN10" s="407" t="str">
        <f t="shared" si="9"/>
        <v/>
      </c>
      <c r="AO10" s="406" t="str">
        <f>IFERROR(INDEX(V!$R:$R,MATCH(AP10,V!$L:$L,0)),"")</f>
        <v/>
      </c>
      <c r="AP10" s="407" t="str">
        <f t="shared" si="10"/>
        <v/>
      </c>
    </row>
    <row r="11" spans="1:42" x14ac:dyDescent="0.2">
      <c r="A11" s="614">
        <v>5</v>
      </c>
      <c r="B11" s="459" t="s">
        <v>588</v>
      </c>
      <c r="C11" s="615">
        <v>8</v>
      </c>
      <c r="D11" s="616" t="s">
        <v>363</v>
      </c>
      <c r="E11" s="617">
        <v>13</v>
      </c>
      <c r="F11" s="618" t="str">
        <f>B15</f>
        <v>Enn Tokman, Tarmo Bombe</v>
      </c>
      <c r="G11" s="615">
        <v>3</v>
      </c>
      <c r="H11" s="616" t="s">
        <v>363</v>
      </c>
      <c r="I11" s="617">
        <v>13</v>
      </c>
      <c r="J11" s="618" t="str">
        <f>B14</f>
        <v>Jaan Sepp, Oskar Sepp</v>
      </c>
      <c r="K11" s="615">
        <v>13</v>
      </c>
      <c r="L11" s="616" t="s">
        <v>363</v>
      </c>
      <c r="M11" s="617">
        <v>6</v>
      </c>
      <c r="N11" s="618" t="str">
        <f>B13</f>
        <v>Andrei Grintšak, Oleg Rõndenkov</v>
      </c>
      <c r="O11" s="615">
        <v>13</v>
      </c>
      <c r="P11" s="616" t="s">
        <v>363</v>
      </c>
      <c r="Q11" s="617">
        <v>9</v>
      </c>
      <c r="R11" s="618" t="str">
        <f>B16</f>
        <v>Karla Purgats, Lemmit Toomra</v>
      </c>
      <c r="S11" s="615">
        <v>13</v>
      </c>
      <c r="T11" s="616" t="s">
        <v>363</v>
      </c>
      <c r="U11" s="617">
        <v>7</v>
      </c>
      <c r="V11" s="618" t="str">
        <f>B12</f>
        <v>Kaspar Mänd, Urmas Randlaine</v>
      </c>
      <c r="W11" s="1116">
        <f t="shared" si="0"/>
        <v>3</v>
      </c>
      <c r="X11" s="620"/>
      <c r="Y11" s="615">
        <f t="shared" si="1"/>
        <v>50</v>
      </c>
      <c r="Z11" s="616" t="s">
        <v>363</v>
      </c>
      <c r="AA11" s="621">
        <f t="shared" si="2"/>
        <v>48</v>
      </c>
      <c r="AB11" s="622">
        <f t="shared" si="3"/>
        <v>2</v>
      </c>
      <c r="AD11" s="405">
        <f t="shared" si="4"/>
        <v>158</v>
      </c>
      <c r="AE11" s="406">
        <f>IFERROR(INDEX(V!$R:$R,MATCH(AF11,V!$L:$L,0)),"")</f>
        <v>90</v>
      </c>
      <c r="AF11" s="407" t="str">
        <f t="shared" si="5"/>
        <v>Henri Mitt</v>
      </c>
      <c r="AG11" s="406">
        <f>IFERROR(INDEX(V!$R:$R,MATCH(AH11,V!$L:$L,0)),"")</f>
        <v>68</v>
      </c>
      <c r="AH11" s="407" t="str">
        <f t="shared" si="6"/>
        <v>Peep Peenema</v>
      </c>
      <c r="AI11" s="406" t="str">
        <f>IFERROR(INDEX(V!$R:$R,MATCH(AJ11,V!$L:$L,0)),"")</f>
        <v/>
      </c>
      <c r="AJ11" s="407" t="str">
        <f t="shared" si="7"/>
        <v/>
      </c>
      <c r="AK11" s="406" t="str">
        <f>IFERROR(INDEX(V!$R:$R,MATCH(AL11,V!$L:$L,0)),"")</f>
        <v/>
      </c>
      <c r="AL11" s="407" t="str">
        <f t="shared" si="8"/>
        <v/>
      </c>
      <c r="AM11" s="406" t="str">
        <f>IFERROR(INDEX(V!$R:$R,MATCH(AN11,V!$L:$L,0)),"")</f>
        <v/>
      </c>
      <c r="AN11" s="407" t="str">
        <f t="shared" si="9"/>
        <v/>
      </c>
      <c r="AO11" s="406" t="str">
        <f>IFERROR(INDEX(V!$R:$R,MATCH(AP11,V!$L:$L,0)),"")</f>
        <v/>
      </c>
      <c r="AP11" s="407" t="str">
        <f t="shared" si="10"/>
        <v/>
      </c>
    </row>
    <row r="12" spans="1:42" x14ac:dyDescent="0.2">
      <c r="A12" s="614">
        <v>6</v>
      </c>
      <c r="B12" s="479" t="s">
        <v>270</v>
      </c>
      <c r="C12" s="615">
        <v>13</v>
      </c>
      <c r="D12" s="616" t="s">
        <v>363</v>
      </c>
      <c r="E12" s="617">
        <v>11</v>
      </c>
      <c r="F12" s="618" t="str">
        <f>B14</f>
        <v>Jaan Sepp, Oskar Sepp</v>
      </c>
      <c r="G12" s="615">
        <v>13</v>
      </c>
      <c r="H12" s="616" t="s">
        <v>363</v>
      </c>
      <c r="I12" s="617">
        <v>1</v>
      </c>
      <c r="J12" s="618" t="str">
        <f>B16</f>
        <v>Karla Purgats, Lemmit Toomra</v>
      </c>
      <c r="K12" s="615">
        <v>8</v>
      </c>
      <c r="L12" s="616" t="s">
        <v>363</v>
      </c>
      <c r="M12" s="617">
        <v>13</v>
      </c>
      <c r="N12" s="618" t="str">
        <f>B7</f>
        <v>Kenneth Muusikus, Mait Metsla</v>
      </c>
      <c r="O12" s="615">
        <v>10</v>
      </c>
      <c r="P12" s="616" t="s">
        <v>363</v>
      </c>
      <c r="Q12" s="617">
        <v>13</v>
      </c>
      <c r="R12" s="618" t="str">
        <f>B8</f>
        <v>Matti Vinni, Vladimir Ogneštšikov</v>
      </c>
      <c r="S12" s="615">
        <v>7</v>
      </c>
      <c r="T12" s="616" t="s">
        <v>363</v>
      </c>
      <c r="U12" s="617">
        <v>13</v>
      </c>
      <c r="V12" s="618" t="str">
        <f>B11</f>
        <v>Henri Mitt, Peep Peenema</v>
      </c>
      <c r="W12" s="619">
        <f t="shared" si="0"/>
        <v>2</v>
      </c>
      <c r="X12" s="620"/>
      <c r="Y12" s="615">
        <f t="shared" si="1"/>
        <v>51</v>
      </c>
      <c r="Z12" s="616" t="s">
        <v>363</v>
      </c>
      <c r="AA12" s="621">
        <f t="shared" si="2"/>
        <v>51</v>
      </c>
      <c r="AB12" s="622">
        <f t="shared" si="3"/>
        <v>0</v>
      </c>
      <c r="AD12" s="405">
        <f t="shared" si="4"/>
        <v>302</v>
      </c>
      <c r="AE12" s="406">
        <f>IFERROR(INDEX(V!$R:$R,MATCH(AF12,V!$L:$L,0)),"")</f>
        <v>164</v>
      </c>
      <c r="AF12" s="407" t="str">
        <f t="shared" si="5"/>
        <v>Kaspar Mänd</v>
      </c>
      <c r="AG12" s="406">
        <f>IFERROR(INDEX(V!$R:$R,MATCH(AH12,V!$L:$L,0)),"")</f>
        <v>138</v>
      </c>
      <c r="AH12" s="407" t="str">
        <f t="shared" si="6"/>
        <v>Urmas Randlaine</v>
      </c>
      <c r="AI12" s="406" t="str">
        <f>IFERROR(INDEX(V!$R:$R,MATCH(AJ12,V!$L:$L,0)),"")</f>
        <v/>
      </c>
      <c r="AJ12" s="407" t="str">
        <f t="shared" si="7"/>
        <v/>
      </c>
      <c r="AK12" s="406" t="str">
        <f>IFERROR(INDEX(V!$R:$R,MATCH(AL12,V!$L:$L,0)),"")</f>
        <v/>
      </c>
      <c r="AL12" s="407" t="str">
        <f t="shared" si="8"/>
        <v/>
      </c>
      <c r="AM12" s="406" t="str">
        <f>IFERROR(INDEX(V!$R:$R,MATCH(AN12,V!$L:$L,0)),"")</f>
        <v/>
      </c>
      <c r="AN12" s="407" t="str">
        <f t="shared" si="9"/>
        <v/>
      </c>
      <c r="AO12" s="406" t="str">
        <f>IFERROR(INDEX(V!$R:$R,MATCH(AP12,V!$L:$L,0)),"")</f>
        <v/>
      </c>
      <c r="AP12" s="407" t="str">
        <f t="shared" si="10"/>
        <v/>
      </c>
    </row>
    <row r="13" spans="1:42" x14ac:dyDescent="0.2">
      <c r="A13" s="614">
        <v>7</v>
      </c>
      <c r="B13" s="623" t="s">
        <v>501</v>
      </c>
      <c r="C13" s="615">
        <v>7</v>
      </c>
      <c r="D13" s="616" t="s">
        <v>363</v>
      </c>
      <c r="E13" s="617">
        <v>13</v>
      </c>
      <c r="F13" s="618" t="str">
        <f>B8</f>
        <v>Matti Vinni, Vladimir Ogneštšikov</v>
      </c>
      <c r="G13" s="615">
        <v>10</v>
      </c>
      <c r="H13" s="616" t="s">
        <v>363</v>
      </c>
      <c r="I13" s="617">
        <v>13</v>
      </c>
      <c r="J13" s="618" t="str">
        <f>B9</f>
        <v>Elmo Lageda, Tõnu Piik</v>
      </c>
      <c r="K13" s="615">
        <v>6</v>
      </c>
      <c r="L13" s="616" t="s">
        <v>363</v>
      </c>
      <c r="M13" s="617">
        <v>13</v>
      </c>
      <c r="N13" s="618" t="str">
        <f>B11</f>
        <v>Henri Mitt, Peep Peenema</v>
      </c>
      <c r="O13" s="615">
        <v>13</v>
      </c>
      <c r="P13" s="616" t="s">
        <v>363</v>
      </c>
      <c r="Q13" s="617">
        <v>12</v>
      </c>
      <c r="R13" s="618" t="str">
        <f>B15</f>
        <v>Enn Tokman, Tarmo Bombe</v>
      </c>
      <c r="S13" s="615">
        <v>13</v>
      </c>
      <c r="T13" s="616" t="s">
        <v>363</v>
      </c>
      <c r="U13" s="617">
        <v>3</v>
      </c>
      <c r="V13" s="618" t="str">
        <f>B16</f>
        <v>Karla Purgats, Lemmit Toomra</v>
      </c>
      <c r="W13" s="619">
        <f t="shared" si="0"/>
        <v>2</v>
      </c>
      <c r="X13" s="620"/>
      <c r="Y13" s="615">
        <f t="shared" si="1"/>
        <v>49</v>
      </c>
      <c r="Z13" s="616" t="s">
        <v>363</v>
      </c>
      <c r="AA13" s="621">
        <f t="shared" si="2"/>
        <v>54</v>
      </c>
      <c r="AB13" s="622">
        <f t="shared" si="3"/>
        <v>-5</v>
      </c>
      <c r="AD13" s="405">
        <f t="shared" si="4"/>
        <v>274</v>
      </c>
      <c r="AE13" s="406">
        <f>IFERROR(INDEX(V!$R:$R,MATCH(AF13,V!$L:$L,0)),"")</f>
        <v>148</v>
      </c>
      <c r="AF13" s="407" t="str">
        <f t="shared" si="5"/>
        <v>Andrei Grintšak</v>
      </c>
      <c r="AG13" s="406">
        <f>IFERROR(INDEX(V!$R:$R,MATCH(AH13,V!$L:$L,0)),"")</f>
        <v>126</v>
      </c>
      <c r="AH13" s="407" t="str">
        <f t="shared" si="6"/>
        <v>Oleg Rõndenkov</v>
      </c>
      <c r="AI13" s="406" t="str">
        <f>IFERROR(INDEX(V!$R:$R,MATCH(AJ13,V!$L:$L,0)),"")</f>
        <v/>
      </c>
      <c r="AJ13" s="407" t="str">
        <f t="shared" si="7"/>
        <v/>
      </c>
      <c r="AK13" s="406" t="str">
        <f>IFERROR(INDEX(V!$R:$R,MATCH(AL13,V!$L:$L,0)),"")</f>
        <v/>
      </c>
      <c r="AL13" s="407" t="str">
        <f t="shared" si="8"/>
        <v/>
      </c>
      <c r="AM13" s="406" t="str">
        <f>IFERROR(INDEX(V!$R:$R,MATCH(AN13,V!$L:$L,0)),"")</f>
        <v/>
      </c>
      <c r="AN13" s="407" t="str">
        <f t="shared" si="9"/>
        <v/>
      </c>
      <c r="AO13" s="406" t="str">
        <f>IFERROR(INDEX(V!$R:$R,MATCH(AP13,V!$L:$L,0)),"")</f>
        <v/>
      </c>
      <c r="AP13" s="407" t="str">
        <f t="shared" si="10"/>
        <v/>
      </c>
    </row>
    <row r="14" spans="1:42" x14ac:dyDescent="0.2">
      <c r="A14" s="614">
        <v>8</v>
      </c>
      <c r="B14" s="623" t="s">
        <v>276</v>
      </c>
      <c r="C14" s="615">
        <v>11</v>
      </c>
      <c r="D14" s="616" t="s">
        <v>363</v>
      </c>
      <c r="E14" s="617">
        <v>13</v>
      </c>
      <c r="F14" s="618" t="str">
        <f>B12</f>
        <v>Kaspar Mänd, Urmas Randlaine</v>
      </c>
      <c r="G14" s="615">
        <v>13</v>
      </c>
      <c r="H14" s="616" t="s">
        <v>363</v>
      </c>
      <c r="I14" s="617">
        <v>3</v>
      </c>
      <c r="J14" s="618" t="str">
        <f>B11</f>
        <v>Henri Mitt, Peep Peenema</v>
      </c>
      <c r="K14" s="615">
        <v>6</v>
      </c>
      <c r="L14" s="616" t="s">
        <v>363</v>
      </c>
      <c r="M14" s="617">
        <v>13</v>
      </c>
      <c r="N14" s="618" t="str">
        <f>B10</f>
        <v>Janek Tarto, Romek Tarto</v>
      </c>
      <c r="O14" s="615">
        <v>13</v>
      </c>
      <c r="P14" s="616" t="s">
        <v>363</v>
      </c>
      <c r="Q14" s="617">
        <v>6</v>
      </c>
      <c r="R14" s="618" t="str">
        <f>B9</f>
        <v>Elmo Lageda, Tõnu Piik</v>
      </c>
      <c r="S14" s="615">
        <v>6</v>
      </c>
      <c r="T14" s="616" t="s">
        <v>363</v>
      </c>
      <c r="U14" s="617">
        <v>13</v>
      </c>
      <c r="V14" s="618" t="str">
        <f>B7</f>
        <v>Kenneth Muusikus, Mait Metsla</v>
      </c>
      <c r="W14" s="619">
        <f t="shared" si="0"/>
        <v>2</v>
      </c>
      <c r="X14" s="620"/>
      <c r="Y14" s="615">
        <f t="shared" si="1"/>
        <v>49</v>
      </c>
      <c r="Z14" s="616" t="s">
        <v>363</v>
      </c>
      <c r="AA14" s="621">
        <f t="shared" si="2"/>
        <v>48</v>
      </c>
      <c r="AB14" s="622">
        <f t="shared" si="3"/>
        <v>1</v>
      </c>
      <c r="AD14" s="405">
        <f t="shared" si="4"/>
        <v>356</v>
      </c>
      <c r="AE14" s="406">
        <f>IFERROR(INDEX(V!$R:$R,MATCH(AF14,V!$L:$L,0)),"")</f>
        <v>178</v>
      </c>
      <c r="AF14" s="407" t="str">
        <f t="shared" si="5"/>
        <v>Jaan Sepp</v>
      </c>
      <c r="AG14" s="406">
        <f>IFERROR(INDEX(V!$R:$R,MATCH(AH14,V!$L:$L,0)),"")</f>
        <v>178</v>
      </c>
      <c r="AH14" s="407" t="str">
        <f t="shared" si="6"/>
        <v>Oskar Sepp</v>
      </c>
      <c r="AI14" s="406" t="str">
        <f>IFERROR(INDEX(V!$R:$R,MATCH(AJ14,V!$L:$L,0)),"")</f>
        <v/>
      </c>
      <c r="AJ14" s="407" t="str">
        <f t="shared" si="7"/>
        <v/>
      </c>
      <c r="AK14" s="406" t="str">
        <f>IFERROR(INDEX(V!$R:$R,MATCH(AL14,V!$L:$L,0)),"")</f>
        <v/>
      </c>
      <c r="AL14" s="407" t="str">
        <f t="shared" si="8"/>
        <v/>
      </c>
      <c r="AM14" s="406" t="str">
        <f>IFERROR(INDEX(V!$R:$R,MATCH(AN14,V!$L:$L,0)),"")</f>
        <v/>
      </c>
      <c r="AN14" s="407" t="str">
        <f t="shared" si="9"/>
        <v/>
      </c>
      <c r="AO14" s="406" t="str">
        <f>IFERROR(INDEX(V!$R:$R,MATCH(AP14,V!$L:$L,0)),"")</f>
        <v/>
      </c>
      <c r="AP14" s="407" t="str">
        <f t="shared" si="10"/>
        <v/>
      </c>
    </row>
    <row r="15" spans="1:42" x14ac:dyDescent="0.2">
      <c r="A15" s="614">
        <v>9</v>
      </c>
      <c r="B15" s="479" t="s">
        <v>280</v>
      </c>
      <c r="C15" s="615">
        <v>13</v>
      </c>
      <c r="D15" s="616" t="s">
        <v>363</v>
      </c>
      <c r="E15" s="617">
        <v>8</v>
      </c>
      <c r="F15" s="618" t="str">
        <f>B11</f>
        <v>Henri Mitt, Peep Peenema</v>
      </c>
      <c r="G15" s="615">
        <v>9</v>
      </c>
      <c r="H15" s="616" t="s">
        <v>363</v>
      </c>
      <c r="I15" s="617">
        <v>13</v>
      </c>
      <c r="J15" s="618" t="str">
        <f>B10</f>
        <v>Janek Tarto, Romek Tarto</v>
      </c>
      <c r="K15" s="615">
        <v>6</v>
      </c>
      <c r="L15" s="616" t="s">
        <v>363</v>
      </c>
      <c r="M15" s="617">
        <v>13</v>
      </c>
      <c r="N15" s="618" t="str">
        <f>B8</f>
        <v>Matti Vinni, Vladimir Ogneštšikov</v>
      </c>
      <c r="O15" s="615">
        <v>12</v>
      </c>
      <c r="P15" s="616" t="s">
        <v>363</v>
      </c>
      <c r="Q15" s="617">
        <v>13</v>
      </c>
      <c r="R15" s="618" t="str">
        <f>B13</f>
        <v>Andrei Grintšak, Oleg Rõndenkov</v>
      </c>
      <c r="S15" s="615">
        <v>9</v>
      </c>
      <c r="T15" s="616" t="s">
        <v>363</v>
      </c>
      <c r="U15" s="617">
        <v>13</v>
      </c>
      <c r="V15" s="618" t="str">
        <f>B9</f>
        <v>Elmo Lageda, Tõnu Piik</v>
      </c>
      <c r="W15" s="1115">
        <f t="shared" si="0"/>
        <v>1</v>
      </c>
      <c r="X15" s="620"/>
      <c r="Y15" s="615">
        <f t="shared" si="1"/>
        <v>49</v>
      </c>
      <c r="Z15" s="616" t="s">
        <v>363</v>
      </c>
      <c r="AA15" s="621">
        <f t="shared" si="2"/>
        <v>60</v>
      </c>
      <c r="AB15" s="622">
        <f t="shared" si="3"/>
        <v>-11</v>
      </c>
      <c r="AD15" s="405">
        <f t="shared" si="4"/>
        <v>223</v>
      </c>
      <c r="AE15" s="406">
        <f>IFERROR(INDEX(V!$R:$R,MATCH(AF15,V!$L:$L,0)),"")</f>
        <v>118</v>
      </c>
      <c r="AF15" s="407" t="str">
        <f t="shared" si="5"/>
        <v>Enn Tokman</v>
      </c>
      <c r="AG15" s="406">
        <f>IFERROR(INDEX(V!$R:$R,MATCH(AH15,V!$L:$L,0)),"")</f>
        <v>105</v>
      </c>
      <c r="AH15" s="407" t="str">
        <f t="shared" si="6"/>
        <v>Tarmo Bombe</v>
      </c>
      <c r="AI15" s="406" t="str">
        <f>IFERROR(INDEX(V!$R:$R,MATCH(AJ15,V!$L:$L,0)),"")</f>
        <v/>
      </c>
      <c r="AJ15" s="407" t="str">
        <f t="shared" si="7"/>
        <v/>
      </c>
      <c r="AK15" s="406" t="str">
        <f>IFERROR(INDEX(V!$R:$R,MATCH(AL15,V!$L:$L,0)),"")</f>
        <v/>
      </c>
      <c r="AL15" s="407" t="str">
        <f t="shared" si="8"/>
        <v/>
      </c>
      <c r="AM15" s="406" t="str">
        <f>IFERROR(INDEX(V!$R:$R,MATCH(AN15,V!$L:$L,0)),"")</f>
        <v/>
      </c>
      <c r="AN15" s="407" t="str">
        <f t="shared" si="9"/>
        <v/>
      </c>
      <c r="AO15" s="406" t="str">
        <f>IFERROR(INDEX(V!$R:$R,MATCH(AP15,V!$L:$L,0)),"")</f>
        <v/>
      </c>
      <c r="AP15" s="407" t="str">
        <f t="shared" si="10"/>
        <v/>
      </c>
    </row>
    <row r="16" spans="1:42" x14ac:dyDescent="0.2">
      <c r="A16" s="614">
        <v>10</v>
      </c>
      <c r="B16" s="459" t="s">
        <v>274</v>
      </c>
      <c r="C16" s="615">
        <v>11</v>
      </c>
      <c r="D16" s="616" t="s">
        <v>363</v>
      </c>
      <c r="E16" s="617">
        <v>13</v>
      </c>
      <c r="F16" s="618" t="str">
        <f>B10</f>
        <v>Janek Tarto, Romek Tarto</v>
      </c>
      <c r="G16" s="615">
        <v>1</v>
      </c>
      <c r="H16" s="616" t="s">
        <v>363</v>
      </c>
      <c r="I16" s="617">
        <v>13</v>
      </c>
      <c r="J16" s="618" t="str">
        <f>B12</f>
        <v>Kaspar Mänd, Urmas Randlaine</v>
      </c>
      <c r="K16" s="615">
        <v>2</v>
      </c>
      <c r="L16" s="616" t="s">
        <v>363</v>
      </c>
      <c r="M16" s="617">
        <v>13</v>
      </c>
      <c r="N16" s="618" t="str">
        <f>B9</f>
        <v>Elmo Lageda, Tõnu Piik</v>
      </c>
      <c r="O16" s="615">
        <v>9</v>
      </c>
      <c r="P16" s="616" t="s">
        <v>363</v>
      </c>
      <c r="Q16" s="617">
        <v>13</v>
      </c>
      <c r="R16" s="618" t="str">
        <f>B11</f>
        <v>Henri Mitt, Peep Peenema</v>
      </c>
      <c r="S16" s="615">
        <v>3</v>
      </c>
      <c r="T16" s="616" t="s">
        <v>363</v>
      </c>
      <c r="U16" s="617">
        <v>13</v>
      </c>
      <c r="V16" s="618" t="str">
        <f>B13</f>
        <v>Andrei Grintšak, Oleg Rõndenkov</v>
      </c>
      <c r="W16" s="619">
        <f t="shared" si="0"/>
        <v>0</v>
      </c>
      <c r="X16" s="620"/>
      <c r="Y16" s="615">
        <f t="shared" si="1"/>
        <v>26</v>
      </c>
      <c r="Z16" s="616" t="s">
        <v>363</v>
      </c>
      <c r="AA16" s="621">
        <f t="shared" si="2"/>
        <v>65</v>
      </c>
      <c r="AB16" s="622">
        <f t="shared" si="3"/>
        <v>-39</v>
      </c>
      <c r="AD16" s="405">
        <f t="shared" si="4"/>
        <v>276</v>
      </c>
      <c r="AE16" s="406">
        <f>IFERROR(INDEX(V!$R:$R,MATCH(AF16,V!$L:$L,0)),"")</f>
        <v>150.5</v>
      </c>
      <c r="AF16" s="407" t="str">
        <f t="shared" si="5"/>
        <v>Karla Purgats</v>
      </c>
      <c r="AG16" s="406">
        <f>IFERROR(INDEX(V!$R:$R,MATCH(AH16,V!$L:$L,0)),"")</f>
        <v>125.5</v>
      </c>
      <c r="AH16" s="407" t="str">
        <f t="shared" si="6"/>
        <v>Lemmit Toomra</v>
      </c>
      <c r="AI16" s="406" t="str">
        <f>IFERROR(INDEX(V!$R:$R,MATCH(AJ16,V!$L:$L,0)),"")</f>
        <v/>
      </c>
      <c r="AJ16" s="407" t="str">
        <f t="shared" si="7"/>
        <v/>
      </c>
      <c r="AK16" s="406" t="str">
        <f>IFERROR(INDEX(V!$R:$R,MATCH(AL16,V!$L:$L,0)),"")</f>
        <v/>
      </c>
      <c r="AL16" s="407" t="str">
        <f t="shared" si="8"/>
        <v/>
      </c>
      <c r="AM16" s="406" t="str">
        <f>IFERROR(INDEX(V!$R:$R,MATCH(AN16,V!$L:$L,0)),"")</f>
        <v/>
      </c>
      <c r="AN16" s="407" t="str">
        <f t="shared" si="9"/>
        <v/>
      </c>
      <c r="AO16" s="406" t="str">
        <f>IFERROR(INDEX(V!$R:$R,MATCH(AP16,V!$L:$L,0)),"")</f>
        <v/>
      </c>
      <c r="AP16" s="407" t="str">
        <f t="shared" si="10"/>
        <v/>
      </c>
    </row>
    <row r="18" spans="1:22" x14ac:dyDescent="0.2">
      <c r="A18" s="412" t="s">
        <v>593</v>
      </c>
    </row>
    <row r="19" spans="1:22" x14ac:dyDescent="0.2">
      <c r="A19" s="1" t="s">
        <v>592</v>
      </c>
    </row>
    <row r="21" spans="1:22" x14ac:dyDescent="0.2">
      <c r="A21" s="703" t="s">
        <v>435</v>
      </c>
      <c r="B21" s="704"/>
      <c r="C21" s="704"/>
      <c r="D21" s="704"/>
      <c r="E21" s="704"/>
      <c r="F21" s="704"/>
      <c r="G21" s="704"/>
      <c r="H21" s="704"/>
      <c r="I21" s="704"/>
      <c r="J21" s="704"/>
      <c r="K21" s="704"/>
      <c r="L21" s="704"/>
      <c r="M21" s="704"/>
      <c r="N21" s="704"/>
      <c r="O21" s="704"/>
      <c r="P21" s="704"/>
      <c r="Q21" s="704"/>
      <c r="R21" s="704"/>
      <c r="S21" s="704"/>
      <c r="T21" s="704"/>
      <c r="U21" s="704"/>
      <c r="V21" s="704"/>
    </row>
    <row r="22" spans="1:22" x14ac:dyDescent="0.2">
      <c r="A22" s="704"/>
      <c r="B22" s="704"/>
      <c r="C22" s="704"/>
      <c r="D22" s="704"/>
      <c r="E22" s="704"/>
      <c r="F22" s="704"/>
      <c r="G22" s="704"/>
      <c r="H22" s="704"/>
      <c r="I22" s="704"/>
      <c r="J22" s="704"/>
      <c r="K22" s="704"/>
      <c r="L22" s="704"/>
      <c r="M22" s="704"/>
      <c r="N22" s="704"/>
      <c r="O22" s="704"/>
      <c r="P22" s="704"/>
      <c r="Q22" s="704"/>
      <c r="R22" s="704"/>
      <c r="S22" s="704"/>
      <c r="T22" s="704"/>
      <c r="U22" s="704"/>
      <c r="V22" s="704"/>
    </row>
    <row r="23" spans="1:22" x14ac:dyDescent="0.2">
      <c r="A23" s="676"/>
      <c r="B23" s="705"/>
      <c r="C23" s="706">
        <v>1</v>
      </c>
      <c r="D23" s="706"/>
      <c r="E23" s="706"/>
      <c r="F23" s="707">
        <v>5</v>
      </c>
      <c r="G23" s="706">
        <v>10</v>
      </c>
      <c r="H23" s="706"/>
      <c r="I23" s="706"/>
      <c r="J23" s="707" t="s">
        <v>102</v>
      </c>
      <c r="K23" s="708"/>
      <c r="L23" s="684" t="s">
        <v>169</v>
      </c>
      <c r="M23" s="709"/>
      <c r="N23" s="704"/>
      <c r="O23" s="704"/>
      <c r="P23" s="704"/>
      <c r="Q23" s="711"/>
      <c r="R23" s="704"/>
      <c r="U23" s="1" t="s">
        <v>591</v>
      </c>
    </row>
    <row r="24" spans="1:22" x14ac:dyDescent="0.2">
      <c r="A24" s="708">
        <v>1</v>
      </c>
      <c r="B24" s="678" t="s">
        <v>273</v>
      </c>
      <c r="C24" s="712"/>
      <c r="D24" s="712"/>
      <c r="E24" s="712"/>
      <c r="F24" s="713"/>
      <c r="G24" s="714"/>
      <c r="H24" s="714"/>
      <c r="I24" s="714"/>
      <c r="J24" s="715">
        <v>0</v>
      </c>
      <c r="K24" s="1029">
        <v>1</v>
      </c>
      <c r="L24" s="714"/>
      <c r="M24" s="717"/>
      <c r="N24" s="718" t="s">
        <v>441</v>
      </c>
      <c r="O24" s="704"/>
      <c r="P24" s="704"/>
      <c r="Q24" s="719"/>
      <c r="R24" s="1121" t="s">
        <v>187</v>
      </c>
      <c r="U24" s="1102" t="s">
        <v>188</v>
      </c>
    </row>
    <row r="25" spans="1:22" x14ac:dyDescent="0.2">
      <c r="A25" s="708">
        <v>5</v>
      </c>
      <c r="B25" s="678" t="s">
        <v>587</v>
      </c>
      <c r="C25" s="721"/>
      <c r="D25" s="721"/>
      <c r="E25" s="721"/>
      <c r="F25" s="722"/>
      <c r="G25" s="714"/>
      <c r="H25" s="714"/>
      <c r="I25" s="714"/>
      <c r="J25" s="715">
        <v>0</v>
      </c>
      <c r="K25" s="1029">
        <v>3</v>
      </c>
      <c r="L25" s="714"/>
      <c r="M25" s="717"/>
      <c r="N25" s="727" t="s">
        <v>589</v>
      </c>
      <c r="O25" s="704"/>
      <c r="P25" s="704"/>
      <c r="Q25" s="699"/>
      <c r="R25" s="1121" t="s">
        <v>189</v>
      </c>
      <c r="U25" s="1102" t="s">
        <v>187</v>
      </c>
    </row>
    <row r="26" spans="1:22" x14ac:dyDescent="0.2">
      <c r="A26" s="708">
        <v>10</v>
      </c>
      <c r="B26" s="663" t="s">
        <v>588</v>
      </c>
      <c r="C26" s="721"/>
      <c r="D26" s="721"/>
      <c r="E26" s="714"/>
      <c r="F26" s="715"/>
      <c r="G26" s="712"/>
      <c r="H26" s="712"/>
      <c r="I26" s="712"/>
      <c r="J26" s="715">
        <v>0</v>
      </c>
      <c r="K26" s="708">
        <v>2</v>
      </c>
      <c r="L26" s="721"/>
      <c r="M26" s="726"/>
      <c r="N26" s="727" t="s">
        <v>590</v>
      </c>
      <c r="O26" s="704"/>
      <c r="P26" s="704"/>
      <c r="Q26" s="699"/>
      <c r="R26" s="1121" t="s">
        <v>188</v>
      </c>
      <c r="U26" s="1102" t="s">
        <v>189</v>
      </c>
    </row>
    <row r="28" spans="1:22" x14ac:dyDescent="0.2">
      <c r="A28" s="703" t="s">
        <v>437</v>
      </c>
      <c r="B28" s="704"/>
      <c r="C28" s="704"/>
      <c r="D28" s="704"/>
      <c r="E28" s="704"/>
      <c r="F28" s="704"/>
      <c r="G28" s="704"/>
      <c r="H28" s="704"/>
      <c r="I28" s="704"/>
      <c r="J28" s="704"/>
      <c r="K28" s="704"/>
      <c r="L28" s="704"/>
      <c r="M28" s="704"/>
      <c r="N28" s="704"/>
      <c r="O28" s="704"/>
      <c r="P28" s="704"/>
      <c r="Q28" s="704"/>
      <c r="R28" s="704"/>
      <c r="S28" s="704"/>
      <c r="T28" s="704"/>
      <c r="U28" s="704"/>
      <c r="V28" s="704"/>
    </row>
    <row r="29" spans="1:22" x14ac:dyDescent="0.2">
      <c r="A29" s="704"/>
      <c r="B29" s="704"/>
      <c r="C29" s="704"/>
      <c r="D29" s="704"/>
      <c r="E29" s="704"/>
      <c r="F29" s="704"/>
      <c r="G29" s="704"/>
      <c r="H29" s="704"/>
      <c r="I29" s="704"/>
      <c r="J29" s="704"/>
      <c r="K29" s="704"/>
      <c r="L29" s="704"/>
      <c r="M29" s="704"/>
      <c r="N29" s="704"/>
      <c r="O29" s="704"/>
      <c r="P29" s="704"/>
      <c r="Q29" s="704"/>
      <c r="R29" s="704"/>
      <c r="S29" s="704"/>
      <c r="T29" s="704"/>
      <c r="U29" s="704"/>
      <c r="V29" s="704"/>
    </row>
    <row r="30" spans="1:22" x14ac:dyDescent="0.2">
      <c r="A30" s="676"/>
      <c r="B30" s="705"/>
      <c r="C30" s="706">
        <v>6</v>
      </c>
      <c r="D30" s="706"/>
      <c r="E30" s="706"/>
      <c r="F30" s="707">
        <v>7</v>
      </c>
      <c r="G30" s="706">
        <v>8</v>
      </c>
      <c r="H30" s="706"/>
      <c r="I30" s="706"/>
      <c r="J30" s="707" t="s">
        <v>102</v>
      </c>
      <c r="K30" s="708"/>
      <c r="L30" s="684" t="s">
        <v>169</v>
      </c>
      <c r="M30" s="709"/>
      <c r="N30" s="699"/>
      <c r="O30" s="704"/>
      <c r="P30" s="704"/>
      <c r="R30" s="704"/>
      <c r="S30" s="704"/>
      <c r="T30" s="704"/>
      <c r="U30" s="704"/>
      <c r="V30" s="704"/>
    </row>
    <row r="31" spans="1:22" x14ac:dyDescent="0.2">
      <c r="A31" s="708">
        <v>6</v>
      </c>
      <c r="B31" s="678" t="s">
        <v>270</v>
      </c>
      <c r="C31" s="712"/>
      <c r="D31" s="712"/>
      <c r="E31" s="712"/>
      <c r="F31" s="713"/>
      <c r="G31" s="706">
        <v>13</v>
      </c>
      <c r="H31" s="721"/>
      <c r="I31" s="721"/>
      <c r="J31" s="1101" t="s">
        <v>421</v>
      </c>
      <c r="K31" s="1029">
        <v>1</v>
      </c>
      <c r="L31" s="714"/>
      <c r="M31" s="717"/>
      <c r="N31" s="699"/>
      <c r="O31" s="704"/>
      <c r="P31" s="704"/>
      <c r="R31" s="701" t="s">
        <v>190</v>
      </c>
      <c r="S31" s="704"/>
      <c r="T31" s="704"/>
      <c r="U31" s="704"/>
    </row>
    <row r="32" spans="1:22" x14ac:dyDescent="0.2">
      <c r="A32" s="708">
        <v>7</v>
      </c>
      <c r="B32" s="724" t="s">
        <v>501</v>
      </c>
      <c r="C32" s="721"/>
      <c r="D32" s="721"/>
      <c r="E32" s="721"/>
      <c r="F32" s="722"/>
      <c r="G32" s="721"/>
      <c r="H32" s="721"/>
      <c r="I32" s="721"/>
      <c r="J32" s="715">
        <v>0</v>
      </c>
      <c r="K32" s="1029">
        <v>2</v>
      </c>
      <c r="L32" s="714"/>
      <c r="M32" s="717"/>
      <c r="N32" s="699"/>
      <c r="O32" s="704"/>
      <c r="P32" s="704"/>
      <c r="R32" s="701" t="s">
        <v>201</v>
      </c>
      <c r="S32" s="704"/>
      <c r="T32" s="704"/>
      <c r="U32" s="704"/>
    </row>
    <row r="33" spans="1:22" x14ac:dyDescent="0.2">
      <c r="A33" s="708">
        <v>8</v>
      </c>
      <c r="B33" s="724" t="s">
        <v>276</v>
      </c>
      <c r="C33" s="721">
        <v>11</v>
      </c>
      <c r="D33" s="721"/>
      <c r="E33" s="721"/>
      <c r="F33" s="713"/>
      <c r="G33" s="712"/>
      <c r="H33" s="712"/>
      <c r="I33" s="712"/>
      <c r="J33" s="1101" t="s">
        <v>422</v>
      </c>
      <c r="K33" s="708">
        <v>3</v>
      </c>
      <c r="L33" s="721"/>
      <c r="M33" s="726"/>
      <c r="N33" s="699"/>
      <c r="O33" s="704"/>
      <c r="P33" s="704"/>
      <c r="Q33" s="710"/>
      <c r="R33" s="701" t="s">
        <v>202</v>
      </c>
      <c r="S33" s="704"/>
      <c r="T33" s="704"/>
      <c r="U33" s="704"/>
    </row>
    <row r="34" spans="1:22" hidden="1" x14ac:dyDescent="0.2"/>
    <row r="35" spans="1:22" hidden="1" x14ac:dyDescent="0.2"/>
    <row r="36" spans="1:22" hidden="1" x14ac:dyDescent="0.2"/>
    <row r="37" spans="1:22" hidden="1" x14ac:dyDescent="0.2">
      <c r="A37" s="271"/>
      <c r="B37" s="271"/>
      <c r="C37" s="271"/>
      <c r="D37" s="271"/>
      <c r="E37" s="271"/>
      <c r="F37" s="271"/>
      <c r="G37" s="271"/>
      <c r="H37" s="271"/>
      <c r="I37" s="271"/>
      <c r="J37" s="271"/>
      <c r="K37" s="271"/>
      <c r="L37" s="271"/>
      <c r="M37" s="271"/>
      <c r="O37" s="271"/>
      <c r="P37" s="271"/>
      <c r="Q37" s="271"/>
      <c r="R37" s="412"/>
      <c r="S37" s="271"/>
      <c r="T37" s="271"/>
      <c r="U37" s="271"/>
      <c r="V37" s="271"/>
    </row>
    <row r="38" spans="1:22" hidden="1" x14ac:dyDescent="0.2"/>
    <row r="39" spans="1:22" hidden="1" x14ac:dyDescent="0.2"/>
    <row r="40" spans="1:22" hidden="1" x14ac:dyDescent="0.2"/>
    <row r="41" spans="1:22" hidden="1" x14ac:dyDescent="0.2"/>
    <row r="42" spans="1:22" hidden="1" x14ac:dyDescent="0.2"/>
    <row r="43" spans="1:22" hidden="1" x14ac:dyDescent="0.2"/>
    <row r="44" spans="1:22" hidden="1" x14ac:dyDescent="0.2"/>
    <row r="45" spans="1:22" hidden="1" x14ac:dyDescent="0.2"/>
    <row r="46" spans="1:22" hidden="1" x14ac:dyDescent="0.2"/>
    <row r="47" spans="1:22" hidden="1" x14ac:dyDescent="0.2"/>
    <row r="48" spans="1:22"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14" hidden="1" x14ac:dyDescent="0.2"/>
    <row r="290" spans="1:14" hidden="1" x14ac:dyDescent="0.2"/>
    <row r="291" spans="1:14" hidden="1" x14ac:dyDescent="0.2"/>
    <row r="292" spans="1:14" hidden="1" x14ac:dyDescent="0.2"/>
    <row r="293" spans="1:14" hidden="1" x14ac:dyDescent="0.2"/>
    <row r="294" spans="1:14" hidden="1" x14ac:dyDescent="0.2"/>
    <row r="295" spans="1:14" hidden="1" x14ac:dyDescent="0.2"/>
    <row r="296" spans="1:14" hidden="1" x14ac:dyDescent="0.2"/>
    <row r="297" spans="1:14" hidden="1" x14ac:dyDescent="0.2"/>
    <row r="298" spans="1:14" hidden="1" x14ac:dyDescent="0.2"/>
    <row r="299" spans="1:14" x14ac:dyDescent="0.2">
      <c r="B299" s="271"/>
      <c r="C299" s="401"/>
      <c r="N299" s="404"/>
    </row>
    <row r="300" spans="1:14" x14ac:dyDescent="0.2">
      <c r="A300" s="530">
        <v>1</v>
      </c>
      <c r="B300" s="625" t="str">
        <f t="shared" ref="B300:B309" si="11">IFERROR(INDEX(B$1:B$100,MATCH(A300,A$1:A$100,0)),"")</f>
        <v>Kenneth Muusikus, Mait Metsla</v>
      </c>
      <c r="C300" s="499"/>
      <c r="N300" s="404"/>
    </row>
    <row r="301" spans="1:14" x14ac:dyDescent="0.2">
      <c r="A301" s="530">
        <v>2</v>
      </c>
      <c r="B301" s="625" t="str">
        <f t="shared" si="11"/>
        <v>Matti Vinni, Vladimir Ogneštšikov</v>
      </c>
      <c r="C301" s="499"/>
      <c r="N301" s="404"/>
    </row>
    <row r="302" spans="1:14" x14ac:dyDescent="0.2">
      <c r="A302" s="530"/>
      <c r="B302" s="625" t="s">
        <v>273</v>
      </c>
      <c r="C302" s="499"/>
      <c r="N302" s="404"/>
    </row>
    <row r="303" spans="1:14" x14ac:dyDescent="0.2">
      <c r="A303" s="530"/>
      <c r="B303" s="625" t="s">
        <v>587</v>
      </c>
      <c r="C303" s="499"/>
      <c r="N303" s="404"/>
    </row>
    <row r="304" spans="1:14" x14ac:dyDescent="0.2">
      <c r="A304" s="530"/>
      <c r="B304" s="625" t="s">
        <v>588</v>
      </c>
      <c r="C304" s="499"/>
      <c r="N304" s="404"/>
    </row>
    <row r="305" spans="1:14" x14ac:dyDescent="0.2">
      <c r="A305" s="530">
        <v>6</v>
      </c>
      <c r="B305" s="625" t="str">
        <f t="shared" si="11"/>
        <v>Kaspar Mänd, Urmas Randlaine</v>
      </c>
      <c r="C305" s="499"/>
      <c r="N305" s="404"/>
    </row>
    <row r="306" spans="1:14" x14ac:dyDescent="0.2">
      <c r="A306" s="530">
        <v>7</v>
      </c>
      <c r="B306" s="625" t="str">
        <f t="shared" si="11"/>
        <v>Andrei Grintšak, Oleg Rõndenkov</v>
      </c>
      <c r="C306" s="499"/>
      <c r="N306" s="404"/>
    </row>
    <row r="307" spans="1:14" x14ac:dyDescent="0.2">
      <c r="A307" s="530">
        <v>8</v>
      </c>
      <c r="B307" s="625" t="str">
        <f t="shared" si="11"/>
        <v>Jaan Sepp, Oskar Sepp</v>
      </c>
      <c r="C307" s="499"/>
      <c r="N307" s="404"/>
    </row>
    <row r="308" spans="1:14" x14ac:dyDescent="0.2">
      <c r="A308" s="530">
        <v>9</v>
      </c>
      <c r="B308" s="625" t="str">
        <f t="shared" si="11"/>
        <v>Enn Tokman, Tarmo Bombe</v>
      </c>
      <c r="C308" s="499"/>
      <c r="N308" s="404"/>
    </row>
    <row r="309" spans="1:14" x14ac:dyDescent="0.2">
      <c r="A309" s="530">
        <v>10</v>
      </c>
      <c r="B309" s="625" t="str">
        <f t="shared" si="11"/>
        <v>Karla Purgats, Lemmit Toomra</v>
      </c>
      <c r="C309" s="499"/>
      <c r="N309" s="404"/>
    </row>
  </sheetData>
  <conditionalFormatting sqref="S7:S16 O7:O16 K7:K16 G7:G16 C7:C16">
    <cfRule type="expression" dxfId="1160" priority="13">
      <formula>AND(C7=0,E7=13)</formula>
    </cfRule>
  </conditionalFormatting>
  <conditionalFormatting sqref="C7:C16">
    <cfRule type="expression" dxfId="1159" priority="27">
      <formula>IF($C7&gt;$E7,TRUE)</formula>
    </cfRule>
  </conditionalFormatting>
  <conditionalFormatting sqref="E7:E16">
    <cfRule type="expression" dxfId="1158" priority="28">
      <formula>IF($C7&lt;$E7,TRUE)</formula>
    </cfRule>
  </conditionalFormatting>
  <conditionalFormatting sqref="K7:K16">
    <cfRule type="expression" dxfId="1157" priority="35">
      <formula>IF($K7&gt;$M7,TRUE)</formula>
    </cfRule>
  </conditionalFormatting>
  <conditionalFormatting sqref="M7:M16">
    <cfRule type="expression" dxfId="1156" priority="36">
      <formula>IF($K7&lt;$M7,TRUE)</formula>
    </cfRule>
  </conditionalFormatting>
  <conditionalFormatting sqref="O7:O16">
    <cfRule type="expression" dxfId="1155" priority="39">
      <formula>IF($O7&gt;$Q7,TRUE)</formula>
    </cfRule>
  </conditionalFormatting>
  <conditionalFormatting sqref="Q7:Q16">
    <cfRule type="expression" dxfId="1154" priority="40">
      <formula>IF($O7&lt;$Q7,TRUE)</formula>
    </cfRule>
  </conditionalFormatting>
  <conditionalFormatting sqref="S7:S16">
    <cfRule type="expression" dxfId="1153" priority="43">
      <formula>IF($S7&gt;$U7,TRUE)</formula>
    </cfRule>
  </conditionalFormatting>
  <conditionalFormatting sqref="U7:U16">
    <cfRule type="expression" dxfId="1152" priority="44">
      <formula>IF($S7&lt;$U7,TRUE)</formula>
    </cfRule>
  </conditionalFormatting>
  <conditionalFormatting sqref="G7:G16">
    <cfRule type="expression" dxfId="1151" priority="31">
      <formula>IF($G7&gt;$I7,TRUE)</formula>
    </cfRule>
  </conditionalFormatting>
  <conditionalFormatting sqref="I7:I16">
    <cfRule type="expression" dxfId="1150" priority="32">
      <formula>IF($G7&lt;$I7,TRUE)</formula>
    </cfRule>
  </conditionalFormatting>
  <conditionalFormatting sqref="F7:F16 N9:N16 R9:R16 V9:V16 J9:J16">
    <cfRule type="containsText" dxfId="1149" priority="18" operator="containsText" text="vaba voor">
      <formula>NOT(ISERROR(SEARCH("vaba voor",F7)))</formula>
    </cfRule>
  </conditionalFormatting>
  <conditionalFormatting sqref="N7:N8">
    <cfRule type="containsText" dxfId="1148" priority="16" operator="containsText" text="vaba voor">
      <formula>NOT(ISERROR(SEARCH("vaba voor",N7)))</formula>
    </cfRule>
  </conditionalFormatting>
  <conditionalFormatting sqref="R7:R8">
    <cfRule type="containsText" dxfId="1147" priority="19" operator="containsText" text="vaba voor">
      <formula>NOT(ISERROR(SEARCH("vaba voor",R7)))</formula>
    </cfRule>
  </conditionalFormatting>
  <conditionalFormatting sqref="V7:V8">
    <cfRule type="containsText" dxfId="1146" priority="15" operator="containsText" text="vaba voor">
      <formula>NOT(ISERROR(SEARCH("vaba voor",V7)))</formula>
    </cfRule>
  </conditionalFormatting>
  <conditionalFormatting sqref="J7:J8">
    <cfRule type="containsText" dxfId="1145" priority="17" operator="containsText" text="vaba voor">
      <formula>NOT(ISERROR(SEARCH("vaba voor",J7)))</formula>
    </cfRule>
  </conditionalFormatting>
  <conditionalFormatting sqref="C7:F16">
    <cfRule type="expression" dxfId="1144" priority="23">
      <formula>IF(AND(ISNUMBER($C7),$C7=$E7),TRUE)</formula>
    </cfRule>
    <cfRule type="expression" dxfId="1143" priority="25">
      <formula>IF($C7&gt;$E7,TRUE)</formula>
    </cfRule>
    <cfRule type="expression" dxfId="1142" priority="26">
      <formula>IF($C7&lt;$E7,TRUE)</formula>
    </cfRule>
  </conditionalFormatting>
  <conditionalFormatting sqref="G7:J16">
    <cfRule type="expression" dxfId="1141" priority="24">
      <formula>IF(AND(ISNUMBER($G7),$G7=$I7),TRUE)</formula>
    </cfRule>
    <cfRule type="expression" dxfId="1140" priority="29">
      <formula>IF($G7&gt;$I7,TRUE)</formula>
    </cfRule>
    <cfRule type="expression" dxfId="1139" priority="30">
      <formula>IF($G7&lt;$I7,TRUE)</formula>
    </cfRule>
  </conditionalFormatting>
  <conditionalFormatting sqref="K7:N16">
    <cfRule type="expression" dxfId="1138" priority="22">
      <formula>IF(AND(ISNUMBER($K7),$K7=$M7),TRUE)</formula>
    </cfRule>
    <cfRule type="expression" dxfId="1137" priority="33">
      <formula>IF($K7&gt;$M7,TRUE)</formula>
    </cfRule>
    <cfRule type="expression" dxfId="1136" priority="34">
      <formula>IF($K7&lt;$M7,TRUE)</formula>
    </cfRule>
  </conditionalFormatting>
  <conditionalFormatting sqref="O7:R16">
    <cfRule type="expression" dxfId="1135" priority="21">
      <formula>IF(AND(ISNUMBER($O7),$O7=$Q7),TRUE)</formula>
    </cfRule>
    <cfRule type="expression" dxfId="1134" priority="37">
      <formula>IF($O7&gt;$Q7,TRUE)</formula>
    </cfRule>
    <cfRule type="expression" dxfId="1133" priority="38">
      <formula>IF($O7&lt;$Q7,TRUE)</formula>
    </cfRule>
  </conditionalFormatting>
  <conditionalFormatting sqref="S7:V16">
    <cfRule type="expression" dxfId="1132" priority="20">
      <formula>IF(AND(ISNUMBER($S7),$S7=$U7),TRUE)</formula>
    </cfRule>
    <cfRule type="expression" dxfId="1131" priority="41">
      <formula>IF($S7&gt;$U7,TRUE)</formula>
    </cfRule>
    <cfRule type="expression" dxfId="1130" priority="42">
      <formula>IF($S7&lt;$U7,TRUE)</formula>
    </cfRule>
  </conditionalFormatting>
  <conditionalFormatting sqref="U7:U16 Q7:Q16 M7:M16 I7:I16 E7:E16">
    <cfRule type="expression" dxfId="1129" priority="14">
      <formula>AND(E7=0,C7=13)</formula>
    </cfRule>
  </conditionalFormatting>
  <conditionalFormatting sqref="A7:A16">
    <cfRule type="duplicateValues" dxfId="1128" priority="45"/>
  </conditionalFormatting>
  <conditionalFormatting sqref="AJ7:AJ16 AH9:AH16 AL9:AL16">
    <cfRule type="expression" dxfId="1127" priority="5">
      <formula>AND(AG7="",FIND(",",AH7))</formula>
    </cfRule>
    <cfRule type="expression" dxfId="1126" priority="7">
      <formula>AND(AG7="",COUNTIF(AH7,"*,*")=0)</formula>
    </cfRule>
  </conditionalFormatting>
  <conditionalFormatting sqref="AH7:AH8">
    <cfRule type="expression" dxfId="1125" priority="8">
      <formula>AND(AG7="",FIND(",",AH7))</formula>
    </cfRule>
    <cfRule type="expression" dxfId="1124" priority="9">
      <formula>AND(AG7="",COUNTIF(AH7,"*,*")=0)</formula>
    </cfRule>
  </conditionalFormatting>
  <conditionalFormatting sqref="AL7:AL8">
    <cfRule type="expression" dxfId="1123" priority="10">
      <formula>AND(AK7="",FIND(",",AL7))</formula>
    </cfRule>
    <cfRule type="expression" dxfId="1122" priority="11">
      <formula>AND(AK7="",COUNTIF(AL7,"*,*")=0)</formula>
    </cfRule>
  </conditionalFormatting>
  <conditionalFormatting sqref="AF7:AF16">
    <cfRule type="expression" dxfId="1121" priority="6">
      <formula>AND(AE7="",COUNTIF(AF7,"*,*")=0)</formula>
    </cfRule>
  </conditionalFormatting>
  <conditionalFormatting sqref="AN7:AN16 AP9:AP16">
    <cfRule type="expression" dxfId="1120" priority="2">
      <formula>AND(AM7="",COUNTIF(AN7,"*,*")=0)</formula>
    </cfRule>
    <cfRule type="expression" dxfId="1119" priority="4">
      <formula>AND(AM7="",FIND(",",AN7))</formula>
    </cfRule>
  </conditionalFormatting>
  <conditionalFormatting sqref="AP7:AP8">
    <cfRule type="expression" dxfId="1118" priority="1">
      <formula>AND(AO7="",COUNTIF(AP7,"*,*")=0)</formula>
    </cfRule>
    <cfRule type="expression" dxfId="1117" priority="3">
      <formula>AND(AO7="",FIND(",",AP7))</formula>
    </cfRule>
  </conditionalFormatting>
  <conditionalFormatting sqref="B300:B309">
    <cfRule type="expression" dxfId="1116" priority="1007">
      <formula>A300=3</formula>
    </cfRule>
    <cfRule type="expression" dxfId="1115" priority="1008">
      <formula>A300=2</formula>
    </cfRule>
    <cfRule type="expression" dxfId="1114" priority="1009">
      <formula>A300=1</formula>
    </cfRule>
    <cfRule type="containsBlanks" dxfId="1113" priority="1010">
      <formula>LEN(TRIM(B300))=0</formula>
    </cfRule>
    <cfRule type="duplicateValues" dxfId="1112" priority="1011"/>
  </conditionalFormatting>
  <conditionalFormatting sqref="A300:A309">
    <cfRule type="duplicateValues" dxfId="1111" priority="1012"/>
  </conditionalFormatting>
  <pageMargins left="0.78740157480314965" right="0.39370078740157483" top="0.78740157480314965" bottom="0.27559055118110237" header="0.78740157480314965" footer="0"/>
  <pageSetup paperSize="9" fitToHeight="0" orientation="landscape" verticalDpi="1200" r:id="rId1"/>
  <headerFooter>
    <oddHeader>&amp;R&amp;P. leht &amp;N&amp; -st</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AP312"/>
  <sheetViews>
    <sheetView showGridLines="0" showRowColHeaders="0" workbookViewId="0">
      <pane ySplit="1" topLeftCell="A2" activePane="bottomLeft" state="frozen"/>
      <selection pane="bottomLeft" activeCell="A5" sqref="A5"/>
    </sheetView>
  </sheetViews>
  <sheetFormatPr defaultRowHeight="12.75" x14ac:dyDescent="0.2"/>
  <cols>
    <col min="1" max="1" width="3.28515625" style="1" customWidth="1"/>
    <col min="2" max="2" width="29" style="1" bestFit="1" customWidth="1"/>
    <col min="3" max="3" width="4.7109375" style="1" customWidth="1"/>
    <col min="4" max="4" width="1.140625" style="1" customWidth="1"/>
    <col min="5" max="5" width="2.7109375" style="1" customWidth="1"/>
    <col min="6" max="6" width="9.140625" style="1"/>
    <col min="7" max="7" width="2.7109375" style="1" customWidth="1"/>
    <col min="8" max="8" width="1.140625" style="1" customWidth="1"/>
    <col min="9" max="9" width="2.7109375" style="1" customWidth="1"/>
    <col min="10" max="10" width="9.140625" style="1"/>
    <col min="11" max="11" width="2.7109375" style="1" customWidth="1"/>
    <col min="12" max="12" width="1.140625" style="1" customWidth="1"/>
    <col min="13" max="13" width="2.7109375" style="1" customWidth="1"/>
    <col min="14" max="14" width="9.140625" style="1"/>
    <col min="15" max="15" width="2.7109375" style="1" customWidth="1"/>
    <col min="16" max="16" width="1.140625" style="1" customWidth="1"/>
    <col min="17" max="17" width="2.7109375" style="1" customWidth="1"/>
    <col min="18" max="18" width="9.140625" style="1"/>
    <col min="19" max="19" width="2.7109375" style="1" customWidth="1"/>
    <col min="20" max="20" width="1.140625" style="1" customWidth="1"/>
    <col min="21" max="21" width="2.7109375" style="1" customWidth="1"/>
    <col min="22" max="22" width="9.140625" style="1"/>
    <col min="23" max="23" width="5.7109375" style="1" bestFit="1" customWidth="1"/>
    <col min="24" max="24" width="5.5703125" style="1" hidden="1" customWidth="1"/>
    <col min="25" max="25" width="2.7109375" style="1" customWidth="1"/>
    <col min="26" max="26" width="1.140625" style="1" customWidth="1"/>
    <col min="27" max="27" width="2.7109375" style="1" customWidth="1"/>
    <col min="28" max="28" width="4.7109375" style="1" customWidth="1"/>
    <col min="29" max="29" width="9.140625" style="1"/>
    <col min="30" max="31" width="9.140625" style="1" hidden="1" customWidth="1"/>
    <col min="32" max="32" width="16.5703125" style="1" hidden="1" customWidth="1"/>
    <col min="33" max="33" width="9.140625" style="1" hidden="1" customWidth="1"/>
    <col min="34" max="34" width="18.7109375" style="1" hidden="1" customWidth="1"/>
    <col min="35" max="35" width="9.140625" style="1" hidden="1" customWidth="1"/>
    <col min="36" max="36" width="20.85546875" style="1" hidden="1" customWidth="1"/>
    <col min="37" max="37" width="9.140625" style="1" hidden="1" customWidth="1"/>
    <col min="38" max="38" width="13.85546875" style="1" hidden="1" customWidth="1"/>
    <col min="39" max="39" width="9.140625" style="1" hidden="1" customWidth="1"/>
    <col min="40" max="40" width="17.28515625" style="1" hidden="1" customWidth="1"/>
    <col min="41" max="41" width="9.140625" style="1" hidden="1" customWidth="1"/>
    <col min="42" max="42" width="13.85546875" style="1" hidden="1" customWidth="1"/>
    <col min="43" max="16384" width="9.140625" style="1"/>
  </cols>
  <sheetData>
    <row r="1" spans="1:42" x14ac:dyDescent="0.2">
      <c r="A1" s="400" t="str">
        <f>UPPER((Kalend!E39)&amp;" - "&amp;(Kalend!C39))&amp;" - "&amp;LOWER(Kalend!D39)&amp;" - "&amp;(Kalend!A39)&amp;" kell "&amp;(Kalend!B39)&amp;" - "&amp;(Kalend!F39)</f>
        <v>V10 - VOKA III SISE-KV 10. ETAPP - duo - L, 07.03.2020 kell 11:00 - Voka petangihall</v>
      </c>
      <c r="O1" s="271"/>
      <c r="P1" s="271"/>
      <c r="Q1" s="312"/>
      <c r="R1" s="312"/>
      <c r="S1" s="312"/>
      <c r="T1" s="70"/>
      <c r="U1" s="70"/>
      <c r="V1" s="70"/>
      <c r="W1" s="271"/>
      <c r="X1" s="532"/>
      <c r="Y1" s="271"/>
      <c r="Z1" s="271"/>
      <c r="AD1" s="152" t="s">
        <v>94</v>
      </c>
      <c r="AE1" s="402"/>
      <c r="AF1" s="402"/>
      <c r="AG1" s="402"/>
      <c r="AH1" s="402"/>
      <c r="AI1" s="402"/>
      <c r="AJ1" s="402"/>
      <c r="AK1" s="402"/>
      <c r="AL1" s="402"/>
      <c r="AM1" s="402"/>
      <c r="AN1" s="402"/>
      <c r="AO1" s="532"/>
      <c r="AP1" s="532"/>
    </row>
    <row r="2" spans="1:42" hidden="1" x14ac:dyDescent="0.2">
      <c r="F2" s="271"/>
      <c r="L2" s="409"/>
      <c r="M2" s="409"/>
      <c r="N2" s="409"/>
      <c r="O2" s="271"/>
      <c r="P2" s="271"/>
      <c r="Q2" s="271"/>
      <c r="R2" s="271"/>
      <c r="S2" s="271"/>
      <c r="T2" s="409"/>
      <c r="U2" s="409"/>
      <c r="V2" s="410" t="s">
        <v>253</v>
      </c>
      <c r="W2" s="411">
        <v>1</v>
      </c>
      <c r="Y2" s="412" t="s">
        <v>254</v>
      </c>
      <c r="Z2" s="271"/>
      <c r="AD2" s="271"/>
      <c r="AE2" s="271"/>
      <c r="AF2" s="271"/>
      <c r="AG2" s="271"/>
      <c r="AH2" s="271"/>
      <c r="AI2" s="271"/>
      <c r="AJ2" s="412"/>
      <c r="AK2" s="271"/>
      <c r="AL2" s="271"/>
      <c r="AM2" s="271"/>
      <c r="AN2" s="271"/>
    </row>
    <row r="3" spans="1:42" hidden="1" x14ac:dyDescent="0.2">
      <c r="F3" s="271"/>
      <c r="L3" s="409"/>
      <c r="M3" s="409"/>
      <c r="N3" s="409"/>
      <c r="O3" s="271"/>
      <c r="P3" s="271"/>
      <c r="Q3" s="271"/>
      <c r="R3" s="271"/>
      <c r="S3" s="271"/>
      <c r="T3" s="409"/>
      <c r="U3" s="409"/>
      <c r="V3" s="413" t="s">
        <v>255</v>
      </c>
      <c r="W3" s="411">
        <v>0.5</v>
      </c>
      <c r="Y3" s="412" t="s">
        <v>254</v>
      </c>
      <c r="Z3" s="271"/>
      <c r="AE3" s="271"/>
      <c r="AG3" s="271"/>
      <c r="AH3" s="271"/>
      <c r="AI3" s="271"/>
      <c r="AJ3" s="271"/>
      <c r="AK3" s="271"/>
      <c r="AL3" s="271"/>
      <c r="AM3" s="271"/>
      <c r="AN3" s="271"/>
    </row>
    <row r="4" spans="1:42" hidden="1" x14ac:dyDescent="0.2">
      <c r="F4" s="271"/>
      <c r="L4" s="271"/>
      <c r="M4" s="271"/>
      <c r="N4" s="271"/>
      <c r="O4" s="271"/>
      <c r="P4" s="271"/>
      <c r="Q4" s="271"/>
      <c r="R4" s="271"/>
      <c r="S4" s="271"/>
      <c r="T4" s="271"/>
      <c r="U4" s="271"/>
      <c r="V4" s="414" t="s">
        <v>256</v>
      </c>
      <c r="W4" s="411">
        <v>0</v>
      </c>
      <c r="Y4" s="412" t="s">
        <v>254</v>
      </c>
      <c r="Z4" s="271"/>
      <c r="AA4" s="271"/>
      <c r="AE4" s="409"/>
      <c r="AF4" s="409"/>
      <c r="AG4" s="409"/>
      <c r="AH4" s="376"/>
      <c r="AI4" s="409"/>
      <c r="AJ4" s="409"/>
      <c r="AK4" s="409"/>
      <c r="AL4" s="409"/>
      <c r="AM4" s="409"/>
      <c r="AN4" s="409"/>
      <c r="AO4" s="409"/>
      <c r="AP4" s="409"/>
    </row>
    <row r="5" spans="1:42" x14ac:dyDescent="0.2">
      <c r="F5" s="271"/>
      <c r="L5" s="271"/>
      <c r="M5" s="271"/>
      <c r="N5" s="271"/>
      <c r="O5" s="271"/>
      <c r="P5" s="271"/>
      <c r="Q5" s="271"/>
      <c r="R5" s="271"/>
      <c r="S5" s="271"/>
      <c r="T5" s="271"/>
      <c r="U5" s="271"/>
      <c r="V5" s="271"/>
      <c r="W5" s="271"/>
      <c r="X5" s="271"/>
      <c r="Y5" s="271"/>
      <c r="Z5" s="271"/>
      <c r="AA5" s="967" t="s">
        <v>476</v>
      </c>
      <c r="AC5" s="271"/>
      <c r="AD5" s="964" t="s">
        <v>214</v>
      </c>
    </row>
    <row r="6" spans="1:42" x14ac:dyDescent="0.2">
      <c r="A6" s="607" t="s">
        <v>10</v>
      </c>
      <c r="B6" s="607" t="s">
        <v>79</v>
      </c>
      <c r="C6" s="608" t="s">
        <v>171</v>
      </c>
      <c r="D6" s="609"/>
      <c r="E6" s="609"/>
      <c r="F6" s="610"/>
      <c r="G6" s="608" t="s">
        <v>174</v>
      </c>
      <c r="H6" s="609"/>
      <c r="I6" s="609"/>
      <c r="J6" s="610"/>
      <c r="K6" s="608" t="s">
        <v>177</v>
      </c>
      <c r="L6" s="609"/>
      <c r="M6" s="609"/>
      <c r="N6" s="610"/>
      <c r="O6" s="608" t="s">
        <v>180</v>
      </c>
      <c r="P6" s="609"/>
      <c r="Q6" s="609"/>
      <c r="R6" s="610"/>
      <c r="S6" s="608" t="s">
        <v>182</v>
      </c>
      <c r="T6" s="609"/>
      <c r="U6" s="609"/>
      <c r="V6" s="610"/>
      <c r="W6" s="607" t="s">
        <v>102</v>
      </c>
      <c r="X6" s="611" t="s">
        <v>361</v>
      </c>
      <c r="Y6" s="611"/>
      <c r="Z6" s="612" t="s">
        <v>362</v>
      </c>
      <c r="AA6" s="613"/>
      <c r="AB6" s="271"/>
      <c r="AC6" s="271"/>
      <c r="AD6" s="272" t="s">
        <v>370</v>
      </c>
      <c r="AE6" s="273"/>
      <c r="AF6" s="273" t="s">
        <v>249</v>
      </c>
      <c r="AG6" s="273"/>
      <c r="AH6" s="403" t="s">
        <v>250</v>
      </c>
      <c r="AI6" s="273"/>
      <c r="AJ6" s="273" t="s">
        <v>251</v>
      </c>
      <c r="AK6" s="274"/>
      <c r="AL6" s="273" t="s">
        <v>252</v>
      </c>
      <c r="AM6" s="274"/>
      <c r="AN6" s="274" t="s">
        <v>472</v>
      </c>
      <c r="AO6" s="945"/>
      <c r="AP6" s="274" t="s">
        <v>473</v>
      </c>
    </row>
    <row r="7" spans="1:42" x14ac:dyDescent="0.2">
      <c r="A7" s="614">
        <v>1</v>
      </c>
      <c r="B7" s="459" t="s">
        <v>599</v>
      </c>
      <c r="C7" s="615">
        <v>13</v>
      </c>
      <c r="D7" s="616" t="s">
        <v>363</v>
      </c>
      <c r="E7" s="617">
        <v>7</v>
      </c>
      <c r="F7" s="618" t="s">
        <v>372</v>
      </c>
      <c r="G7" s="615">
        <v>13</v>
      </c>
      <c r="H7" s="616" t="s">
        <v>363</v>
      </c>
      <c r="I7" s="617">
        <v>7</v>
      </c>
      <c r="J7" s="618" t="str">
        <f>B11</f>
        <v>Karla Purgats, Lemmit Toomra</v>
      </c>
      <c r="K7" s="615">
        <v>13</v>
      </c>
      <c r="L7" s="616" t="s">
        <v>363</v>
      </c>
      <c r="M7" s="617">
        <v>10</v>
      </c>
      <c r="N7" s="618" t="str">
        <f>B8</f>
        <v>Aigi Orro, Kalle Orro</v>
      </c>
      <c r="O7" s="615">
        <v>13</v>
      </c>
      <c r="P7" s="616" t="s">
        <v>363</v>
      </c>
      <c r="Q7" s="617">
        <v>8</v>
      </c>
      <c r="R7" s="618" t="str">
        <f>B9</f>
        <v>Matti Vinni, Vladimir Ogneštšikov</v>
      </c>
      <c r="S7" s="615">
        <v>13</v>
      </c>
      <c r="T7" s="616" t="s">
        <v>363</v>
      </c>
      <c r="U7" s="617">
        <v>12</v>
      </c>
      <c r="V7" s="618" t="str">
        <f>B10</f>
        <v>Kenneth Muusikus, Mait Metsla</v>
      </c>
      <c r="W7" s="619">
        <f t="shared" ref="W7:W19" si="0">IF(C7&gt;E7,W$2,IF(C7&lt;E7,W$4,IF(ISNUMBER(C7),W$3,0)))+IF(G7&gt;I7,W$2,IF(G7&lt;I7,W$4,IF(ISNUMBER(G7),W$3,0)))+IF(K7&gt;M7,W$2,IF(K7&lt;M7,W$4,IF(ISNUMBER(K7),W$3,0)))+IF(O7&gt;Q7,W$2,IF(O7&lt;Q7,W$4,IF(ISNUMBER(O7),W$3,0)))+IF(S7&gt;U7,W$2,IF(S7&lt;U7,W$4,IF(ISNUMBER(S7),W$3,0)))</f>
        <v>5</v>
      </c>
      <c r="X7" s="620"/>
      <c r="Y7" s="615">
        <f>C7+G7+K7+O7+S7</f>
        <v>65</v>
      </c>
      <c r="Z7" s="616" t="s">
        <v>363</v>
      </c>
      <c r="AA7" s="621">
        <f>E7+I7+M7+Q7+U7</f>
        <v>44</v>
      </c>
      <c r="AB7" s="622">
        <f>Y7-AA7</f>
        <v>21</v>
      </c>
      <c r="AD7" s="405">
        <f>SUM(AE7:AP7)</f>
        <v>217</v>
      </c>
      <c r="AE7" s="406">
        <f>IFERROR(INDEX(V!$R:$R,MATCH(AF7,V!$L:$L,0)),"")</f>
        <v>53</v>
      </c>
      <c r="AF7" s="407" t="str">
        <f>IFERROR(LEFT($B7,(FIND(",",$B7,1)-1)),"")</f>
        <v>Aurelia Meldre</v>
      </c>
      <c r="AG7" s="406">
        <f>IFERROR(INDEX(V!$R:$R,MATCH(AH7,V!$L:$L,0)),"")</f>
        <v>164</v>
      </c>
      <c r="AH7" s="407" t="str">
        <f>IFERROR(MID($B7,FIND(", ",$B7)+2,256),"")</f>
        <v>Kaspar Mänd</v>
      </c>
      <c r="AI7" s="406" t="str">
        <f>IFERROR(INDEX(V!$R:$R,MATCH(AJ7,V!$L:$L,0)),"")</f>
        <v/>
      </c>
      <c r="AJ7" s="407" t="str">
        <f>IFERROR(MID($B7,FIND("^",SUBSTITUTE($B7,", ","^",1))+2,FIND("^",SUBSTITUTE($B7,", ","^",2))-FIND("^",SUBSTITUTE($B7,", ","^",1))-2),"")</f>
        <v/>
      </c>
      <c r="AK7" s="406" t="str">
        <f>IFERROR(INDEX(V!$R:$R,MATCH(AL7,V!$L:$L,0)),"")</f>
        <v/>
      </c>
      <c r="AL7" s="407" t="str">
        <f>IFERROR(MID($B7,FIND(", ",$B7,FIND(", ",$B7,FIND(", ",$B7))+1)+2,30000),"")</f>
        <v/>
      </c>
      <c r="AM7" s="406" t="str">
        <f>IFERROR(INDEX(V!$R:$R,MATCH(AN7,V!$L:$L,0)),"")</f>
        <v/>
      </c>
      <c r="AN7" s="407" t="str">
        <f>IFERROR(MID($B7,FIND(", ",$B7,FIND(", ",$B7)+1)+2,FIND(", ",$B7,FIND(", ",$B7,FIND(", ",$B7)+1)+1)-FIND(", ",$B7,FIND(", ",$B7)+1)-2),"")</f>
        <v/>
      </c>
      <c r="AO7" s="406" t="str">
        <f>IFERROR(INDEX(V!$R:$R,MATCH(AP7,V!$L:$L,0)),"")</f>
        <v/>
      </c>
      <c r="AP7" s="407" t="str">
        <f>IFERROR(MID($B7,FIND(", ",$B7,FIND(", ",$B7,FIND(", ",$B7)+1)+1)+2,30000),"")</f>
        <v/>
      </c>
    </row>
    <row r="8" spans="1:42" x14ac:dyDescent="0.2">
      <c r="A8" s="614">
        <v>2</v>
      </c>
      <c r="B8" s="459" t="s">
        <v>313</v>
      </c>
      <c r="C8" s="615">
        <v>13</v>
      </c>
      <c r="D8" s="616" t="s">
        <v>363</v>
      </c>
      <c r="E8" s="617">
        <v>2</v>
      </c>
      <c r="F8" s="618" t="str">
        <f>B19</f>
        <v>Andrei Grintšak, Pavel Grintšak</v>
      </c>
      <c r="G8" s="615">
        <v>13</v>
      </c>
      <c r="H8" s="616" t="s">
        <v>363</v>
      </c>
      <c r="I8" s="617">
        <v>8</v>
      </c>
      <c r="J8" s="618" t="str">
        <f>B10</f>
        <v>Kenneth Muusikus, Mait Metsla</v>
      </c>
      <c r="K8" s="615">
        <v>10</v>
      </c>
      <c r="L8" s="616" t="s">
        <v>363</v>
      </c>
      <c r="M8" s="617">
        <v>13</v>
      </c>
      <c r="N8" s="618" t="str">
        <f>B7</f>
        <v>Aurelia Meldre, Kaspar Mänd</v>
      </c>
      <c r="O8" s="615">
        <v>13</v>
      </c>
      <c r="P8" s="616" t="s">
        <v>363</v>
      </c>
      <c r="Q8" s="617">
        <v>9</v>
      </c>
      <c r="R8" s="618" t="str">
        <f>B12</f>
        <v>Henri Mitt, Martha Aavisto</v>
      </c>
      <c r="S8" s="615">
        <v>13</v>
      </c>
      <c r="T8" s="616" t="s">
        <v>363</v>
      </c>
      <c r="U8" s="617">
        <v>4</v>
      </c>
      <c r="V8" s="618" t="str">
        <f>B9</f>
        <v>Matti Vinni, Vladimir Ogneštšikov</v>
      </c>
      <c r="W8" s="619">
        <f t="shared" si="0"/>
        <v>4</v>
      </c>
      <c r="X8" s="620"/>
      <c r="Y8" s="615">
        <f t="shared" ref="Y8:Y19" si="1">C8+G8+K8+O8+S8</f>
        <v>62</v>
      </c>
      <c r="Z8" s="616" t="s">
        <v>363</v>
      </c>
      <c r="AA8" s="621">
        <f t="shared" ref="AA8:AA19" si="2">E8+I8+M8+Q8+U8</f>
        <v>36</v>
      </c>
      <c r="AB8" s="622">
        <f t="shared" ref="AB8:AB19" si="3">Y8-AA8</f>
        <v>26</v>
      </c>
      <c r="AC8" s="404"/>
      <c r="AD8" s="405">
        <f t="shared" ref="AD8:AD11" si="4">SUM(AE8:AL8)</f>
        <v>278</v>
      </c>
      <c r="AE8" s="406">
        <f>IFERROR(INDEX(V!$R:$R,MATCH(AF8,V!$L:$L,0)),"")</f>
        <v>145</v>
      </c>
      <c r="AF8" s="407" t="str">
        <f t="shared" ref="AF8:AF19" si="5">IFERROR(LEFT($B8,(FIND(",",$B8,1)-1)),"")</f>
        <v>Aigi Orro</v>
      </c>
      <c r="AG8" s="406">
        <f>IFERROR(INDEX(V!$R:$R,MATCH(AH8,V!$L:$L,0)),"")</f>
        <v>133</v>
      </c>
      <c r="AH8" s="407" t="str">
        <f t="shared" ref="AH8:AH19" si="6">IFERROR(MID($B8,FIND(", ",$B8)+2,256),"")</f>
        <v>Kalle Orro</v>
      </c>
      <c r="AI8" s="406" t="str">
        <f>IFERROR(INDEX(V!$R:$R,MATCH(AJ8,V!$L:$L,0)),"")</f>
        <v/>
      </c>
      <c r="AJ8" s="407" t="str">
        <f t="shared" ref="AJ8:AJ19" si="7">IFERROR(MID($B8,FIND("^",SUBSTITUTE($B8,", ","^",1))+2,FIND("^",SUBSTITUTE($B8,", ","^",2))-FIND("^",SUBSTITUTE($B8,", ","^",1))-2),"")</f>
        <v/>
      </c>
      <c r="AK8" s="406" t="str">
        <f>IFERROR(INDEX(V!$R:$R,MATCH(AL8,V!$L:$L,0)),"")</f>
        <v/>
      </c>
      <c r="AL8" s="407" t="str">
        <f t="shared" ref="AL8:AL19" si="8">IFERROR(MID($B8,FIND(", ",$B8,FIND(", ",$B8,FIND(", ",$B8))+1)+2,30000),"")</f>
        <v/>
      </c>
      <c r="AM8" s="406" t="str">
        <f>IFERROR(INDEX(V!$R:$R,MATCH(AN8,V!$L:$L,0)),"")</f>
        <v/>
      </c>
      <c r="AN8" s="407" t="str">
        <f t="shared" ref="AN8:AN19" si="9">IFERROR(MID($B8,FIND(", ",$B8,FIND(", ",$B8)+1)+2,FIND(", ",$B8,FIND(", ",$B8,FIND(", ",$B8)+1)+1)-FIND(", ",$B8,FIND(", ",$B8)+1)-2),"")</f>
        <v/>
      </c>
      <c r="AO8" s="406" t="str">
        <f>IFERROR(INDEX(V!$R:$R,MATCH(AP8,V!$L:$L,0)),"")</f>
        <v/>
      </c>
      <c r="AP8" s="407" t="str">
        <f t="shared" ref="AP8:AP19" si="10">IFERROR(MID($B8,FIND(", ",$B8,FIND(", ",$B8,FIND(", ",$B8)+1)+1)+2,30000),"")</f>
        <v/>
      </c>
    </row>
    <row r="9" spans="1:42" x14ac:dyDescent="0.2">
      <c r="A9" s="614">
        <v>3</v>
      </c>
      <c r="B9" s="479" t="s">
        <v>282</v>
      </c>
      <c r="C9" s="615">
        <v>13</v>
      </c>
      <c r="D9" s="616" t="s">
        <v>363</v>
      </c>
      <c r="E9" s="617">
        <v>10</v>
      </c>
      <c r="F9" s="618" t="str">
        <f>B17</f>
        <v>Ljudmila Varendi, Viktor Švarõgin</v>
      </c>
      <c r="G9" s="615">
        <v>13</v>
      </c>
      <c r="H9" s="616" t="s">
        <v>363</v>
      </c>
      <c r="I9" s="617">
        <v>9</v>
      </c>
      <c r="J9" s="618" t="str">
        <f>B13</f>
        <v>Enn Tokman, Svetlana Veski</v>
      </c>
      <c r="K9" s="615">
        <v>13</v>
      </c>
      <c r="L9" s="616" t="s">
        <v>363</v>
      </c>
      <c r="M9" s="617">
        <v>4</v>
      </c>
      <c r="N9" s="618" t="str">
        <f>B12</f>
        <v>Henri Mitt, Martha Aavisto</v>
      </c>
      <c r="O9" s="615">
        <v>8</v>
      </c>
      <c r="P9" s="616" t="s">
        <v>363</v>
      </c>
      <c r="Q9" s="617">
        <v>13</v>
      </c>
      <c r="R9" s="618" t="str">
        <f>B7</f>
        <v>Aurelia Meldre, Kaspar Mänd</v>
      </c>
      <c r="S9" s="615">
        <v>4</v>
      </c>
      <c r="T9" s="616" t="s">
        <v>363</v>
      </c>
      <c r="U9" s="617">
        <v>13</v>
      </c>
      <c r="V9" s="618" t="str">
        <f>B8</f>
        <v>Aigi Orro, Kalle Orro</v>
      </c>
      <c r="W9" s="1116">
        <f t="shared" si="0"/>
        <v>3</v>
      </c>
      <c r="X9" s="620"/>
      <c r="Y9" s="615">
        <f t="shared" si="1"/>
        <v>51</v>
      </c>
      <c r="Z9" s="616" t="s">
        <v>363</v>
      </c>
      <c r="AA9" s="621">
        <f t="shared" si="2"/>
        <v>49</v>
      </c>
      <c r="AB9" s="622">
        <f t="shared" si="3"/>
        <v>2</v>
      </c>
      <c r="AC9" s="404"/>
      <c r="AD9" s="405">
        <f t="shared" si="4"/>
        <v>320</v>
      </c>
      <c r="AE9" s="406">
        <f>IFERROR(INDEX(V!$R:$R,MATCH(AF9,V!$L:$L,0)),"")</f>
        <v>168</v>
      </c>
      <c r="AF9" s="407" t="str">
        <f t="shared" si="5"/>
        <v>Matti Vinni</v>
      </c>
      <c r="AG9" s="406">
        <f>IFERROR(INDEX(V!$R:$R,MATCH(AH9,V!$L:$L,0)),"")</f>
        <v>152</v>
      </c>
      <c r="AH9" s="407" t="str">
        <f t="shared" si="6"/>
        <v>Vladimir Ogneštšikov</v>
      </c>
      <c r="AI9" s="406" t="str">
        <f>IFERROR(INDEX(V!$R:$R,MATCH(AJ9,V!$L:$L,0)),"")</f>
        <v/>
      </c>
      <c r="AJ9" s="407" t="str">
        <f t="shared" si="7"/>
        <v/>
      </c>
      <c r="AK9" s="406" t="str">
        <f>IFERROR(INDEX(V!$R:$R,MATCH(AL9,V!$L:$L,0)),"")</f>
        <v/>
      </c>
      <c r="AL9" s="407" t="str">
        <f t="shared" si="8"/>
        <v/>
      </c>
      <c r="AM9" s="406" t="str">
        <f>IFERROR(INDEX(V!$R:$R,MATCH(AN9,V!$L:$L,0)),"")</f>
        <v/>
      </c>
      <c r="AN9" s="407" t="str">
        <f t="shared" si="9"/>
        <v/>
      </c>
      <c r="AO9" s="406" t="str">
        <f>IFERROR(INDEX(V!$R:$R,MATCH(AP9,V!$L:$L,0)),"")</f>
        <v/>
      </c>
      <c r="AP9" s="407" t="str">
        <f t="shared" si="10"/>
        <v/>
      </c>
    </row>
    <row r="10" spans="1:42" x14ac:dyDescent="0.2">
      <c r="A10" s="614">
        <v>4</v>
      </c>
      <c r="B10" s="479" t="s">
        <v>278</v>
      </c>
      <c r="C10" s="615">
        <v>13</v>
      </c>
      <c r="D10" s="616" t="s">
        <v>363</v>
      </c>
      <c r="E10" s="617">
        <v>2</v>
      </c>
      <c r="F10" s="618" t="str">
        <f>B15</f>
        <v>Peep Peenema, Irene Võrklaev</v>
      </c>
      <c r="G10" s="615">
        <v>8</v>
      </c>
      <c r="H10" s="616" t="s">
        <v>363</v>
      </c>
      <c r="I10" s="617">
        <v>13</v>
      </c>
      <c r="J10" s="618" t="str">
        <f>B8</f>
        <v>Aigi Orro, Kalle Orro</v>
      </c>
      <c r="K10" s="615">
        <v>13</v>
      </c>
      <c r="L10" s="616" t="s">
        <v>363</v>
      </c>
      <c r="M10" s="617">
        <v>3</v>
      </c>
      <c r="N10" s="618" t="str">
        <f>B14</f>
        <v>Jaan Sepp, Oskar Sepp</v>
      </c>
      <c r="O10" s="615">
        <v>13</v>
      </c>
      <c r="P10" s="616" t="s">
        <v>363</v>
      </c>
      <c r="Q10" s="617">
        <v>5</v>
      </c>
      <c r="R10" s="618" t="str">
        <f>B11</f>
        <v>Karla Purgats, Lemmit Toomra</v>
      </c>
      <c r="S10" s="615">
        <v>12</v>
      </c>
      <c r="T10" s="616" t="s">
        <v>363</v>
      </c>
      <c r="U10" s="617">
        <v>13</v>
      </c>
      <c r="V10" s="618" t="str">
        <f>B7</f>
        <v>Aurelia Meldre, Kaspar Mänd</v>
      </c>
      <c r="W10" s="1116">
        <f t="shared" si="0"/>
        <v>3</v>
      </c>
      <c r="X10" s="620"/>
      <c r="Y10" s="615">
        <f t="shared" si="1"/>
        <v>59</v>
      </c>
      <c r="Z10" s="616" t="s">
        <v>363</v>
      </c>
      <c r="AA10" s="683">
        <f t="shared" si="2"/>
        <v>36</v>
      </c>
      <c r="AB10" s="622">
        <f t="shared" si="3"/>
        <v>23</v>
      </c>
      <c r="AC10" s="404"/>
      <c r="AD10" s="405">
        <f t="shared" si="4"/>
        <v>365</v>
      </c>
      <c r="AE10" s="406">
        <f>IFERROR(INDEX(V!$R:$R,MATCH(AF10,V!$L:$L,0)),"")</f>
        <v>187</v>
      </c>
      <c r="AF10" s="407" t="str">
        <f t="shared" si="5"/>
        <v>Kenneth Muusikus</v>
      </c>
      <c r="AG10" s="406">
        <f>IFERROR(INDEX(V!$R:$R,MATCH(AH10,V!$L:$L,0)),"")</f>
        <v>178</v>
      </c>
      <c r="AH10" s="407" t="str">
        <f t="shared" si="6"/>
        <v>Mait Metsla</v>
      </c>
      <c r="AI10" s="406" t="str">
        <f>IFERROR(INDEX(V!$R:$R,MATCH(AJ10,V!$L:$L,0)),"")</f>
        <v/>
      </c>
      <c r="AJ10" s="407" t="str">
        <f t="shared" si="7"/>
        <v/>
      </c>
      <c r="AK10" s="406" t="str">
        <f>IFERROR(INDEX(V!$R:$R,MATCH(AL10,V!$L:$L,0)),"")</f>
        <v/>
      </c>
      <c r="AL10" s="407" t="str">
        <f t="shared" si="8"/>
        <v/>
      </c>
      <c r="AM10" s="406" t="str">
        <f>IFERROR(INDEX(V!$R:$R,MATCH(AN10,V!$L:$L,0)),"")</f>
        <v/>
      </c>
      <c r="AN10" s="407" t="str">
        <f t="shared" si="9"/>
        <v/>
      </c>
      <c r="AO10" s="406" t="str">
        <f>IFERROR(INDEX(V!$R:$R,MATCH(AP10,V!$L:$L,0)),"")</f>
        <v/>
      </c>
      <c r="AP10" s="407" t="str">
        <f t="shared" si="10"/>
        <v/>
      </c>
    </row>
    <row r="11" spans="1:42" x14ac:dyDescent="0.2">
      <c r="A11" s="614">
        <v>5</v>
      </c>
      <c r="B11" s="459" t="s">
        <v>274</v>
      </c>
      <c r="C11" s="615">
        <v>13</v>
      </c>
      <c r="D11" s="616" t="s">
        <v>363</v>
      </c>
      <c r="E11" s="617">
        <v>7</v>
      </c>
      <c r="F11" s="618" t="str">
        <f>B16</f>
        <v>Janek Tarto, Johannes Neiland</v>
      </c>
      <c r="G11" s="615">
        <v>7</v>
      </c>
      <c r="H11" s="616" t="s">
        <v>363</v>
      </c>
      <c r="I11" s="617">
        <v>13</v>
      </c>
      <c r="J11" s="618" t="str">
        <f>B7</f>
        <v>Aurelia Meldre, Kaspar Mänd</v>
      </c>
      <c r="K11" s="615">
        <v>13</v>
      </c>
      <c r="L11" s="616" t="s">
        <v>363</v>
      </c>
      <c r="M11" s="617">
        <v>7</v>
      </c>
      <c r="N11" s="618" t="str">
        <f>B13</f>
        <v>Enn Tokman, Svetlana Veski</v>
      </c>
      <c r="O11" s="615">
        <v>5</v>
      </c>
      <c r="P11" s="616" t="s">
        <v>363</v>
      </c>
      <c r="Q11" s="617">
        <v>13</v>
      </c>
      <c r="R11" s="618" t="str">
        <f>B10</f>
        <v>Kenneth Muusikus, Mait Metsla</v>
      </c>
      <c r="S11" s="615">
        <v>13</v>
      </c>
      <c r="T11" s="616" t="s">
        <v>363</v>
      </c>
      <c r="U11" s="617">
        <v>1</v>
      </c>
      <c r="V11" s="618" t="str">
        <f>B14</f>
        <v>Jaan Sepp, Oskar Sepp</v>
      </c>
      <c r="W11" s="1116">
        <f t="shared" si="0"/>
        <v>3</v>
      </c>
      <c r="X11" s="620"/>
      <c r="Y11" s="615">
        <f t="shared" si="1"/>
        <v>51</v>
      </c>
      <c r="Z11" s="616" t="s">
        <v>363</v>
      </c>
      <c r="AA11" s="621">
        <f t="shared" si="2"/>
        <v>41</v>
      </c>
      <c r="AB11" s="622">
        <f t="shared" si="3"/>
        <v>10</v>
      </c>
      <c r="AC11" s="404"/>
      <c r="AD11" s="405">
        <f t="shared" si="4"/>
        <v>276</v>
      </c>
      <c r="AE11" s="406">
        <f>IFERROR(INDEX(V!$R:$R,MATCH(AF11,V!$L:$L,0)),"")</f>
        <v>150.5</v>
      </c>
      <c r="AF11" s="407" t="str">
        <f t="shared" si="5"/>
        <v>Karla Purgats</v>
      </c>
      <c r="AG11" s="406">
        <f>IFERROR(INDEX(V!$R:$R,MATCH(AH11,V!$L:$L,0)),"")</f>
        <v>125.5</v>
      </c>
      <c r="AH11" s="407" t="str">
        <f t="shared" si="6"/>
        <v>Lemmit Toomra</v>
      </c>
      <c r="AI11" s="406" t="str">
        <f>IFERROR(INDEX(V!$R:$R,MATCH(AJ11,V!$L:$L,0)),"")</f>
        <v/>
      </c>
      <c r="AJ11" s="407" t="str">
        <f t="shared" si="7"/>
        <v/>
      </c>
      <c r="AK11" s="406" t="str">
        <f>IFERROR(INDEX(V!$R:$R,MATCH(AL11,V!$L:$L,0)),"")</f>
        <v/>
      </c>
      <c r="AL11" s="407" t="str">
        <f t="shared" si="8"/>
        <v/>
      </c>
      <c r="AM11" s="406" t="str">
        <f>IFERROR(INDEX(V!$R:$R,MATCH(AN11,V!$L:$L,0)),"")</f>
        <v/>
      </c>
      <c r="AN11" s="407" t="str">
        <f t="shared" si="9"/>
        <v/>
      </c>
      <c r="AO11" s="406" t="str">
        <f>IFERROR(INDEX(V!$R:$R,MATCH(AP11,V!$L:$L,0)),"")</f>
        <v/>
      </c>
      <c r="AP11" s="407" t="str">
        <f t="shared" si="10"/>
        <v/>
      </c>
    </row>
    <row r="12" spans="1:42" x14ac:dyDescent="0.2">
      <c r="A12" s="614">
        <v>6</v>
      </c>
      <c r="B12" s="479" t="s">
        <v>594</v>
      </c>
      <c r="C12" s="615">
        <v>13</v>
      </c>
      <c r="D12" s="616" t="s">
        <v>363</v>
      </c>
      <c r="E12" s="617">
        <v>10</v>
      </c>
      <c r="F12" s="618" t="str">
        <f>B14</f>
        <v>Jaan Sepp, Oskar Sepp</v>
      </c>
      <c r="G12" s="615">
        <v>13</v>
      </c>
      <c r="H12" s="616" t="s">
        <v>363</v>
      </c>
      <c r="I12" s="617">
        <v>4</v>
      </c>
      <c r="J12" s="618" t="str">
        <f>B17</f>
        <v>Ljudmila Varendi, Viktor Švarõgin</v>
      </c>
      <c r="K12" s="615">
        <v>4</v>
      </c>
      <c r="L12" s="616" t="s">
        <v>363</v>
      </c>
      <c r="M12" s="617">
        <v>13</v>
      </c>
      <c r="N12" s="618" t="str">
        <f>B9</f>
        <v>Matti Vinni, Vladimir Ogneštšikov</v>
      </c>
      <c r="O12" s="615">
        <v>9</v>
      </c>
      <c r="P12" s="616" t="s">
        <v>363</v>
      </c>
      <c r="Q12" s="617">
        <v>13</v>
      </c>
      <c r="R12" s="618" t="str">
        <f>B8</f>
        <v>Aigi Orro, Kalle Orro</v>
      </c>
      <c r="S12" s="615">
        <v>13</v>
      </c>
      <c r="T12" s="616" t="s">
        <v>363</v>
      </c>
      <c r="U12" s="617">
        <v>7</v>
      </c>
      <c r="V12" s="618" t="str">
        <f>B16</f>
        <v>Janek Tarto, Johannes Neiland</v>
      </c>
      <c r="W12" s="1116">
        <f t="shared" si="0"/>
        <v>3</v>
      </c>
      <c r="X12" s="620"/>
      <c r="Y12" s="615">
        <f t="shared" si="1"/>
        <v>52</v>
      </c>
      <c r="Z12" s="616" t="s">
        <v>363</v>
      </c>
      <c r="AA12" s="621">
        <f t="shared" si="2"/>
        <v>47</v>
      </c>
      <c r="AB12" s="622">
        <f t="shared" si="3"/>
        <v>5</v>
      </c>
      <c r="AC12" s="404"/>
      <c r="AD12" s="405">
        <f t="shared" ref="AD12:AD19" si="11">SUM(AE12:AL12)</f>
        <v>105</v>
      </c>
      <c r="AE12" s="406">
        <f>IFERROR(INDEX(V!$R:$R,MATCH(AF12,V!$L:$L,0)),"")</f>
        <v>90</v>
      </c>
      <c r="AF12" s="407" t="str">
        <f t="shared" si="5"/>
        <v>Henri Mitt</v>
      </c>
      <c r="AG12" s="406">
        <f>IFERROR(INDEX(V!$R:$R,MATCH(AH12,V!$L:$L,0)),"")</f>
        <v>15</v>
      </c>
      <c r="AH12" s="407" t="str">
        <f t="shared" si="6"/>
        <v>Martha Aavisto</v>
      </c>
      <c r="AI12" s="406" t="str">
        <f>IFERROR(INDEX(V!$R:$R,MATCH(AJ12,V!$L:$L,0)),"")</f>
        <v/>
      </c>
      <c r="AJ12" s="407" t="str">
        <f t="shared" si="7"/>
        <v/>
      </c>
      <c r="AK12" s="406" t="str">
        <f>IFERROR(INDEX(V!$R:$R,MATCH(AL12,V!$L:$L,0)),"")</f>
        <v/>
      </c>
      <c r="AL12" s="407" t="str">
        <f t="shared" si="8"/>
        <v/>
      </c>
      <c r="AM12" s="406" t="str">
        <f>IFERROR(INDEX(V!$R:$R,MATCH(AN12,V!$L:$L,0)),"")</f>
        <v/>
      </c>
      <c r="AN12" s="407" t="str">
        <f t="shared" si="9"/>
        <v/>
      </c>
      <c r="AO12" s="406" t="str">
        <f>IFERROR(INDEX(V!$R:$R,MATCH(AP12,V!$L:$L,0)),"")</f>
        <v/>
      </c>
      <c r="AP12" s="407" t="str">
        <f t="shared" si="10"/>
        <v/>
      </c>
    </row>
    <row r="13" spans="1:42" x14ac:dyDescent="0.2">
      <c r="A13" s="614">
        <v>7</v>
      </c>
      <c r="B13" s="623" t="s">
        <v>595</v>
      </c>
      <c r="C13" s="615">
        <v>13</v>
      </c>
      <c r="D13" s="616" t="s">
        <v>363</v>
      </c>
      <c r="E13" s="617">
        <v>9</v>
      </c>
      <c r="F13" s="618" t="str">
        <f>B18</f>
        <v>Elmo Lageda, Tõnu Piik</v>
      </c>
      <c r="G13" s="615">
        <v>9</v>
      </c>
      <c r="H13" s="616" t="s">
        <v>363</v>
      </c>
      <c r="I13" s="617">
        <v>13</v>
      </c>
      <c r="J13" s="618" t="str">
        <f>B9</f>
        <v>Matti Vinni, Vladimir Ogneštšikov</v>
      </c>
      <c r="K13" s="615">
        <v>7</v>
      </c>
      <c r="L13" s="616" t="s">
        <v>363</v>
      </c>
      <c r="M13" s="617">
        <v>13</v>
      </c>
      <c r="N13" s="618" t="str">
        <f>B11</f>
        <v>Karla Purgats, Lemmit Toomra</v>
      </c>
      <c r="O13" s="615">
        <v>13</v>
      </c>
      <c r="P13" s="616" t="s">
        <v>363</v>
      </c>
      <c r="Q13" s="617">
        <v>11</v>
      </c>
      <c r="R13" s="618" t="str">
        <f>B15</f>
        <v>Peep Peenema, Irene Võrklaev</v>
      </c>
      <c r="S13" s="615">
        <v>13</v>
      </c>
      <c r="T13" s="616" t="s">
        <v>363</v>
      </c>
      <c r="U13" s="617">
        <v>9</v>
      </c>
      <c r="V13" s="618" t="str">
        <f>B19</f>
        <v>Andrei Grintšak, Pavel Grintšak</v>
      </c>
      <c r="W13" s="1116">
        <f t="shared" si="0"/>
        <v>3</v>
      </c>
      <c r="X13" s="620"/>
      <c r="Y13" s="615">
        <f t="shared" si="1"/>
        <v>55</v>
      </c>
      <c r="Z13" s="616" t="s">
        <v>363</v>
      </c>
      <c r="AA13" s="621">
        <f t="shared" si="2"/>
        <v>55</v>
      </c>
      <c r="AB13" s="622">
        <f t="shared" si="3"/>
        <v>0</v>
      </c>
      <c r="AC13" s="404"/>
      <c r="AD13" s="405">
        <f t="shared" si="11"/>
        <v>185</v>
      </c>
      <c r="AE13" s="406">
        <f>IFERROR(INDEX(V!$R:$R,MATCH(AF13,V!$L:$L,0)),"")</f>
        <v>118</v>
      </c>
      <c r="AF13" s="407" t="str">
        <f t="shared" si="5"/>
        <v>Enn Tokman</v>
      </c>
      <c r="AG13" s="406">
        <f>IFERROR(INDEX(V!$R:$R,MATCH(AH13,V!$L:$L,0)),"")</f>
        <v>67</v>
      </c>
      <c r="AH13" s="407" t="str">
        <f t="shared" si="6"/>
        <v>Svetlana Veski</v>
      </c>
      <c r="AI13" s="406" t="str">
        <f>IFERROR(INDEX(V!$R:$R,MATCH(AJ13,V!$L:$L,0)),"")</f>
        <v/>
      </c>
      <c r="AJ13" s="407" t="str">
        <f t="shared" si="7"/>
        <v/>
      </c>
      <c r="AK13" s="406" t="str">
        <f>IFERROR(INDEX(V!$R:$R,MATCH(AL13,V!$L:$L,0)),"")</f>
        <v/>
      </c>
      <c r="AL13" s="407" t="str">
        <f t="shared" si="8"/>
        <v/>
      </c>
      <c r="AM13" s="406" t="str">
        <f>IFERROR(INDEX(V!$R:$R,MATCH(AN13,V!$L:$L,0)),"")</f>
        <v/>
      </c>
      <c r="AN13" s="407" t="str">
        <f t="shared" si="9"/>
        <v/>
      </c>
      <c r="AO13" s="406" t="str">
        <f>IFERROR(INDEX(V!$R:$R,MATCH(AP13,V!$L:$L,0)),"")</f>
        <v/>
      </c>
      <c r="AP13" s="407" t="str">
        <f t="shared" si="10"/>
        <v/>
      </c>
    </row>
    <row r="14" spans="1:42" x14ac:dyDescent="0.2">
      <c r="A14" s="614">
        <v>8</v>
      </c>
      <c r="B14" s="623" t="s">
        <v>276</v>
      </c>
      <c r="C14" s="615">
        <v>10</v>
      </c>
      <c r="D14" s="616" t="s">
        <v>363</v>
      </c>
      <c r="E14" s="617">
        <v>13</v>
      </c>
      <c r="F14" s="618" t="str">
        <f>B12</f>
        <v>Henri Mitt, Martha Aavisto</v>
      </c>
      <c r="G14" s="615">
        <v>13</v>
      </c>
      <c r="H14" s="616" t="s">
        <v>363</v>
      </c>
      <c r="I14" s="617">
        <v>9</v>
      </c>
      <c r="J14" s="618" t="str">
        <f>B18</f>
        <v>Elmo Lageda, Tõnu Piik</v>
      </c>
      <c r="K14" s="615">
        <v>3</v>
      </c>
      <c r="L14" s="616" t="s">
        <v>363</v>
      </c>
      <c r="M14" s="617">
        <v>13</v>
      </c>
      <c r="N14" s="618" t="str">
        <f>B10</f>
        <v>Kenneth Muusikus, Mait Metsla</v>
      </c>
      <c r="O14" s="615">
        <v>13</v>
      </c>
      <c r="P14" s="616" t="s">
        <v>363</v>
      </c>
      <c r="Q14" s="617">
        <v>4</v>
      </c>
      <c r="R14" s="618" t="str">
        <f>B19</f>
        <v>Andrei Grintšak, Pavel Grintšak</v>
      </c>
      <c r="S14" s="615">
        <v>1</v>
      </c>
      <c r="T14" s="616" t="s">
        <v>363</v>
      </c>
      <c r="U14" s="617">
        <v>13</v>
      </c>
      <c r="V14" s="618" t="str">
        <f>B11</f>
        <v>Karla Purgats, Lemmit Toomra</v>
      </c>
      <c r="W14" s="619">
        <f t="shared" si="0"/>
        <v>2</v>
      </c>
      <c r="X14" s="620"/>
      <c r="Y14" s="615">
        <f t="shared" si="1"/>
        <v>40</v>
      </c>
      <c r="Z14" s="616" t="s">
        <v>363</v>
      </c>
      <c r="AA14" s="621">
        <f t="shared" si="2"/>
        <v>52</v>
      </c>
      <c r="AB14" s="622">
        <f t="shared" si="3"/>
        <v>-12</v>
      </c>
      <c r="AC14" s="404"/>
      <c r="AD14" s="405">
        <f t="shared" si="11"/>
        <v>356</v>
      </c>
      <c r="AE14" s="406">
        <f>IFERROR(INDEX(V!$R:$R,MATCH(AF14,V!$L:$L,0)),"")</f>
        <v>178</v>
      </c>
      <c r="AF14" s="407" t="str">
        <f t="shared" si="5"/>
        <v>Jaan Sepp</v>
      </c>
      <c r="AG14" s="406">
        <f>IFERROR(INDEX(V!$R:$R,MATCH(AH14,V!$L:$L,0)),"")</f>
        <v>178</v>
      </c>
      <c r="AH14" s="407" t="str">
        <f t="shared" si="6"/>
        <v>Oskar Sepp</v>
      </c>
      <c r="AI14" s="406" t="str">
        <f>IFERROR(INDEX(V!$R:$R,MATCH(AJ14,V!$L:$L,0)),"")</f>
        <v/>
      </c>
      <c r="AJ14" s="407" t="str">
        <f t="shared" si="7"/>
        <v/>
      </c>
      <c r="AK14" s="406" t="str">
        <f>IFERROR(INDEX(V!$R:$R,MATCH(AL14,V!$L:$L,0)),"")</f>
        <v/>
      </c>
      <c r="AL14" s="407" t="str">
        <f t="shared" si="8"/>
        <v/>
      </c>
      <c r="AM14" s="406" t="str">
        <f>IFERROR(INDEX(V!$R:$R,MATCH(AN14,V!$L:$L,0)),"")</f>
        <v/>
      </c>
      <c r="AN14" s="407" t="str">
        <f t="shared" si="9"/>
        <v/>
      </c>
      <c r="AO14" s="406" t="str">
        <f>IFERROR(INDEX(V!$R:$R,MATCH(AP14,V!$L:$L,0)),"")</f>
        <v/>
      </c>
      <c r="AP14" s="407" t="str">
        <f t="shared" si="10"/>
        <v/>
      </c>
    </row>
    <row r="15" spans="1:42" x14ac:dyDescent="0.2">
      <c r="A15" s="614">
        <v>9</v>
      </c>
      <c r="B15" s="479" t="s">
        <v>596</v>
      </c>
      <c r="C15" s="615">
        <v>2</v>
      </c>
      <c r="D15" s="616" t="s">
        <v>363</v>
      </c>
      <c r="E15" s="617">
        <v>13</v>
      </c>
      <c r="F15" s="618" t="str">
        <f>B10</f>
        <v>Kenneth Muusikus, Mait Metsla</v>
      </c>
      <c r="G15" s="615">
        <v>13</v>
      </c>
      <c r="H15" s="616" t="s">
        <v>363</v>
      </c>
      <c r="I15" s="617">
        <v>7</v>
      </c>
      <c r="J15" s="618" t="s">
        <v>372</v>
      </c>
      <c r="K15" s="615">
        <v>13</v>
      </c>
      <c r="L15" s="616" t="s">
        <v>363</v>
      </c>
      <c r="M15" s="617">
        <v>10</v>
      </c>
      <c r="N15" s="618" t="str">
        <f>B16</f>
        <v>Janek Tarto, Johannes Neiland</v>
      </c>
      <c r="O15" s="615">
        <v>11</v>
      </c>
      <c r="P15" s="616" t="s">
        <v>363</v>
      </c>
      <c r="Q15" s="617">
        <v>13</v>
      </c>
      <c r="R15" s="618" t="str">
        <f>B13</f>
        <v>Enn Tokman, Svetlana Veski</v>
      </c>
      <c r="S15" s="615">
        <v>3</v>
      </c>
      <c r="T15" s="616" t="s">
        <v>363</v>
      </c>
      <c r="U15" s="617">
        <v>13</v>
      </c>
      <c r="V15" s="618" t="str">
        <f>B18</f>
        <v>Elmo Lageda, Tõnu Piik</v>
      </c>
      <c r="W15" s="619">
        <f t="shared" si="0"/>
        <v>2</v>
      </c>
      <c r="X15" s="620"/>
      <c r="Y15" s="615">
        <f t="shared" si="1"/>
        <v>42</v>
      </c>
      <c r="Z15" s="616" t="s">
        <v>363</v>
      </c>
      <c r="AA15" s="621">
        <f t="shared" si="2"/>
        <v>56</v>
      </c>
      <c r="AB15" s="622">
        <f t="shared" si="3"/>
        <v>-14</v>
      </c>
      <c r="AC15" s="404"/>
      <c r="AD15" s="405">
        <f t="shared" si="11"/>
        <v>80</v>
      </c>
      <c r="AE15" s="406">
        <f>IFERROR(INDEX(V!$R:$R,MATCH(AF15,V!$L:$L,0)),"")</f>
        <v>68</v>
      </c>
      <c r="AF15" s="407" t="str">
        <f t="shared" si="5"/>
        <v>Peep Peenema</v>
      </c>
      <c r="AG15" s="406">
        <f>IFERROR(INDEX(V!$R:$R,MATCH(AH15,V!$L:$L,0)),"")</f>
        <v>12</v>
      </c>
      <c r="AH15" s="407" t="str">
        <f t="shared" si="6"/>
        <v>Irene Võrklaev</v>
      </c>
      <c r="AI15" s="406" t="str">
        <f>IFERROR(INDEX(V!$R:$R,MATCH(AJ15,V!$L:$L,0)),"")</f>
        <v/>
      </c>
      <c r="AJ15" s="407" t="str">
        <f t="shared" si="7"/>
        <v/>
      </c>
      <c r="AK15" s="406" t="str">
        <f>IFERROR(INDEX(V!$R:$R,MATCH(AL15,V!$L:$L,0)),"")</f>
        <v/>
      </c>
      <c r="AL15" s="407" t="str">
        <f t="shared" si="8"/>
        <v/>
      </c>
      <c r="AM15" s="406" t="str">
        <f>IFERROR(INDEX(V!$R:$R,MATCH(AN15,V!$L:$L,0)),"")</f>
        <v/>
      </c>
      <c r="AN15" s="407" t="str">
        <f t="shared" si="9"/>
        <v/>
      </c>
      <c r="AO15" s="406" t="str">
        <f>IFERROR(INDEX(V!$R:$R,MATCH(AP15,V!$L:$L,0)),"")</f>
        <v/>
      </c>
      <c r="AP15" s="407" t="str">
        <f t="shared" si="10"/>
        <v/>
      </c>
    </row>
    <row r="16" spans="1:42" x14ac:dyDescent="0.2">
      <c r="A16" s="614">
        <v>10</v>
      </c>
      <c r="B16" s="459" t="s">
        <v>597</v>
      </c>
      <c r="C16" s="615">
        <v>7</v>
      </c>
      <c r="D16" s="616" t="s">
        <v>363</v>
      </c>
      <c r="E16" s="617">
        <v>13</v>
      </c>
      <c r="F16" s="618" t="str">
        <f>B11</f>
        <v>Karla Purgats, Lemmit Toomra</v>
      </c>
      <c r="G16" s="615">
        <v>13</v>
      </c>
      <c r="H16" s="616" t="s">
        <v>363</v>
      </c>
      <c r="I16" s="617">
        <v>11</v>
      </c>
      <c r="J16" s="618" t="str">
        <f>B19</f>
        <v>Andrei Grintšak, Pavel Grintšak</v>
      </c>
      <c r="K16" s="615">
        <v>10</v>
      </c>
      <c r="L16" s="616" t="s">
        <v>363</v>
      </c>
      <c r="M16" s="617">
        <v>13</v>
      </c>
      <c r="N16" s="618" t="str">
        <f>B15</f>
        <v>Peep Peenema, Irene Võrklaev</v>
      </c>
      <c r="O16" s="615">
        <v>13</v>
      </c>
      <c r="P16" s="616" t="s">
        <v>363</v>
      </c>
      <c r="Q16" s="617">
        <v>9</v>
      </c>
      <c r="R16" s="618" t="str">
        <f>B17</f>
        <v>Ljudmila Varendi, Viktor Švarõgin</v>
      </c>
      <c r="S16" s="615">
        <v>7</v>
      </c>
      <c r="T16" s="616" t="s">
        <v>363</v>
      </c>
      <c r="U16" s="617">
        <v>13</v>
      </c>
      <c r="V16" s="618" t="str">
        <f>B12</f>
        <v>Henri Mitt, Martha Aavisto</v>
      </c>
      <c r="W16" s="619">
        <f t="shared" si="0"/>
        <v>2</v>
      </c>
      <c r="X16" s="620"/>
      <c r="Y16" s="615">
        <f t="shared" si="1"/>
        <v>50</v>
      </c>
      <c r="Z16" s="616" t="s">
        <v>363</v>
      </c>
      <c r="AA16" s="621">
        <f t="shared" si="2"/>
        <v>59</v>
      </c>
      <c r="AB16" s="622">
        <f t="shared" si="3"/>
        <v>-9</v>
      </c>
      <c r="AC16" s="404"/>
      <c r="AD16" s="405">
        <f t="shared" si="11"/>
        <v>212</v>
      </c>
      <c r="AE16" s="406">
        <f>IFERROR(INDEX(V!$R:$R,MATCH(AF16,V!$L:$L,0)),"")</f>
        <v>90</v>
      </c>
      <c r="AF16" s="407" t="str">
        <f t="shared" si="5"/>
        <v>Janek Tarto</v>
      </c>
      <c r="AG16" s="406">
        <f>IFERROR(INDEX(V!$R:$R,MATCH(AH16,V!$L:$L,0)),"")</f>
        <v>122</v>
      </c>
      <c r="AH16" s="407" t="str">
        <f t="shared" si="6"/>
        <v>Johannes Neiland</v>
      </c>
      <c r="AI16" s="406" t="str">
        <f>IFERROR(INDEX(V!$R:$R,MATCH(AJ16,V!$L:$L,0)),"")</f>
        <v/>
      </c>
      <c r="AJ16" s="407" t="str">
        <f t="shared" si="7"/>
        <v/>
      </c>
      <c r="AK16" s="406" t="str">
        <f>IFERROR(INDEX(V!$R:$R,MATCH(AL16,V!$L:$L,0)),"")</f>
        <v/>
      </c>
      <c r="AL16" s="407" t="str">
        <f t="shared" si="8"/>
        <v/>
      </c>
      <c r="AM16" s="406" t="str">
        <f>IFERROR(INDEX(V!$R:$R,MATCH(AN16,V!$L:$L,0)),"")</f>
        <v/>
      </c>
      <c r="AN16" s="407" t="str">
        <f t="shared" si="9"/>
        <v/>
      </c>
      <c r="AO16" s="406" t="str">
        <f>IFERROR(INDEX(V!$R:$R,MATCH(AP16,V!$L:$L,0)),"")</f>
        <v/>
      </c>
      <c r="AP16" s="407" t="str">
        <f t="shared" si="10"/>
        <v/>
      </c>
    </row>
    <row r="17" spans="1:42" x14ac:dyDescent="0.2">
      <c r="A17" s="614">
        <v>11</v>
      </c>
      <c r="B17" s="623" t="s">
        <v>309</v>
      </c>
      <c r="C17" s="615">
        <v>10</v>
      </c>
      <c r="D17" s="616" t="s">
        <v>363</v>
      </c>
      <c r="E17" s="617">
        <v>13</v>
      </c>
      <c r="F17" s="618" t="str">
        <f>B9</f>
        <v>Matti Vinni, Vladimir Ogneštšikov</v>
      </c>
      <c r="G17" s="615">
        <v>4</v>
      </c>
      <c r="H17" s="616" t="s">
        <v>363</v>
      </c>
      <c r="I17" s="617">
        <v>13</v>
      </c>
      <c r="J17" s="618" t="str">
        <f>B12</f>
        <v>Henri Mitt, Martha Aavisto</v>
      </c>
      <c r="K17" s="615">
        <v>13</v>
      </c>
      <c r="L17" s="616" t="s">
        <v>363</v>
      </c>
      <c r="M17" s="617">
        <v>9</v>
      </c>
      <c r="N17" s="618" t="str">
        <f>B18</f>
        <v>Elmo Lageda, Tõnu Piik</v>
      </c>
      <c r="O17" s="615">
        <v>9</v>
      </c>
      <c r="P17" s="616" t="s">
        <v>363</v>
      </c>
      <c r="Q17" s="617">
        <v>13</v>
      </c>
      <c r="R17" s="618" t="str">
        <f>B16</f>
        <v>Janek Tarto, Johannes Neiland</v>
      </c>
      <c r="S17" s="615">
        <v>13</v>
      </c>
      <c r="T17" s="616" t="s">
        <v>363</v>
      </c>
      <c r="U17" s="617">
        <v>7</v>
      </c>
      <c r="V17" s="618" t="s">
        <v>372</v>
      </c>
      <c r="W17" s="619">
        <f t="shared" si="0"/>
        <v>2</v>
      </c>
      <c r="X17" s="620"/>
      <c r="Y17" s="615">
        <f t="shared" si="1"/>
        <v>49</v>
      </c>
      <c r="Z17" s="616" t="s">
        <v>363</v>
      </c>
      <c r="AA17" s="621">
        <f t="shared" si="2"/>
        <v>55</v>
      </c>
      <c r="AB17" s="622">
        <f t="shared" si="3"/>
        <v>-6</v>
      </c>
      <c r="AC17" s="404"/>
      <c r="AD17" s="405">
        <f t="shared" si="11"/>
        <v>224</v>
      </c>
      <c r="AE17" s="406">
        <f>IFERROR(INDEX(V!$R:$R,MATCH(AF17,V!$L:$L,0)),"")</f>
        <v>112</v>
      </c>
      <c r="AF17" s="407" t="str">
        <f t="shared" si="5"/>
        <v>Ljudmila Varendi</v>
      </c>
      <c r="AG17" s="406">
        <f>IFERROR(INDEX(V!$R:$R,MATCH(AH17,V!$L:$L,0)),"")</f>
        <v>112</v>
      </c>
      <c r="AH17" s="407" t="str">
        <f t="shared" si="6"/>
        <v>Viktor Švarõgin</v>
      </c>
      <c r="AI17" s="406" t="str">
        <f>IFERROR(INDEX(V!$R:$R,MATCH(AJ17,V!$L:$L,0)),"")</f>
        <v/>
      </c>
      <c r="AJ17" s="407" t="str">
        <f t="shared" si="7"/>
        <v/>
      </c>
      <c r="AK17" s="406" t="str">
        <f>IFERROR(INDEX(V!$R:$R,MATCH(AL17,V!$L:$L,0)),"")</f>
        <v/>
      </c>
      <c r="AL17" s="407" t="str">
        <f t="shared" si="8"/>
        <v/>
      </c>
      <c r="AM17" s="406" t="str">
        <f>IFERROR(INDEX(V!$R:$R,MATCH(AN17,V!$L:$L,0)),"")</f>
        <v/>
      </c>
      <c r="AN17" s="407" t="str">
        <f t="shared" si="9"/>
        <v/>
      </c>
      <c r="AO17" s="406" t="str">
        <f>IFERROR(INDEX(V!$R:$R,MATCH(AP17,V!$L:$L,0)),"")</f>
        <v/>
      </c>
      <c r="AP17" s="407" t="str">
        <f t="shared" si="10"/>
        <v/>
      </c>
    </row>
    <row r="18" spans="1:42" x14ac:dyDescent="0.2">
      <c r="A18" s="614">
        <v>12</v>
      </c>
      <c r="B18" s="459" t="s">
        <v>273</v>
      </c>
      <c r="C18" s="615">
        <v>9</v>
      </c>
      <c r="D18" s="616" t="s">
        <v>363</v>
      </c>
      <c r="E18" s="617">
        <v>13</v>
      </c>
      <c r="F18" s="618" t="str">
        <f>B13</f>
        <v>Enn Tokman, Svetlana Veski</v>
      </c>
      <c r="G18" s="615">
        <v>9</v>
      </c>
      <c r="H18" s="616" t="s">
        <v>363</v>
      </c>
      <c r="I18" s="617">
        <v>13</v>
      </c>
      <c r="J18" s="618" t="str">
        <f>B14</f>
        <v>Jaan Sepp, Oskar Sepp</v>
      </c>
      <c r="K18" s="615">
        <v>9</v>
      </c>
      <c r="L18" s="616" t="s">
        <v>363</v>
      </c>
      <c r="M18" s="617">
        <v>13</v>
      </c>
      <c r="N18" s="618" t="str">
        <f>B17</f>
        <v>Ljudmila Varendi, Viktor Švarõgin</v>
      </c>
      <c r="O18" s="615">
        <v>13</v>
      </c>
      <c r="P18" s="616" t="s">
        <v>363</v>
      </c>
      <c r="Q18" s="617">
        <v>7</v>
      </c>
      <c r="R18" s="618" t="s">
        <v>372</v>
      </c>
      <c r="S18" s="615">
        <v>13</v>
      </c>
      <c r="T18" s="616" t="s">
        <v>363</v>
      </c>
      <c r="U18" s="617">
        <v>3</v>
      </c>
      <c r="V18" s="618" t="str">
        <f>B15</f>
        <v>Peep Peenema, Irene Võrklaev</v>
      </c>
      <c r="W18" s="619">
        <f t="shared" si="0"/>
        <v>2</v>
      </c>
      <c r="X18" s="620"/>
      <c r="Y18" s="615">
        <f t="shared" si="1"/>
        <v>53</v>
      </c>
      <c r="Z18" s="616" t="s">
        <v>363</v>
      </c>
      <c r="AA18" s="621">
        <f t="shared" si="2"/>
        <v>49</v>
      </c>
      <c r="AB18" s="622">
        <f t="shared" si="3"/>
        <v>4</v>
      </c>
      <c r="AC18" s="404"/>
      <c r="AD18" s="405">
        <f t="shared" si="11"/>
        <v>233.5</v>
      </c>
      <c r="AE18" s="406">
        <f>IFERROR(INDEX(V!$R:$R,MATCH(AF18,V!$L:$L,0)),"")</f>
        <v>100</v>
      </c>
      <c r="AF18" s="407" t="str">
        <f t="shared" si="5"/>
        <v>Elmo Lageda</v>
      </c>
      <c r="AG18" s="406">
        <f>IFERROR(INDEX(V!$R:$R,MATCH(AH18,V!$L:$L,0)),"")</f>
        <v>133.5</v>
      </c>
      <c r="AH18" s="407" t="str">
        <f t="shared" si="6"/>
        <v>Tõnu Piik</v>
      </c>
      <c r="AI18" s="406" t="str">
        <f>IFERROR(INDEX(V!$R:$R,MATCH(AJ18,V!$L:$L,0)),"")</f>
        <v/>
      </c>
      <c r="AJ18" s="407" t="str">
        <f t="shared" si="7"/>
        <v/>
      </c>
      <c r="AK18" s="406" t="str">
        <f>IFERROR(INDEX(V!$R:$R,MATCH(AL18,V!$L:$L,0)),"")</f>
        <v/>
      </c>
      <c r="AL18" s="407" t="str">
        <f t="shared" si="8"/>
        <v/>
      </c>
      <c r="AM18" s="406" t="str">
        <f>IFERROR(INDEX(V!$R:$R,MATCH(AN18,V!$L:$L,0)),"")</f>
        <v/>
      </c>
      <c r="AN18" s="407" t="str">
        <f t="shared" si="9"/>
        <v/>
      </c>
      <c r="AO18" s="406" t="str">
        <f>IFERROR(INDEX(V!$R:$R,MATCH(AP18,V!$L:$L,0)),"")</f>
        <v/>
      </c>
      <c r="AP18" s="407" t="str">
        <f t="shared" si="10"/>
        <v/>
      </c>
    </row>
    <row r="19" spans="1:42" x14ac:dyDescent="0.2">
      <c r="A19" s="614">
        <v>13</v>
      </c>
      <c r="B19" s="623" t="s">
        <v>598</v>
      </c>
      <c r="C19" s="615">
        <v>2</v>
      </c>
      <c r="D19" s="616" t="s">
        <v>363</v>
      </c>
      <c r="E19" s="617">
        <v>13</v>
      </c>
      <c r="F19" s="618" t="str">
        <f>B8</f>
        <v>Aigi Orro, Kalle Orro</v>
      </c>
      <c r="G19" s="615">
        <v>11</v>
      </c>
      <c r="H19" s="616" t="s">
        <v>363</v>
      </c>
      <c r="I19" s="617">
        <v>13</v>
      </c>
      <c r="J19" s="618" t="str">
        <f>B16</f>
        <v>Janek Tarto, Johannes Neiland</v>
      </c>
      <c r="K19" s="615">
        <v>13</v>
      </c>
      <c r="L19" s="616" t="s">
        <v>363</v>
      </c>
      <c r="M19" s="617">
        <v>7</v>
      </c>
      <c r="N19" s="618" t="s">
        <v>372</v>
      </c>
      <c r="O19" s="615">
        <v>4</v>
      </c>
      <c r="P19" s="616" t="s">
        <v>363</v>
      </c>
      <c r="Q19" s="617">
        <v>13</v>
      </c>
      <c r="R19" s="618" t="str">
        <f>B14</f>
        <v>Jaan Sepp, Oskar Sepp</v>
      </c>
      <c r="S19" s="615">
        <v>9</v>
      </c>
      <c r="T19" s="616" t="s">
        <v>363</v>
      </c>
      <c r="U19" s="617">
        <v>13</v>
      </c>
      <c r="V19" s="618" t="str">
        <f>B13</f>
        <v>Enn Tokman, Svetlana Veski</v>
      </c>
      <c r="W19" s="1115">
        <f t="shared" si="0"/>
        <v>1</v>
      </c>
      <c r="X19" s="620"/>
      <c r="Y19" s="615">
        <f t="shared" si="1"/>
        <v>39</v>
      </c>
      <c r="Z19" s="616" t="s">
        <v>363</v>
      </c>
      <c r="AA19" s="621">
        <f t="shared" si="2"/>
        <v>59</v>
      </c>
      <c r="AB19" s="622">
        <f t="shared" si="3"/>
        <v>-20</v>
      </c>
      <c r="AC19" s="404"/>
      <c r="AD19" s="405">
        <f t="shared" si="11"/>
        <v>156</v>
      </c>
      <c r="AE19" s="406">
        <f>IFERROR(INDEX(V!$R:$R,MATCH(AF19,V!$L:$L,0)),"")</f>
        <v>148</v>
      </c>
      <c r="AF19" s="407" t="str">
        <f t="shared" si="5"/>
        <v>Andrei Grintšak</v>
      </c>
      <c r="AG19" s="406">
        <f>IFERROR(INDEX(V!$R:$R,MATCH(AH19,V!$L:$L,0)),"")</f>
        <v>8</v>
      </c>
      <c r="AH19" s="407" t="str">
        <f t="shared" si="6"/>
        <v>Pavel Grintšak</v>
      </c>
      <c r="AI19" s="406" t="str">
        <f>IFERROR(INDEX(V!$R:$R,MATCH(AJ19,V!$L:$L,0)),"")</f>
        <v/>
      </c>
      <c r="AJ19" s="407" t="str">
        <f t="shared" si="7"/>
        <v/>
      </c>
      <c r="AK19" s="406" t="str">
        <f>IFERROR(INDEX(V!$R:$R,MATCH(AL19,V!$L:$L,0)),"")</f>
        <v/>
      </c>
      <c r="AL19" s="407" t="str">
        <f t="shared" si="8"/>
        <v/>
      </c>
      <c r="AM19" s="406" t="str">
        <f>IFERROR(INDEX(V!$R:$R,MATCH(AN19,V!$L:$L,0)),"")</f>
        <v/>
      </c>
      <c r="AN19" s="407" t="str">
        <f t="shared" si="9"/>
        <v/>
      </c>
      <c r="AO19" s="406" t="str">
        <f>IFERROR(INDEX(V!$R:$R,MATCH(AP19,V!$L:$L,0)),"")</f>
        <v/>
      </c>
      <c r="AP19" s="407" t="str">
        <f t="shared" si="10"/>
        <v/>
      </c>
    </row>
    <row r="21" spans="1:42" x14ac:dyDescent="0.2">
      <c r="A21" s="703" t="s">
        <v>435</v>
      </c>
      <c r="B21" s="704"/>
      <c r="C21" s="704"/>
      <c r="D21" s="704"/>
      <c r="E21" s="704"/>
      <c r="F21" s="704"/>
      <c r="G21" s="704"/>
      <c r="H21" s="704"/>
      <c r="I21" s="704"/>
      <c r="J21" s="704"/>
      <c r="K21" s="704"/>
      <c r="L21" s="704"/>
      <c r="M21" s="704"/>
      <c r="N21" s="704"/>
      <c r="O21" s="704"/>
      <c r="P21" s="704"/>
      <c r="Q21" s="704"/>
      <c r="R21" s="704"/>
      <c r="S21" s="704"/>
      <c r="T21" s="704"/>
      <c r="U21" s="704"/>
      <c r="V21" s="704"/>
    </row>
    <row r="22" spans="1:42" x14ac:dyDescent="0.2">
      <c r="A22" s="704"/>
      <c r="B22" s="704"/>
      <c r="C22" s="704"/>
      <c r="D22" s="704"/>
      <c r="E22" s="704"/>
      <c r="F22" s="704"/>
      <c r="G22" s="704"/>
      <c r="H22" s="704"/>
      <c r="I22" s="704"/>
      <c r="J22" s="704"/>
      <c r="K22" s="704"/>
      <c r="L22" s="704"/>
      <c r="M22" s="704"/>
      <c r="N22" s="704"/>
      <c r="O22" s="704"/>
      <c r="P22" s="704"/>
      <c r="Q22" s="704"/>
      <c r="R22" s="704"/>
      <c r="S22" s="704"/>
      <c r="T22" s="704"/>
      <c r="U22" s="704"/>
      <c r="V22" s="704"/>
    </row>
    <row r="23" spans="1:42" x14ac:dyDescent="0.2">
      <c r="A23" s="676"/>
      <c r="B23" s="1027"/>
      <c r="C23" s="706">
        <v>1</v>
      </c>
      <c r="D23" s="706"/>
      <c r="E23" s="706"/>
      <c r="F23" s="707">
        <v>3</v>
      </c>
      <c r="G23" s="706">
        <v>6</v>
      </c>
      <c r="H23" s="706"/>
      <c r="I23" s="706"/>
      <c r="J23" s="707">
        <v>10</v>
      </c>
      <c r="K23" s="708">
        <v>12</v>
      </c>
      <c r="L23" s="706">
        <v>10</v>
      </c>
      <c r="M23" s="709"/>
      <c r="N23" s="667" t="s">
        <v>102</v>
      </c>
      <c r="O23" s="708" t="s">
        <v>169</v>
      </c>
      <c r="P23" s="721"/>
      <c r="Q23" s="1104"/>
      <c r="R23" s="704"/>
      <c r="S23" s="704"/>
      <c r="T23" s="704"/>
      <c r="U23" s="711"/>
      <c r="V23" s="704"/>
    </row>
    <row r="24" spans="1:42" x14ac:dyDescent="0.2">
      <c r="A24" s="708">
        <v>1</v>
      </c>
      <c r="B24" s="479" t="s">
        <v>278</v>
      </c>
      <c r="C24" s="712"/>
      <c r="D24" s="712"/>
      <c r="E24" s="712"/>
      <c r="F24" s="713"/>
      <c r="G24" s="1031">
        <v>13</v>
      </c>
      <c r="H24" s="714"/>
      <c r="I24" s="714"/>
      <c r="J24" s="715"/>
      <c r="K24" s="716"/>
      <c r="L24" s="714"/>
      <c r="M24" s="717"/>
      <c r="N24" s="1105" t="s">
        <v>421</v>
      </c>
      <c r="O24" s="725"/>
      <c r="P24" s="721"/>
      <c r="Q24" s="662"/>
      <c r="R24" s="704"/>
      <c r="S24" s="1035" t="s">
        <v>523</v>
      </c>
      <c r="T24" s="704"/>
      <c r="U24" s="719"/>
      <c r="V24" s="701" t="s">
        <v>188</v>
      </c>
    </row>
    <row r="25" spans="1:42" x14ac:dyDescent="0.2">
      <c r="A25" s="708">
        <v>3</v>
      </c>
      <c r="B25" s="479" t="s">
        <v>282</v>
      </c>
      <c r="C25" s="721"/>
      <c r="D25" s="721"/>
      <c r="E25" s="721"/>
      <c r="F25" s="722"/>
      <c r="G25" s="714"/>
      <c r="H25" s="714"/>
      <c r="I25" s="714"/>
      <c r="J25" s="1030">
        <v>13</v>
      </c>
      <c r="K25" s="1029">
        <v>13</v>
      </c>
      <c r="L25" s="714"/>
      <c r="M25" s="717"/>
      <c r="N25" s="1105" t="s">
        <v>590</v>
      </c>
      <c r="O25" s="725"/>
      <c r="P25" s="721"/>
      <c r="Q25" s="662"/>
      <c r="R25" s="704"/>
      <c r="S25" s="1035" t="s">
        <v>524</v>
      </c>
      <c r="T25" s="704"/>
      <c r="U25" s="699"/>
      <c r="V25" s="701" t="s">
        <v>187</v>
      </c>
    </row>
    <row r="26" spans="1:42" x14ac:dyDescent="0.2">
      <c r="A26" s="708">
        <v>6</v>
      </c>
      <c r="B26" s="542" t="s">
        <v>274</v>
      </c>
      <c r="C26" s="721">
        <v>5</v>
      </c>
      <c r="D26" s="721"/>
      <c r="E26" s="714"/>
      <c r="F26" s="715"/>
      <c r="G26" s="712"/>
      <c r="H26" s="712"/>
      <c r="I26" s="712"/>
      <c r="J26" s="1030">
        <v>13</v>
      </c>
      <c r="K26" s="725"/>
      <c r="L26" s="721"/>
      <c r="M26" s="726"/>
      <c r="N26" s="713">
        <v>0</v>
      </c>
      <c r="O26" s="725"/>
      <c r="P26" s="721"/>
      <c r="Q26" s="662"/>
      <c r="R26" s="704"/>
      <c r="S26" s="1036">
        <v>0</v>
      </c>
      <c r="T26" s="704"/>
      <c r="U26" s="699"/>
      <c r="V26" s="701" t="s">
        <v>189</v>
      </c>
    </row>
    <row r="27" spans="1:42" x14ac:dyDescent="0.2">
      <c r="A27" s="708">
        <v>10</v>
      </c>
      <c r="B27" s="623" t="s">
        <v>595</v>
      </c>
      <c r="C27" s="721"/>
      <c r="D27" s="721"/>
      <c r="E27" s="714"/>
      <c r="F27" s="715">
        <v>9</v>
      </c>
      <c r="G27" s="714">
        <v>7</v>
      </c>
      <c r="H27" s="714"/>
      <c r="I27" s="714"/>
      <c r="J27" s="722"/>
      <c r="K27" s="725"/>
      <c r="L27" s="721"/>
      <c r="M27" s="726"/>
      <c r="N27" s="1105" t="s">
        <v>602</v>
      </c>
      <c r="O27" s="725"/>
      <c r="P27" s="721"/>
      <c r="Q27" s="662"/>
      <c r="R27" s="704"/>
      <c r="S27" s="1036"/>
      <c r="T27" s="704"/>
      <c r="U27" s="699"/>
      <c r="V27" s="701" t="s">
        <v>201</v>
      </c>
    </row>
    <row r="28" spans="1:42" x14ac:dyDescent="0.2">
      <c r="A28" s="708">
        <v>12</v>
      </c>
      <c r="B28" s="479" t="s">
        <v>594</v>
      </c>
      <c r="C28" s="714"/>
      <c r="D28" s="714">
        <v>4</v>
      </c>
      <c r="E28" s="714"/>
      <c r="F28" s="715">
        <v>4</v>
      </c>
      <c r="G28" s="721"/>
      <c r="H28" s="721"/>
      <c r="I28" s="721"/>
      <c r="J28" s="713"/>
      <c r="K28" s="728"/>
      <c r="L28" s="712"/>
      <c r="M28" s="729"/>
      <c r="N28" s="1105" t="s">
        <v>422</v>
      </c>
      <c r="O28" s="725"/>
      <c r="P28" s="721"/>
      <c r="Q28" s="662"/>
      <c r="R28" s="704"/>
      <c r="S28" s="1035" t="s">
        <v>519</v>
      </c>
      <c r="T28" s="704"/>
      <c r="U28" s="719"/>
      <c r="V28" s="701" t="s">
        <v>190</v>
      </c>
    </row>
    <row r="29" spans="1:42" x14ac:dyDescent="0.2">
      <c r="B29" s="62"/>
    </row>
    <row r="30" spans="1:42" x14ac:dyDescent="0.2">
      <c r="A30" s="703" t="s">
        <v>437</v>
      </c>
      <c r="B30" s="711"/>
      <c r="C30" s="704"/>
      <c r="D30" s="704"/>
      <c r="E30" s="704"/>
      <c r="F30" s="704"/>
      <c r="G30" s="704"/>
      <c r="H30" s="704"/>
      <c r="I30" s="704"/>
      <c r="J30" s="704"/>
      <c r="K30" s="704"/>
      <c r="L30" s="704"/>
      <c r="M30" s="704"/>
      <c r="N30" s="704"/>
      <c r="O30" s="704"/>
      <c r="P30" s="704"/>
      <c r="R30" s="704"/>
      <c r="S30" s="704"/>
      <c r="T30" s="704"/>
      <c r="U30" s="704"/>
      <c r="V30" s="704"/>
    </row>
    <row r="31" spans="1:42" x14ac:dyDescent="0.2">
      <c r="A31" s="704"/>
      <c r="B31" s="711"/>
      <c r="C31" s="704"/>
      <c r="D31" s="704"/>
      <c r="E31" s="704"/>
      <c r="F31" s="704"/>
      <c r="G31" s="704"/>
      <c r="H31" s="704"/>
      <c r="I31" s="704"/>
      <c r="J31" s="704"/>
      <c r="K31" s="704"/>
      <c r="L31" s="704"/>
      <c r="M31" s="704"/>
      <c r="N31" s="704"/>
      <c r="O31" s="704"/>
      <c r="P31" s="704"/>
      <c r="R31" s="704"/>
      <c r="S31" s="704"/>
      <c r="T31" s="704"/>
      <c r="U31" s="704"/>
      <c r="V31" s="704"/>
    </row>
    <row r="32" spans="1:42" x14ac:dyDescent="0.2">
      <c r="A32" s="676"/>
      <c r="B32" s="1027"/>
      <c r="C32" s="706">
        <v>2</v>
      </c>
      <c r="D32" s="706"/>
      <c r="E32" s="706"/>
      <c r="F32" s="707">
        <v>4</v>
      </c>
      <c r="G32" s="706">
        <v>8</v>
      </c>
      <c r="H32" s="706"/>
      <c r="I32" s="706"/>
      <c r="J32" s="707">
        <v>11</v>
      </c>
      <c r="K32" s="708">
        <v>13</v>
      </c>
      <c r="L32" s="706"/>
      <c r="M32" s="709"/>
      <c r="N32" s="667" t="s">
        <v>102</v>
      </c>
      <c r="O32" s="708" t="s">
        <v>169</v>
      </c>
      <c r="P32" s="721"/>
      <c r="Q32" s="1104"/>
      <c r="R32" s="710"/>
      <c r="S32" s="704"/>
      <c r="T32" s="704"/>
      <c r="U32" s="704"/>
      <c r="V32" s="704"/>
    </row>
    <row r="33" spans="1:22" x14ac:dyDescent="0.2">
      <c r="A33" s="708">
        <v>2</v>
      </c>
      <c r="B33" s="623" t="s">
        <v>276</v>
      </c>
      <c r="C33" s="712"/>
      <c r="D33" s="712"/>
      <c r="E33" s="712"/>
      <c r="F33" s="707">
        <v>13</v>
      </c>
      <c r="G33" s="714"/>
      <c r="H33" s="714"/>
      <c r="I33" s="714"/>
      <c r="J33" s="715"/>
      <c r="K33" s="716"/>
      <c r="L33" s="714"/>
      <c r="M33" s="717"/>
      <c r="N33" s="1105" t="s">
        <v>421</v>
      </c>
      <c r="O33" s="725"/>
      <c r="P33" s="721"/>
      <c r="Q33" s="662"/>
      <c r="R33" s="704"/>
      <c r="S33" s="704"/>
      <c r="T33" s="704"/>
      <c r="U33" s="704"/>
      <c r="V33" s="701" t="s">
        <v>202</v>
      </c>
    </row>
    <row r="34" spans="1:22" x14ac:dyDescent="0.2">
      <c r="A34" s="708">
        <v>4</v>
      </c>
      <c r="B34" s="542" t="s">
        <v>273</v>
      </c>
      <c r="C34" s="721">
        <v>9</v>
      </c>
      <c r="D34" s="721"/>
      <c r="E34" s="721"/>
      <c r="F34" s="722"/>
      <c r="G34" s="714"/>
      <c r="H34" s="714"/>
      <c r="I34" s="714"/>
      <c r="J34" s="715">
        <v>9</v>
      </c>
      <c r="K34" s="1029">
        <v>13</v>
      </c>
      <c r="L34" s="714"/>
      <c r="M34" s="717"/>
      <c r="N34" s="1105" t="s">
        <v>422</v>
      </c>
      <c r="O34" s="725"/>
      <c r="P34" s="721"/>
      <c r="Q34" s="662"/>
      <c r="R34" s="704"/>
      <c r="S34" s="704"/>
      <c r="T34" s="704"/>
      <c r="U34" s="704"/>
      <c r="V34" s="701" t="s">
        <v>211</v>
      </c>
    </row>
    <row r="35" spans="1:22" x14ac:dyDescent="0.2">
      <c r="A35" s="708">
        <v>8</v>
      </c>
      <c r="B35" s="542" t="s">
        <v>597</v>
      </c>
      <c r="C35" s="721"/>
      <c r="D35" s="721"/>
      <c r="E35" s="714"/>
      <c r="F35" s="715"/>
      <c r="G35" s="712"/>
      <c r="H35" s="712"/>
      <c r="I35" s="712"/>
      <c r="J35" s="1108">
        <v>13</v>
      </c>
      <c r="K35" s="1109">
        <v>10</v>
      </c>
      <c r="L35" s="1110"/>
      <c r="M35" s="1111"/>
      <c r="N35" s="713">
        <v>0</v>
      </c>
      <c r="O35" s="725"/>
      <c r="P35" s="721"/>
      <c r="Q35" s="662"/>
      <c r="R35" s="1106">
        <v>0</v>
      </c>
      <c r="S35" s="704"/>
      <c r="T35" s="704"/>
      <c r="U35" s="704"/>
      <c r="V35" s="701" t="s">
        <v>209</v>
      </c>
    </row>
    <row r="36" spans="1:22" x14ac:dyDescent="0.2">
      <c r="A36" s="708">
        <v>11</v>
      </c>
      <c r="B36" s="623" t="s">
        <v>309</v>
      </c>
      <c r="C36" s="721"/>
      <c r="D36" s="721"/>
      <c r="E36" s="714"/>
      <c r="F36" s="1030">
        <v>13</v>
      </c>
      <c r="G36" s="1110">
        <v>9</v>
      </c>
      <c r="H36" s="1110"/>
      <c r="I36" s="1110"/>
      <c r="J36" s="722"/>
      <c r="K36" s="1109"/>
      <c r="L36" s="1110"/>
      <c r="M36" s="1111"/>
      <c r="N36" s="1105">
        <v>0</v>
      </c>
      <c r="O36" s="725"/>
      <c r="P36" s="721"/>
      <c r="Q36" s="662"/>
      <c r="R36" s="1107" t="s">
        <v>422</v>
      </c>
      <c r="V36" s="701" t="s">
        <v>210</v>
      </c>
    </row>
    <row r="37" spans="1:22" x14ac:dyDescent="0.2">
      <c r="A37" s="708">
        <v>13</v>
      </c>
      <c r="B37" s="479" t="s">
        <v>596</v>
      </c>
      <c r="C37" s="714"/>
      <c r="D37" s="714"/>
      <c r="E37" s="714"/>
      <c r="F37" s="715">
        <v>3</v>
      </c>
      <c r="G37" s="1112">
        <v>13</v>
      </c>
      <c r="H37" s="1110"/>
      <c r="I37" s="1110"/>
      <c r="J37" s="1113"/>
      <c r="K37" s="728"/>
      <c r="L37" s="712"/>
      <c r="M37" s="729"/>
      <c r="N37" s="713">
        <v>0</v>
      </c>
      <c r="O37" s="725"/>
      <c r="P37" s="721"/>
      <c r="Q37" s="726"/>
      <c r="R37" s="1107" t="s">
        <v>421</v>
      </c>
      <c r="S37" s="271"/>
      <c r="T37" s="271"/>
      <c r="U37" s="271"/>
      <c r="V37" s="701" t="s">
        <v>207</v>
      </c>
    </row>
    <row r="38" spans="1:22" hidden="1" x14ac:dyDescent="0.2"/>
    <row r="39" spans="1:22" hidden="1" x14ac:dyDescent="0.2"/>
    <row r="40" spans="1:22" hidden="1" x14ac:dyDescent="0.2"/>
    <row r="41" spans="1:22" hidden="1" x14ac:dyDescent="0.2"/>
    <row r="42" spans="1:22" hidden="1" x14ac:dyDescent="0.2"/>
    <row r="43" spans="1:22" hidden="1" x14ac:dyDescent="0.2"/>
    <row r="44" spans="1:22" hidden="1" x14ac:dyDescent="0.2"/>
    <row r="45" spans="1:22" hidden="1" x14ac:dyDescent="0.2"/>
    <row r="46" spans="1:22" hidden="1" x14ac:dyDescent="0.2"/>
    <row r="47" spans="1:22" hidden="1" x14ac:dyDescent="0.2"/>
    <row r="48" spans="1:22"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3" hidden="1" x14ac:dyDescent="0.2"/>
    <row r="290" spans="1:3" hidden="1" x14ac:dyDescent="0.2"/>
    <row r="291" spans="1:3" hidden="1" x14ac:dyDescent="0.2"/>
    <row r="292" spans="1:3" hidden="1" x14ac:dyDescent="0.2"/>
    <row r="293" spans="1:3" hidden="1" x14ac:dyDescent="0.2"/>
    <row r="294" spans="1:3" hidden="1" x14ac:dyDescent="0.2"/>
    <row r="295" spans="1:3" hidden="1" x14ac:dyDescent="0.2"/>
    <row r="296" spans="1:3" hidden="1" x14ac:dyDescent="0.2"/>
    <row r="297" spans="1:3" hidden="1" x14ac:dyDescent="0.2"/>
    <row r="299" spans="1:3" x14ac:dyDescent="0.2">
      <c r="A299" s="271"/>
      <c r="B299" s="271"/>
      <c r="C299" s="401" t="s">
        <v>248</v>
      </c>
    </row>
    <row r="300" spans="1:3" x14ac:dyDescent="0.2">
      <c r="A300" s="530">
        <v>1</v>
      </c>
      <c r="B300" s="625" t="str">
        <f>IFERROR(INDEX(B$1:B$100,MATCH(A300,A$1:A$100,0)),"")</f>
        <v>Aurelia Meldre, Kaspar Mänd</v>
      </c>
      <c r="C300" s="499">
        <f>IF(21-A300&gt;0,21-A300,1)</f>
        <v>20</v>
      </c>
    </row>
    <row r="301" spans="1:3" x14ac:dyDescent="0.2">
      <c r="A301" s="530">
        <v>2</v>
      </c>
      <c r="B301" s="625" t="str">
        <f t="shared" ref="B301:B312" si="12">IFERROR(INDEX(B$1:B$100,MATCH(A301,A$1:A$100,0)),"")</f>
        <v>Aigi Orro, Kalle Orro</v>
      </c>
      <c r="C301" s="499">
        <f t="shared" ref="C301:C312" si="13">IF(21-A301&gt;0,21-A301,1)</f>
        <v>19</v>
      </c>
    </row>
    <row r="302" spans="1:3" x14ac:dyDescent="0.2">
      <c r="A302" s="530">
        <v>3</v>
      </c>
      <c r="B302" s="625" t="str">
        <f t="shared" si="12"/>
        <v>Matti Vinni, Vladimir Ogneštšikov</v>
      </c>
      <c r="C302" s="499">
        <f t="shared" si="13"/>
        <v>18</v>
      </c>
    </row>
    <row r="303" spans="1:3" x14ac:dyDescent="0.2">
      <c r="A303" s="530">
        <v>4</v>
      </c>
      <c r="B303" s="625" t="str">
        <f t="shared" si="12"/>
        <v>Kenneth Muusikus, Mait Metsla</v>
      </c>
      <c r="C303" s="499">
        <f t="shared" si="13"/>
        <v>17</v>
      </c>
    </row>
    <row r="304" spans="1:3" x14ac:dyDescent="0.2">
      <c r="A304" s="530">
        <v>5</v>
      </c>
      <c r="B304" s="625" t="str">
        <f t="shared" si="12"/>
        <v>Karla Purgats, Lemmit Toomra</v>
      </c>
      <c r="C304" s="499">
        <f t="shared" si="13"/>
        <v>16</v>
      </c>
    </row>
    <row r="305" spans="1:3" x14ac:dyDescent="0.2">
      <c r="A305" s="530">
        <v>6</v>
      </c>
      <c r="B305" s="625" t="str">
        <f t="shared" si="12"/>
        <v>Henri Mitt, Martha Aavisto</v>
      </c>
      <c r="C305" s="499">
        <f t="shared" si="13"/>
        <v>15</v>
      </c>
    </row>
    <row r="306" spans="1:3" x14ac:dyDescent="0.2">
      <c r="A306" s="530">
        <v>7</v>
      </c>
      <c r="B306" s="625" t="str">
        <f t="shared" si="12"/>
        <v>Enn Tokman, Svetlana Veski</v>
      </c>
      <c r="C306" s="499">
        <f t="shared" si="13"/>
        <v>14</v>
      </c>
    </row>
    <row r="307" spans="1:3" x14ac:dyDescent="0.2">
      <c r="A307" s="530">
        <v>8</v>
      </c>
      <c r="B307" s="625" t="str">
        <f t="shared" si="12"/>
        <v>Jaan Sepp, Oskar Sepp</v>
      </c>
      <c r="C307" s="499">
        <f t="shared" si="13"/>
        <v>13</v>
      </c>
    </row>
    <row r="308" spans="1:3" x14ac:dyDescent="0.2">
      <c r="A308" s="530">
        <v>9</v>
      </c>
      <c r="B308" s="625" t="str">
        <f t="shared" si="12"/>
        <v>Peep Peenema, Irene Võrklaev</v>
      </c>
      <c r="C308" s="499">
        <f t="shared" si="13"/>
        <v>12</v>
      </c>
    </row>
    <row r="309" spans="1:3" x14ac:dyDescent="0.2">
      <c r="A309" s="530">
        <v>10</v>
      </c>
      <c r="B309" s="625" t="str">
        <f t="shared" si="12"/>
        <v>Janek Tarto, Johannes Neiland</v>
      </c>
      <c r="C309" s="499">
        <f t="shared" si="13"/>
        <v>11</v>
      </c>
    </row>
    <row r="310" spans="1:3" x14ac:dyDescent="0.2">
      <c r="A310" s="530">
        <v>11</v>
      </c>
      <c r="B310" s="625" t="str">
        <f t="shared" si="12"/>
        <v>Ljudmila Varendi, Viktor Švarõgin</v>
      </c>
      <c r="C310" s="499">
        <f t="shared" si="13"/>
        <v>10</v>
      </c>
    </row>
    <row r="311" spans="1:3" x14ac:dyDescent="0.2">
      <c r="A311" s="530">
        <v>12</v>
      </c>
      <c r="B311" s="625" t="str">
        <f t="shared" si="12"/>
        <v>Elmo Lageda, Tõnu Piik</v>
      </c>
      <c r="C311" s="499">
        <f t="shared" si="13"/>
        <v>9</v>
      </c>
    </row>
    <row r="312" spans="1:3" x14ac:dyDescent="0.2">
      <c r="A312" s="530">
        <v>13</v>
      </c>
      <c r="B312" s="625" t="str">
        <f t="shared" si="12"/>
        <v>Andrei Grintšak, Pavel Grintšak</v>
      </c>
      <c r="C312" s="499">
        <f t="shared" si="13"/>
        <v>8</v>
      </c>
    </row>
  </sheetData>
  <conditionalFormatting sqref="B300:B312">
    <cfRule type="expression" dxfId="1110" priority="45">
      <formula>A300=3</formula>
    </cfRule>
    <cfRule type="expression" dxfId="1109" priority="46">
      <formula>A300=2</formula>
    </cfRule>
    <cfRule type="expression" dxfId="1108" priority="47">
      <formula>A300=1</formula>
    </cfRule>
    <cfRule type="containsBlanks" dxfId="1107" priority="48">
      <formula>LEN(TRIM(B300))=0</formula>
    </cfRule>
    <cfRule type="duplicateValues" dxfId="1106" priority="49"/>
  </conditionalFormatting>
  <conditionalFormatting sqref="C7:C19 G7:G19 K7:K19 O7:O19 S7:S19">
    <cfRule type="expression" dxfId="1105" priority="12">
      <formula>AND(C7=0,E7=13)</formula>
    </cfRule>
  </conditionalFormatting>
  <conditionalFormatting sqref="C7:C19">
    <cfRule type="expression" dxfId="1104" priority="26">
      <formula>IF($C7&gt;$E7,TRUE)</formula>
    </cfRule>
  </conditionalFormatting>
  <conditionalFormatting sqref="E7:E19">
    <cfRule type="expression" dxfId="1103" priority="27">
      <formula>IF($C7&lt;$E7,TRUE)</formula>
    </cfRule>
  </conditionalFormatting>
  <conditionalFormatting sqref="K7:K19">
    <cfRule type="expression" dxfId="1102" priority="34">
      <formula>IF($K7&gt;$M7,TRUE)</formula>
    </cfRule>
  </conditionalFormatting>
  <conditionalFormatting sqref="M7:M19">
    <cfRule type="expression" dxfId="1101" priority="35">
      <formula>IF($K7&lt;$M7,TRUE)</formula>
    </cfRule>
  </conditionalFormatting>
  <conditionalFormatting sqref="O7:O19">
    <cfRule type="expression" dxfId="1100" priority="38">
      <formula>IF($O7&gt;$Q7,TRUE)</formula>
    </cfRule>
  </conditionalFormatting>
  <conditionalFormatting sqref="Q7:Q19">
    <cfRule type="expression" dxfId="1099" priority="39">
      <formula>IF($O7&lt;$Q7,TRUE)</formula>
    </cfRule>
  </conditionalFormatting>
  <conditionalFormatting sqref="S7:S19">
    <cfRule type="expression" dxfId="1098" priority="42">
      <formula>IF($S7&gt;$U7,TRUE)</formula>
    </cfRule>
  </conditionalFormatting>
  <conditionalFormatting sqref="U7:U19">
    <cfRule type="expression" dxfId="1097" priority="43">
      <formula>IF($S7&lt;$U7,TRUE)</formula>
    </cfRule>
  </conditionalFormatting>
  <conditionalFormatting sqref="G7:G19">
    <cfRule type="expression" dxfId="1096" priority="30">
      <formula>IF($G7&gt;$I7,TRUE)</formula>
    </cfRule>
  </conditionalFormatting>
  <conditionalFormatting sqref="I7:I19">
    <cfRule type="expression" dxfId="1095" priority="31">
      <formula>IF($G7&lt;$I7,TRUE)</formula>
    </cfRule>
  </conditionalFormatting>
  <conditionalFormatting sqref="F7:F19">
    <cfRule type="containsText" dxfId="1094" priority="17" operator="containsText" text="vaba voor">
      <formula>NOT(ISERROR(SEARCH("vaba voor",F7)))</formula>
    </cfRule>
  </conditionalFormatting>
  <conditionalFormatting sqref="N7:N19">
    <cfRule type="containsText" dxfId="1093" priority="15" operator="containsText" text="vaba voor">
      <formula>NOT(ISERROR(SEARCH("vaba voor",N7)))</formula>
    </cfRule>
  </conditionalFormatting>
  <conditionalFormatting sqref="R7:R19">
    <cfRule type="containsText" dxfId="1092" priority="18" operator="containsText" text="vaba voor">
      <formula>NOT(ISERROR(SEARCH("vaba voor",R7)))</formula>
    </cfRule>
  </conditionalFormatting>
  <conditionalFormatting sqref="V7:V19">
    <cfRule type="containsText" dxfId="1091" priority="14" operator="containsText" text="vaba voor">
      <formula>NOT(ISERROR(SEARCH("vaba voor",V7)))</formula>
    </cfRule>
  </conditionalFormatting>
  <conditionalFormatting sqref="J7:J19">
    <cfRule type="containsText" dxfId="1090" priority="16" operator="containsText" text="vaba voor">
      <formula>NOT(ISERROR(SEARCH("vaba voor",J7)))</formula>
    </cfRule>
  </conditionalFormatting>
  <conditionalFormatting sqref="C7:F19">
    <cfRule type="expression" dxfId="1089" priority="22">
      <formula>IF(AND(ISNUMBER($C7),$C7=$E7),TRUE)</formula>
    </cfRule>
    <cfRule type="expression" dxfId="1088" priority="24">
      <formula>IF($C7&gt;$E7,TRUE)</formula>
    </cfRule>
    <cfRule type="expression" dxfId="1087" priority="25">
      <formula>IF($C7&lt;$E7,TRUE)</formula>
    </cfRule>
  </conditionalFormatting>
  <conditionalFormatting sqref="G7:J19">
    <cfRule type="expression" dxfId="1086" priority="23">
      <formula>IF(AND(ISNUMBER($G7),$G7=$I7),TRUE)</formula>
    </cfRule>
    <cfRule type="expression" dxfId="1085" priority="28">
      <formula>IF($G7&gt;$I7,TRUE)</formula>
    </cfRule>
    <cfRule type="expression" dxfId="1084" priority="29">
      <formula>IF($G7&lt;$I7,TRUE)</formula>
    </cfRule>
  </conditionalFormatting>
  <conditionalFormatting sqref="K7:N19">
    <cfRule type="expression" dxfId="1083" priority="21">
      <formula>IF(AND(ISNUMBER($K7),$K7=$M7),TRUE)</formula>
    </cfRule>
    <cfRule type="expression" dxfId="1082" priority="32">
      <formula>IF($K7&gt;$M7,TRUE)</formula>
    </cfRule>
    <cfRule type="expression" dxfId="1081" priority="33">
      <formula>IF($K7&lt;$M7,TRUE)</formula>
    </cfRule>
  </conditionalFormatting>
  <conditionalFormatting sqref="O7:R19">
    <cfRule type="expression" dxfId="1080" priority="20">
      <formula>IF(AND(ISNUMBER($O7),$O7=$Q7),TRUE)</formula>
    </cfRule>
    <cfRule type="expression" dxfId="1079" priority="36">
      <formula>IF($O7&gt;$Q7,TRUE)</formula>
    </cfRule>
    <cfRule type="expression" dxfId="1078" priority="37">
      <formula>IF($O7&lt;$Q7,TRUE)</formula>
    </cfRule>
  </conditionalFormatting>
  <conditionalFormatting sqref="S7:V19">
    <cfRule type="expression" dxfId="1077" priority="19">
      <formula>IF(AND(ISNUMBER($S7),$S7=$U7),TRUE)</formula>
    </cfRule>
    <cfRule type="expression" dxfId="1076" priority="40">
      <formula>IF($S7&gt;$U7,TRUE)</formula>
    </cfRule>
    <cfRule type="expression" dxfId="1075" priority="41">
      <formula>IF($S7&lt;$U7,TRUE)</formula>
    </cfRule>
  </conditionalFormatting>
  <conditionalFormatting sqref="E7:E19 I7:I19 M7:M19 Q7:Q19 U7:U19">
    <cfRule type="expression" dxfId="1074" priority="13">
      <formula>AND(E7=0,C7=13)</formula>
    </cfRule>
  </conditionalFormatting>
  <conditionalFormatting sqref="A7:A19">
    <cfRule type="duplicateValues" dxfId="1073" priority="44"/>
  </conditionalFormatting>
  <conditionalFormatting sqref="AJ7:AJ19">
    <cfRule type="expression" dxfId="1072" priority="5">
      <formula>AND(AI7="",FIND(",",AJ7))</formula>
    </cfRule>
    <cfRule type="expression" dxfId="1071" priority="7">
      <formula>AND(AI7="",COUNTIF(AJ7,"*,*")=0)</formula>
    </cfRule>
  </conditionalFormatting>
  <conditionalFormatting sqref="AH7:AH19">
    <cfRule type="expression" dxfId="1070" priority="8">
      <formula>AND(AG7="",FIND(",",AH7))</formula>
    </cfRule>
    <cfRule type="expression" dxfId="1069" priority="9">
      <formula>AND(AG7="",COUNTIF(AH7,"*,*")=0)</formula>
    </cfRule>
  </conditionalFormatting>
  <conditionalFormatting sqref="AL7:AL19">
    <cfRule type="expression" dxfId="1068" priority="10">
      <formula>AND(AK7="",FIND(",",AL7))</formula>
    </cfRule>
    <cfRule type="expression" dxfId="1067" priority="11">
      <formula>AND(AK7="",COUNTIF(AL7,"*,*")=0)</formula>
    </cfRule>
  </conditionalFormatting>
  <conditionalFormatting sqref="AF7:AF19">
    <cfRule type="expression" dxfId="1066" priority="6">
      <formula>AND(AE7="",COUNTIF(AF7,"*,*")=0)</formula>
    </cfRule>
  </conditionalFormatting>
  <conditionalFormatting sqref="AN7:AN19">
    <cfRule type="expression" dxfId="1065" priority="2">
      <formula>AND(AM7="",COUNTIF(AN7,"*,*")=0)</formula>
    </cfRule>
    <cfRule type="expression" dxfId="1064" priority="4">
      <formula>AND(AM7="",FIND(",",AN7))</formula>
    </cfRule>
  </conditionalFormatting>
  <conditionalFormatting sqref="AP7:AP19">
    <cfRule type="expression" dxfId="1063" priority="1">
      <formula>AND(AO7="",COUNTIF(AP7,"*,*")=0)</formula>
    </cfRule>
    <cfRule type="expression" dxfId="1062" priority="3">
      <formula>AND(AO7="",FIND(",",AP7))</formula>
    </cfRule>
  </conditionalFormatting>
  <pageMargins left="0.78740157480314965" right="0.39370078740157483" top="0.78740157480314965" bottom="0.39370078740157483" header="0.78740157480314965" footer="0"/>
  <pageSetup paperSize="9" fitToHeight="0" orientation="landscape" verticalDpi="1200" r:id="rId1"/>
  <headerFooter>
    <oddHeader>&amp;R&amp;P. leht &amp;N&amp; -st</oddHeader>
  </headerFooter>
  <rowBreaks count="1" manualBreakCount="1">
    <brk id="297"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AP309"/>
  <sheetViews>
    <sheetView showGridLines="0" showRowColHeaders="0" workbookViewId="0">
      <pane ySplit="1" topLeftCell="A2" activePane="bottomLeft" state="frozen"/>
      <selection pane="bottomLeft" activeCell="A5" sqref="A5"/>
    </sheetView>
  </sheetViews>
  <sheetFormatPr defaultRowHeight="12.75" x14ac:dyDescent="0.2"/>
  <cols>
    <col min="1" max="1" width="3.28515625" style="1" customWidth="1"/>
    <col min="2" max="2" width="33.28515625" style="1" bestFit="1" customWidth="1"/>
    <col min="3" max="3" width="4.7109375" style="1" customWidth="1"/>
    <col min="4" max="4" width="1.140625" style="1" customWidth="1"/>
    <col min="5" max="5" width="2.7109375" style="1" customWidth="1"/>
    <col min="6" max="6" width="9.140625" style="1"/>
    <col min="7" max="7" width="2.7109375" style="1" customWidth="1"/>
    <col min="8" max="8" width="1.140625" style="1" customWidth="1"/>
    <col min="9" max="9" width="2.7109375" style="1" customWidth="1"/>
    <col min="10" max="10" width="9.140625" style="1"/>
    <col min="11" max="11" width="2.7109375" style="1" customWidth="1"/>
    <col min="12" max="12" width="1.140625" style="1" customWidth="1"/>
    <col min="13" max="13" width="2.7109375" style="1" customWidth="1"/>
    <col min="14" max="14" width="9.140625" style="1"/>
    <col min="15" max="15" width="2.7109375" style="1" customWidth="1"/>
    <col min="16" max="16" width="1.140625" style="1" customWidth="1"/>
    <col min="17" max="17" width="2.7109375" style="1" customWidth="1"/>
    <col min="18" max="18" width="9.140625" style="1"/>
    <col min="19" max="19" width="2.7109375" style="1" customWidth="1"/>
    <col min="20" max="20" width="1.140625" style="1" customWidth="1"/>
    <col min="21" max="21" width="2.7109375" style="1" customWidth="1"/>
    <col min="22" max="22" width="9.140625" style="1"/>
    <col min="23" max="23" width="5.7109375" style="1" bestFit="1" customWidth="1"/>
    <col min="24" max="24" width="5.5703125" style="1" hidden="1" customWidth="1"/>
    <col min="25" max="25" width="2.7109375" style="1" customWidth="1"/>
    <col min="26" max="26" width="1.140625" style="1" customWidth="1"/>
    <col min="27" max="27" width="2.7109375" style="1" customWidth="1"/>
    <col min="28" max="28" width="4.7109375" style="1" customWidth="1"/>
    <col min="29" max="29" width="9.140625" style="1"/>
    <col min="30" max="31" width="9.140625" style="1" hidden="1" customWidth="1"/>
    <col min="32" max="32" width="18.28515625" style="1" hidden="1" customWidth="1"/>
    <col min="33" max="33" width="9.140625" style="1" hidden="1" customWidth="1"/>
    <col min="34" max="34" width="16.5703125" style="1" hidden="1" customWidth="1"/>
    <col min="35" max="35" width="9.140625" style="1" hidden="1" customWidth="1"/>
    <col min="36" max="36" width="17.28515625" style="1" hidden="1" customWidth="1"/>
    <col min="37" max="37" width="9.140625" style="1" hidden="1" customWidth="1"/>
    <col min="38" max="38" width="13.85546875" style="1" hidden="1" customWidth="1"/>
    <col min="39" max="39" width="9.140625" style="1" hidden="1" customWidth="1"/>
    <col min="40" max="40" width="17.28515625" style="1" hidden="1" customWidth="1"/>
    <col min="41" max="41" width="9.140625" style="1" hidden="1" customWidth="1"/>
    <col min="42" max="42" width="13.85546875" style="1" hidden="1" customWidth="1"/>
    <col min="43" max="16384" width="9.140625" style="1"/>
  </cols>
  <sheetData>
    <row r="1" spans="1:42" x14ac:dyDescent="0.2">
      <c r="A1" s="400" t="str">
        <f>UPPER((Kalend!E40)&amp;" - "&amp;(Kalend!C40))&amp;" - "&amp;LOWER(Kalend!D40)&amp;" - "&amp;(Kalend!A40)&amp;" kell "&amp;(Kalend!B40)&amp;" - "&amp;(Kalend!F40)</f>
        <v>IV-SD - IDA-VIRUMAA SISE-MV - segaduo - P, 08.03.2020 kell 11:00 - Voka petangihall</v>
      </c>
      <c r="O1" s="271"/>
      <c r="P1" s="271"/>
      <c r="Q1" s="312"/>
      <c r="R1" s="312"/>
      <c r="S1" s="312"/>
      <c r="T1" s="70"/>
      <c r="U1" s="70"/>
      <c r="V1" s="70"/>
      <c r="W1" s="271"/>
      <c r="X1" s="402"/>
      <c r="Y1" s="271"/>
      <c r="Z1" s="271"/>
      <c r="AD1" s="152" t="s">
        <v>94</v>
      </c>
      <c r="AE1" s="402"/>
      <c r="AF1" s="402"/>
      <c r="AG1" s="402"/>
      <c r="AH1" s="402"/>
      <c r="AI1" s="402"/>
      <c r="AJ1" s="402"/>
      <c r="AK1" s="402"/>
      <c r="AL1" s="402"/>
      <c r="AM1" s="402"/>
      <c r="AN1" s="402"/>
      <c r="AO1" s="532"/>
      <c r="AP1" s="532"/>
    </row>
    <row r="2" spans="1:42" hidden="1" x14ac:dyDescent="0.2">
      <c r="A2" s="151"/>
      <c r="B2" s="151"/>
      <c r="C2" s="151"/>
      <c r="D2" s="151"/>
      <c r="E2" s="151"/>
      <c r="F2" s="271"/>
      <c r="G2" s="151"/>
      <c r="H2" s="151"/>
      <c r="I2" s="151"/>
      <c r="J2" s="151"/>
      <c r="K2" s="151"/>
      <c r="L2" s="409"/>
      <c r="M2" s="409"/>
      <c r="N2" s="409"/>
      <c r="O2" s="271"/>
      <c r="P2" s="271"/>
      <c r="Q2" s="271"/>
      <c r="R2" s="271"/>
      <c r="S2" s="151"/>
      <c r="T2" s="151"/>
      <c r="U2" s="151"/>
      <c r="V2" s="410" t="s">
        <v>253</v>
      </c>
      <c r="W2" s="411">
        <v>1</v>
      </c>
      <c r="X2" s="151"/>
      <c r="Y2" s="271" t="s">
        <v>254</v>
      </c>
      <c r="Z2" s="151"/>
      <c r="AA2" s="151"/>
      <c r="AB2" s="151"/>
      <c r="AD2" s="271"/>
      <c r="AE2" s="271"/>
      <c r="AF2" s="271"/>
      <c r="AG2" s="271"/>
      <c r="AH2" s="271"/>
      <c r="AI2" s="271"/>
      <c r="AJ2" s="412"/>
      <c r="AK2" s="271"/>
      <c r="AL2" s="271"/>
      <c r="AM2" s="271"/>
      <c r="AN2" s="271"/>
    </row>
    <row r="3" spans="1:42" hidden="1" x14ac:dyDescent="0.2">
      <c r="A3" s="151"/>
      <c r="B3" s="151"/>
      <c r="C3" s="151"/>
      <c r="D3" s="151"/>
      <c r="E3" s="151"/>
      <c r="F3" s="271"/>
      <c r="G3" s="151"/>
      <c r="H3" s="151"/>
      <c r="I3" s="151"/>
      <c r="J3" s="151"/>
      <c r="K3" s="151"/>
      <c r="L3" s="409"/>
      <c r="M3" s="409"/>
      <c r="N3" s="409"/>
      <c r="O3" s="271"/>
      <c r="P3" s="271"/>
      <c r="Q3" s="271"/>
      <c r="R3" s="271"/>
      <c r="S3" s="151"/>
      <c r="T3" s="151"/>
      <c r="U3" s="151"/>
      <c r="V3" s="413" t="s">
        <v>255</v>
      </c>
      <c r="W3" s="411">
        <v>0.5</v>
      </c>
      <c r="X3" s="151"/>
      <c r="Y3" s="271" t="s">
        <v>254</v>
      </c>
      <c r="Z3" s="151"/>
      <c r="AA3" s="151"/>
      <c r="AB3" s="151"/>
      <c r="AE3" s="271"/>
      <c r="AG3" s="271"/>
      <c r="AH3" s="271"/>
      <c r="AI3" s="271"/>
      <c r="AJ3" s="271"/>
      <c r="AK3" s="271"/>
      <c r="AL3" s="271"/>
      <c r="AM3" s="271"/>
      <c r="AN3" s="271"/>
    </row>
    <row r="4" spans="1:42" hidden="1" x14ac:dyDescent="0.2">
      <c r="A4" s="151"/>
      <c r="B4" s="151"/>
      <c r="C4" s="151"/>
      <c r="D4" s="151"/>
      <c r="E4" s="151"/>
      <c r="F4" s="271"/>
      <c r="G4" s="151"/>
      <c r="H4" s="151"/>
      <c r="I4" s="151"/>
      <c r="J4" s="151"/>
      <c r="K4" s="151"/>
      <c r="L4" s="271"/>
      <c r="M4" s="271"/>
      <c r="N4" s="271"/>
      <c r="O4" s="271"/>
      <c r="P4" s="271"/>
      <c r="Q4" s="271"/>
      <c r="R4" s="271"/>
      <c r="S4" s="151"/>
      <c r="T4" s="151"/>
      <c r="U4" s="151"/>
      <c r="V4" s="414" t="s">
        <v>256</v>
      </c>
      <c r="W4" s="411">
        <v>0</v>
      </c>
      <c r="X4" s="151"/>
      <c r="Y4" s="271" t="s">
        <v>254</v>
      </c>
      <c r="Z4" s="151"/>
      <c r="AA4" s="271"/>
      <c r="AB4" s="151"/>
      <c r="AE4" s="409"/>
      <c r="AF4" s="409"/>
      <c r="AG4" s="409"/>
      <c r="AH4" s="376"/>
      <c r="AI4" s="409"/>
      <c r="AJ4" s="409"/>
      <c r="AK4" s="409"/>
      <c r="AL4" s="409"/>
      <c r="AM4" s="409"/>
      <c r="AN4" s="409"/>
      <c r="AO4" s="409"/>
      <c r="AP4" s="409"/>
    </row>
    <row r="5" spans="1:42" x14ac:dyDescent="0.2">
      <c r="A5" s="151"/>
      <c r="B5" s="151"/>
      <c r="C5" s="151"/>
      <c r="D5" s="151"/>
      <c r="E5" s="151"/>
      <c r="F5" s="271"/>
      <c r="G5" s="151"/>
      <c r="H5" s="151"/>
      <c r="I5" s="151"/>
      <c r="J5" s="151"/>
      <c r="K5" s="151"/>
      <c r="L5" s="271"/>
      <c r="M5" s="271"/>
      <c r="N5" s="271"/>
      <c r="O5" s="271"/>
      <c r="P5" s="271"/>
      <c r="Q5" s="271"/>
      <c r="R5" s="271"/>
      <c r="S5" s="271"/>
      <c r="T5" s="271"/>
      <c r="U5" s="271"/>
      <c r="V5" s="271"/>
      <c r="W5" s="271"/>
      <c r="X5" s="271"/>
      <c r="Y5" s="271"/>
      <c r="Z5" s="271"/>
      <c r="AA5" s="967" t="s">
        <v>476</v>
      </c>
      <c r="AB5" s="151"/>
      <c r="AC5" s="271"/>
      <c r="AD5" s="964" t="s">
        <v>214</v>
      </c>
    </row>
    <row r="6" spans="1:42" x14ac:dyDescent="0.2">
      <c r="A6" s="607" t="s">
        <v>10</v>
      </c>
      <c r="B6" s="607" t="s">
        <v>79</v>
      </c>
      <c r="C6" s="608" t="s">
        <v>171</v>
      </c>
      <c r="D6" s="609"/>
      <c r="E6" s="609"/>
      <c r="F6" s="610"/>
      <c r="G6" s="608" t="s">
        <v>174</v>
      </c>
      <c r="H6" s="609"/>
      <c r="I6" s="609"/>
      <c r="J6" s="610"/>
      <c r="K6" s="608" t="s">
        <v>177</v>
      </c>
      <c r="L6" s="609"/>
      <c r="M6" s="609"/>
      <c r="N6" s="610"/>
      <c r="O6" s="608" t="s">
        <v>180</v>
      </c>
      <c r="P6" s="609"/>
      <c r="Q6" s="609"/>
      <c r="R6" s="610"/>
      <c r="S6" s="608" t="s">
        <v>182</v>
      </c>
      <c r="T6" s="609"/>
      <c r="U6" s="609"/>
      <c r="V6" s="610"/>
      <c r="W6" s="607" t="s">
        <v>102</v>
      </c>
      <c r="X6" s="611" t="s">
        <v>361</v>
      </c>
      <c r="Y6" s="611"/>
      <c r="Z6" s="612" t="s">
        <v>362</v>
      </c>
      <c r="AA6" s="613"/>
      <c r="AB6" s="271"/>
      <c r="AC6" s="271"/>
      <c r="AD6" s="272" t="s">
        <v>370</v>
      </c>
      <c r="AE6" s="273"/>
      <c r="AF6" s="273" t="s">
        <v>249</v>
      </c>
      <c r="AG6" s="273"/>
      <c r="AH6" s="403" t="s">
        <v>250</v>
      </c>
      <c r="AI6" s="273"/>
      <c r="AJ6" s="273" t="s">
        <v>251</v>
      </c>
      <c r="AK6" s="274"/>
      <c r="AL6" s="273" t="s">
        <v>252</v>
      </c>
      <c r="AM6" s="274"/>
      <c r="AN6" s="274" t="s">
        <v>472</v>
      </c>
      <c r="AO6" s="945"/>
      <c r="AP6" s="274" t="s">
        <v>473</v>
      </c>
    </row>
    <row r="7" spans="1:42" x14ac:dyDescent="0.2">
      <c r="A7" s="614">
        <v>1</v>
      </c>
      <c r="B7" s="459" t="s">
        <v>603</v>
      </c>
      <c r="C7" s="615">
        <v>13</v>
      </c>
      <c r="D7" s="616" t="s">
        <v>363</v>
      </c>
      <c r="E7" s="617">
        <v>12</v>
      </c>
      <c r="F7" s="618" t="str">
        <f>B14</f>
        <v>Irene Võrklaev, Peep Peenema</v>
      </c>
      <c r="G7" s="615">
        <v>13</v>
      </c>
      <c r="H7" s="616" t="s">
        <v>363</v>
      </c>
      <c r="I7" s="617">
        <v>11</v>
      </c>
      <c r="J7" s="618" t="str">
        <f>B16</f>
        <v>Aarne Välja, Sirje Viljaste</v>
      </c>
      <c r="K7" s="615">
        <v>13</v>
      </c>
      <c r="L7" s="616" t="s">
        <v>363</v>
      </c>
      <c r="M7" s="617">
        <v>5</v>
      </c>
      <c r="N7" s="618" t="str">
        <f>B11</f>
        <v>Kenneth Muusikus, Martha Aavisto</v>
      </c>
      <c r="O7" s="615">
        <v>13</v>
      </c>
      <c r="P7" s="616" t="s">
        <v>363</v>
      </c>
      <c r="Q7" s="617">
        <v>9</v>
      </c>
      <c r="R7" s="618" t="str">
        <f>B8</f>
        <v>Enn Tokman, Svetlana Veski</v>
      </c>
      <c r="S7" s="615">
        <v>13</v>
      </c>
      <c r="T7" s="616" t="s">
        <v>363</v>
      </c>
      <c r="U7" s="617">
        <v>10</v>
      </c>
      <c r="V7" s="618" t="str">
        <f>B9</f>
        <v>Oksana Rõndenkova, Oleg Rõndenkov</v>
      </c>
      <c r="W7" s="619">
        <f t="shared" ref="W7:W16" si="0">IF(C7&gt;E7,W$2,IF(C7&lt;E7,W$4,IF(ISNUMBER(C7),W$3,0)))+IF(G7&gt;I7,W$2,IF(G7&lt;I7,W$4,IF(ISNUMBER(G7),W$3,0)))+IF(K7&gt;M7,W$2,IF(K7&lt;M7,W$4,IF(ISNUMBER(K7),W$3,0)))+IF(O7&gt;Q7,W$2,IF(O7&lt;Q7,W$4,IF(ISNUMBER(O7),W$3,0)))+IF(S7&gt;U7,W$2,IF(S7&lt;U7,W$4,IF(ISNUMBER(S7),W$3,0)))</f>
        <v>5</v>
      </c>
      <c r="X7" s="620"/>
      <c r="Y7" s="615">
        <f>C7+G7+K7+O7+S7</f>
        <v>65</v>
      </c>
      <c r="Z7" s="616" t="s">
        <v>363</v>
      </c>
      <c r="AA7" s="621">
        <f>E7+I7+M7+Q7+U7</f>
        <v>47</v>
      </c>
      <c r="AB7" s="622">
        <f>Y7-AA7</f>
        <v>18</v>
      </c>
      <c r="AD7" s="405">
        <f>SUM(AE7:AP7)</f>
        <v>313</v>
      </c>
      <c r="AE7" s="406">
        <f>IFERROR(INDEX(V!$R:$R,MATCH(AF7,V!$L:$L,0)),"")</f>
        <v>145</v>
      </c>
      <c r="AF7" s="407" t="str">
        <f>IFERROR(LEFT($B7,(FIND(",",$B7,1)-1)),"")</f>
        <v>Aigi Orro</v>
      </c>
      <c r="AG7" s="406">
        <f>IFERROR(INDEX(V!$R:$R,MATCH(AH7,V!$L:$L,0)),"")</f>
        <v>168</v>
      </c>
      <c r="AH7" s="407" t="str">
        <f>IFERROR(MID($B7,FIND(", ",$B7)+2,256),"")</f>
        <v>Matti Vinni</v>
      </c>
      <c r="AI7" s="406" t="str">
        <f>IFERROR(INDEX(V!$R:$R,MATCH(AJ7,V!$L:$L,0)),"")</f>
        <v/>
      </c>
      <c r="AJ7" s="407" t="str">
        <f>IFERROR(MID($B7,FIND("^",SUBSTITUTE($B7,", ","^",1))+2,FIND("^",SUBSTITUTE($B7,", ","^",2))-FIND("^",SUBSTITUTE($B7,", ","^",1))-2),"")</f>
        <v/>
      </c>
      <c r="AK7" s="406" t="str">
        <f>IFERROR(INDEX(V!$R:$R,MATCH(AL7,V!$L:$L,0)),"")</f>
        <v/>
      </c>
      <c r="AL7" s="407" t="str">
        <f>IFERROR(MID($B7,FIND(", ",$B7,FIND(", ",$B7,FIND(", ",$B7))+1)+2,30000),"")</f>
        <v/>
      </c>
      <c r="AM7" s="406" t="str">
        <f>IFERROR(INDEX(V!$R:$R,MATCH(AN7,V!$L:$L,0)),"")</f>
        <v/>
      </c>
      <c r="AN7" s="407" t="str">
        <f>IFERROR(MID($B7,FIND(", ",$B7,FIND(", ",$B7)+1)+2,FIND(", ",$B7,FIND(", ",$B7,FIND(", ",$B7)+1)+1)-FIND(", ",$B7,FIND(", ",$B7)+1)-2),"")</f>
        <v/>
      </c>
      <c r="AO7" s="406" t="str">
        <f>IFERROR(INDEX(V!$R:$R,MATCH(AP7,V!$L:$L,0)),"")</f>
        <v/>
      </c>
      <c r="AP7" s="407" t="str">
        <f>IFERROR(MID($B7,FIND(", ",$B7,FIND(", ",$B7,FIND(", ",$B7)+1)+1)+2,30000),"")</f>
        <v/>
      </c>
    </row>
    <row r="8" spans="1:42" x14ac:dyDescent="0.2">
      <c r="A8" s="614">
        <v>2</v>
      </c>
      <c r="B8" s="459" t="s">
        <v>595</v>
      </c>
      <c r="C8" s="615">
        <v>13</v>
      </c>
      <c r="D8" s="616" t="s">
        <v>363</v>
      </c>
      <c r="E8" s="617">
        <v>7</v>
      </c>
      <c r="F8" s="618" t="str">
        <f>B16</f>
        <v>Aarne Välja, Sirje Viljaste</v>
      </c>
      <c r="G8" s="615">
        <v>13</v>
      </c>
      <c r="H8" s="616" t="s">
        <v>363</v>
      </c>
      <c r="I8" s="617">
        <v>10</v>
      </c>
      <c r="J8" s="618" t="str">
        <f>B12</f>
        <v>Kaspar Mänd, Veroonika Mendes</v>
      </c>
      <c r="K8" s="615">
        <v>13</v>
      </c>
      <c r="L8" s="616" t="s">
        <v>363</v>
      </c>
      <c r="M8" s="617">
        <v>5</v>
      </c>
      <c r="N8" s="618" t="str">
        <f>B9</f>
        <v>Oksana Rõndenkova, Oleg Rõndenkov</v>
      </c>
      <c r="O8" s="615">
        <v>9</v>
      </c>
      <c r="P8" s="616" t="s">
        <v>363</v>
      </c>
      <c r="Q8" s="617">
        <v>13</v>
      </c>
      <c r="R8" s="618" t="str">
        <f>B7</f>
        <v>Aigi Orro, Matti Vinni</v>
      </c>
      <c r="S8" s="615">
        <v>13</v>
      </c>
      <c r="T8" s="616" t="s">
        <v>363</v>
      </c>
      <c r="U8" s="617">
        <v>6</v>
      </c>
      <c r="V8" s="618" t="str">
        <f>B11</f>
        <v>Kenneth Muusikus, Martha Aavisto</v>
      </c>
      <c r="W8" s="619">
        <f t="shared" si="0"/>
        <v>4</v>
      </c>
      <c r="X8" s="620"/>
      <c r="Y8" s="615">
        <f t="shared" ref="Y8:Y16" si="1">C8+G8+K8+O8+S8</f>
        <v>61</v>
      </c>
      <c r="Z8" s="616" t="s">
        <v>363</v>
      </c>
      <c r="AA8" s="621">
        <f t="shared" ref="AA8:AA16" si="2">E8+I8+M8+Q8+U8</f>
        <v>41</v>
      </c>
      <c r="AB8" s="622">
        <f t="shared" ref="AB8:AB16" si="3">Y8-AA8</f>
        <v>20</v>
      </c>
      <c r="AD8" s="405">
        <f t="shared" ref="AD8:AD16" si="4">SUM(AE8:AP8)</f>
        <v>185</v>
      </c>
      <c r="AE8" s="406">
        <f>IFERROR(INDEX(V!$R:$R,MATCH(AF8,V!$L:$L,0)),"")</f>
        <v>118</v>
      </c>
      <c r="AF8" s="407" t="str">
        <f t="shared" ref="AF8:AF16" si="5">IFERROR(LEFT($B8,(FIND(",",$B8,1)-1)),"")</f>
        <v>Enn Tokman</v>
      </c>
      <c r="AG8" s="406">
        <f>IFERROR(INDEX(V!$R:$R,MATCH(AH8,V!$L:$L,0)),"")</f>
        <v>67</v>
      </c>
      <c r="AH8" s="407" t="str">
        <f t="shared" ref="AH8:AH16" si="6">IFERROR(MID($B8,FIND(", ",$B8)+2,256),"")</f>
        <v>Svetlana Veski</v>
      </c>
      <c r="AI8" s="406" t="str">
        <f>IFERROR(INDEX(V!$R:$R,MATCH(AJ8,V!$L:$L,0)),"")</f>
        <v/>
      </c>
      <c r="AJ8" s="407" t="str">
        <f t="shared" ref="AJ8:AJ16" si="7">IFERROR(MID($B8,FIND("^",SUBSTITUTE($B8,", ","^",1))+2,FIND("^",SUBSTITUTE($B8,", ","^",2))-FIND("^",SUBSTITUTE($B8,", ","^",1))-2),"")</f>
        <v/>
      </c>
      <c r="AK8" s="406" t="str">
        <f>IFERROR(INDEX(V!$R:$R,MATCH(AL8,V!$L:$L,0)),"")</f>
        <v/>
      </c>
      <c r="AL8" s="407" t="str">
        <f t="shared" ref="AL8:AL16" si="8">IFERROR(MID($B8,FIND(", ",$B8,FIND(", ",$B8,FIND(", ",$B8))+1)+2,30000),"")</f>
        <v/>
      </c>
      <c r="AM8" s="406" t="str">
        <f>IFERROR(INDEX(V!$R:$R,MATCH(AN8,V!$L:$L,0)),"")</f>
        <v/>
      </c>
      <c r="AN8" s="407" t="str">
        <f t="shared" ref="AN8:AN16" si="9">IFERROR(MID($B8,FIND(", ",$B8,FIND(", ",$B8)+1)+2,FIND(", ",$B8,FIND(", ",$B8,FIND(", ",$B8)+1)+1)-FIND(", ",$B8,FIND(", ",$B8)+1)-2),"")</f>
        <v/>
      </c>
      <c r="AO8" s="406" t="str">
        <f>IFERROR(INDEX(V!$R:$R,MATCH(AP8,V!$L:$L,0)),"")</f>
        <v/>
      </c>
      <c r="AP8" s="407" t="str">
        <f t="shared" ref="AP8:AP16" si="10">IFERROR(MID($B8,FIND(", ",$B8,FIND(", ",$B8,FIND(", ",$B8)+1)+1)+2,30000),"")</f>
        <v/>
      </c>
    </row>
    <row r="9" spans="1:42" x14ac:dyDescent="0.2">
      <c r="A9" s="614">
        <v>3</v>
      </c>
      <c r="B9" s="479" t="s">
        <v>430</v>
      </c>
      <c r="C9" s="615">
        <v>13</v>
      </c>
      <c r="D9" s="616" t="s">
        <v>363</v>
      </c>
      <c r="E9" s="617">
        <v>6</v>
      </c>
      <c r="F9" s="618" t="str">
        <f>B13</f>
        <v>Aurelia Meldre, Janek Tarto</v>
      </c>
      <c r="G9" s="615">
        <v>13</v>
      </c>
      <c r="H9" s="616" t="s">
        <v>363</v>
      </c>
      <c r="I9" s="617">
        <v>6</v>
      </c>
      <c r="J9" s="618" t="str">
        <f>B11</f>
        <v>Kenneth Muusikus, Martha Aavisto</v>
      </c>
      <c r="K9" s="615">
        <v>5</v>
      </c>
      <c r="L9" s="616" t="s">
        <v>363</v>
      </c>
      <c r="M9" s="617">
        <v>13</v>
      </c>
      <c r="N9" s="618" t="str">
        <f>B8</f>
        <v>Enn Tokman, Svetlana Veski</v>
      </c>
      <c r="O9" s="615">
        <v>13</v>
      </c>
      <c r="P9" s="616" t="s">
        <v>363</v>
      </c>
      <c r="Q9" s="617">
        <v>10</v>
      </c>
      <c r="R9" s="618" t="str">
        <f>B12</f>
        <v>Kaspar Mänd, Veroonika Mendes</v>
      </c>
      <c r="S9" s="615">
        <v>10</v>
      </c>
      <c r="T9" s="616" t="s">
        <v>363</v>
      </c>
      <c r="U9" s="617">
        <v>13</v>
      </c>
      <c r="V9" s="618" t="str">
        <f>B7</f>
        <v>Aigi Orro, Matti Vinni</v>
      </c>
      <c r="W9" s="1116">
        <f>IF(C9&gt;E9,W$2,IF(C9&lt;E9,W$4,IF(ISNUMBER(C9),W$3,0)))+IF(G9&gt;I9,W$2,IF(G9&lt;I9,W$4,IF(ISNUMBER(G9),W$3,0)))+IF(K9&gt;M9,W$2,IF(K9&lt;M9,W$4,IF(ISNUMBER(K9),W$3,0)))+IF(O9&gt;Q9,W$2,IF(O9&lt;Q9,W$4,IF(ISNUMBER(O9),W$3,0)))+IF(S9&gt;U9,W$2,IF(S9&lt;U9,W$4,IF(ISNUMBER(S9),W$3,0)))</f>
        <v>3</v>
      </c>
      <c r="X9" s="620"/>
      <c r="Y9" s="615">
        <f>C9+G9+K9+O9+S9</f>
        <v>54</v>
      </c>
      <c r="Z9" s="616" t="s">
        <v>363</v>
      </c>
      <c r="AA9" s="621">
        <f>E9+I9+M9+Q9+U9</f>
        <v>48</v>
      </c>
      <c r="AB9" s="622">
        <f>Y9-AA9</f>
        <v>6</v>
      </c>
      <c r="AD9" s="405">
        <f>SUM(AE9:AP9)</f>
        <v>126</v>
      </c>
      <c r="AE9" s="406" t="str">
        <f>IFERROR(INDEX(V!$R:$R,MATCH(AF9,V!$L:$L,0)),"")</f>
        <v/>
      </c>
      <c r="AF9" s="407" t="str">
        <f>IFERROR(LEFT($B9,(FIND(",",$B9,1)-1)),"")</f>
        <v>Oksana Rõndenkova</v>
      </c>
      <c r="AG9" s="406">
        <f>IFERROR(INDEX(V!$R:$R,MATCH(AH9,V!$L:$L,0)),"")</f>
        <v>126</v>
      </c>
      <c r="AH9" s="407" t="str">
        <f>IFERROR(MID($B9,FIND(", ",$B9)+2,256),"")</f>
        <v>Oleg Rõndenkov</v>
      </c>
      <c r="AI9" s="406" t="str">
        <f>IFERROR(INDEX(V!$R:$R,MATCH(AJ9,V!$L:$L,0)),"")</f>
        <v/>
      </c>
      <c r="AJ9" s="407" t="str">
        <f>IFERROR(MID($B9,FIND("^",SUBSTITUTE($B9,", ","^",1))+2,FIND("^",SUBSTITUTE($B9,", ","^",2))-FIND("^",SUBSTITUTE($B9,", ","^",1))-2),"")</f>
        <v/>
      </c>
      <c r="AK9" s="406" t="str">
        <f>IFERROR(INDEX(V!$R:$R,MATCH(AL9,V!$L:$L,0)),"")</f>
        <v/>
      </c>
      <c r="AL9" s="407" t="str">
        <f>IFERROR(MID($B9,FIND(", ",$B9,FIND(", ",$B9,FIND(", ",$B9))+1)+2,30000),"")</f>
        <v/>
      </c>
      <c r="AM9" s="406" t="str">
        <f>IFERROR(INDEX(V!$R:$R,MATCH(AN9,V!$L:$L,0)),"")</f>
        <v/>
      </c>
      <c r="AN9" s="407" t="str">
        <f>IFERROR(MID($B9,FIND(", ",$B9,FIND(", ",$B9)+1)+2,FIND(", ",$B9,FIND(", ",$B9,FIND(", ",$B9)+1)+1)-FIND(", ",$B9,FIND(", ",$B9)+1)-2),"")</f>
        <v/>
      </c>
      <c r="AO9" s="406" t="str">
        <f>IFERROR(INDEX(V!$R:$R,MATCH(AP9,V!$L:$L,0)),"")</f>
        <v/>
      </c>
      <c r="AP9" s="407" t="str">
        <f>IFERROR(MID($B9,FIND(", ",$B9,FIND(", ",$B9,FIND(", ",$B9)+1)+1)+2,30000),"")</f>
        <v/>
      </c>
    </row>
    <row r="10" spans="1:42" x14ac:dyDescent="0.2">
      <c r="A10" s="614">
        <v>4</v>
      </c>
      <c r="B10" s="479" t="s">
        <v>309</v>
      </c>
      <c r="C10" s="615">
        <v>1</v>
      </c>
      <c r="D10" s="616" t="s">
        <v>363</v>
      </c>
      <c r="E10" s="617">
        <v>13</v>
      </c>
      <c r="F10" s="618" t="str">
        <f>B11</f>
        <v>Kenneth Muusikus, Martha Aavisto</v>
      </c>
      <c r="G10" s="615">
        <v>13</v>
      </c>
      <c r="H10" s="616" t="s">
        <v>363</v>
      </c>
      <c r="I10" s="617">
        <v>11</v>
      </c>
      <c r="J10" s="618" t="str">
        <f>B13</f>
        <v>Aurelia Meldre, Janek Tarto</v>
      </c>
      <c r="K10" s="615">
        <v>13</v>
      </c>
      <c r="L10" s="616" t="s">
        <v>363</v>
      </c>
      <c r="M10" s="617">
        <v>7</v>
      </c>
      <c r="N10" s="618" t="str">
        <f>B15</f>
        <v>Heili Vasser, Vello Vasser</v>
      </c>
      <c r="O10" s="615">
        <v>9</v>
      </c>
      <c r="P10" s="616" t="s">
        <v>363</v>
      </c>
      <c r="Q10" s="617">
        <v>13</v>
      </c>
      <c r="R10" s="618" t="str">
        <f>B14</f>
        <v>Irene Võrklaev, Peep Peenema</v>
      </c>
      <c r="S10" s="615">
        <v>13</v>
      </c>
      <c r="T10" s="616" t="s">
        <v>363</v>
      </c>
      <c r="U10" s="617">
        <v>10</v>
      </c>
      <c r="V10" s="618" t="str">
        <f>B12</f>
        <v>Kaspar Mänd, Veroonika Mendes</v>
      </c>
      <c r="W10" s="1116">
        <f t="shared" si="0"/>
        <v>3</v>
      </c>
      <c r="X10" s="620"/>
      <c r="Y10" s="615">
        <f t="shared" si="1"/>
        <v>49</v>
      </c>
      <c r="Z10" s="616" t="s">
        <v>363</v>
      </c>
      <c r="AA10" s="621">
        <f t="shared" si="2"/>
        <v>54</v>
      </c>
      <c r="AB10" s="622">
        <f t="shared" si="3"/>
        <v>-5</v>
      </c>
      <c r="AD10" s="405">
        <f t="shared" si="4"/>
        <v>224</v>
      </c>
      <c r="AE10" s="406">
        <f>IFERROR(INDEX(V!$R:$R,MATCH(AF10,V!$L:$L,0)),"")</f>
        <v>112</v>
      </c>
      <c r="AF10" s="407" t="str">
        <f t="shared" si="5"/>
        <v>Ljudmila Varendi</v>
      </c>
      <c r="AG10" s="406">
        <f>IFERROR(INDEX(V!$R:$R,MATCH(AH10,V!$L:$L,0)),"")</f>
        <v>112</v>
      </c>
      <c r="AH10" s="407" t="str">
        <f t="shared" si="6"/>
        <v>Viktor Švarõgin</v>
      </c>
      <c r="AI10" s="406" t="str">
        <f>IFERROR(INDEX(V!$R:$R,MATCH(AJ10,V!$L:$L,0)),"")</f>
        <v/>
      </c>
      <c r="AJ10" s="407" t="str">
        <f t="shared" si="7"/>
        <v/>
      </c>
      <c r="AK10" s="406" t="str">
        <f>IFERROR(INDEX(V!$R:$R,MATCH(AL10,V!$L:$L,0)),"")</f>
        <v/>
      </c>
      <c r="AL10" s="407" t="str">
        <f t="shared" si="8"/>
        <v/>
      </c>
      <c r="AM10" s="406" t="str">
        <f>IFERROR(INDEX(V!$R:$R,MATCH(AN10,V!$L:$L,0)),"")</f>
        <v/>
      </c>
      <c r="AN10" s="407" t="str">
        <f t="shared" si="9"/>
        <v/>
      </c>
      <c r="AO10" s="406" t="str">
        <f>IFERROR(INDEX(V!$R:$R,MATCH(AP10,V!$L:$L,0)),"")</f>
        <v/>
      </c>
      <c r="AP10" s="407" t="str">
        <f t="shared" si="10"/>
        <v/>
      </c>
    </row>
    <row r="11" spans="1:42" x14ac:dyDescent="0.2">
      <c r="A11" s="614">
        <v>5</v>
      </c>
      <c r="B11" s="459" t="s">
        <v>604</v>
      </c>
      <c r="C11" s="615">
        <v>13</v>
      </c>
      <c r="D11" s="616" t="s">
        <v>363</v>
      </c>
      <c r="E11" s="617">
        <v>1</v>
      </c>
      <c r="F11" s="618" t="str">
        <f>B10</f>
        <v>Ljudmila Varendi, Viktor Švarõgin</v>
      </c>
      <c r="G11" s="615">
        <v>6</v>
      </c>
      <c r="H11" s="616" t="s">
        <v>363</v>
      </c>
      <c r="I11" s="617">
        <v>13</v>
      </c>
      <c r="J11" s="618" t="str">
        <f>B9</f>
        <v>Oksana Rõndenkova, Oleg Rõndenkov</v>
      </c>
      <c r="K11" s="615">
        <v>5</v>
      </c>
      <c r="L11" s="616" t="s">
        <v>363</v>
      </c>
      <c r="M11" s="617">
        <v>13</v>
      </c>
      <c r="N11" s="618" t="str">
        <f>B7</f>
        <v>Aigi Orro, Matti Vinni</v>
      </c>
      <c r="O11" s="615">
        <v>13</v>
      </c>
      <c r="P11" s="616" t="s">
        <v>363</v>
      </c>
      <c r="Q11" s="617">
        <v>3</v>
      </c>
      <c r="R11" s="618" t="str">
        <f>B16</f>
        <v>Aarne Välja, Sirje Viljaste</v>
      </c>
      <c r="S11" s="615">
        <v>6</v>
      </c>
      <c r="T11" s="616" t="s">
        <v>363</v>
      </c>
      <c r="U11" s="617">
        <v>13</v>
      </c>
      <c r="V11" s="618" t="str">
        <f>B8</f>
        <v>Enn Tokman, Svetlana Veski</v>
      </c>
      <c r="W11" s="1115">
        <f t="shared" si="0"/>
        <v>2</v>
      </c>
      <c r="X11" s="620"/>
      <c r="Y11" s="615">
        <f t="shared" si="1"/>
        <v>43</v>
      </c>
      <c r="Z11" s="616" t="s">
        <v>363</v>
      </c>
      <c r="AA11" s="621">
        <f t="shared" si="2"/>
        <v>43</v>
      </c>
      <c r="AB11" s="622">
        <f t="shared" si="3"/>
        <v>0</v>
      </c>
      <c r="AD11" s="405">
        <f t="shared" si="4"/>
        <v>202</v>
      </c>
      <c r="AE11" s="406">
        <f>IFERROR(INDEX(V!$R:$R,MATCH(AF11,V!$L:$L,0)),"")</f>
        <v>187</v>
      </c>
      <c r="AF11" s="407" t="str">
        <f t="shared" si="5"/>
        <v>Kenneth Muusikus</v>
      </c>
      <c r="AG11" s="406">
        <f>IFERROR(INDEX(V!$R:$R,MATCH(AH11,V!$L:$L,0)),"")</f>
        <v>15</v>
      </c>
      <c r="AH11" s="407" t="str">
        <f t="shared" si="6"/>
        <v>Martha Aavisto</v>
      </c>
      <c r="AI11" s="406" t="str">
        <f>IFERROR(INDEX(V!$R:$R,MATCH(AJ11,V!$L:$L,0)),"")</f>
        <v/>
      </c>
      <c r="AJ11" s="407" t="str">
        <f t="shared" si="7"/>
        <v/>
      </c>
      <c r="AK11" s="406" t="str">
        <f>IFERROR(INDEX(V!$R:$R,MATCH(AL11,V!$L:$L,0)),"")</f>
        <v/>
      </c>
      <c r="AL11" s="407" t="str">
        <f t="shared" si="8"/>
        <v/>
      </c>
      <c r="AM11" s="406" t="str">
        <f>IFERROR(INDEX(V!$R:$R,MATCH(AN11,V!$L:$L,0)),"")</f>
        <v/>
      </c>
      <c r="AN11" s="407" t="str">
        <f t="shared" si="9"/>
        <v/>
      </c>
      <c r="AO11" s="406" t="str">
        <f>IFERROR(INDEX(V!$R:$R,MATCH(AP11,V!$L:$L,0)),"")</f>
        <v/>
      </c>
      <c r="AP11" s="407" t="str">
        <f t="shared" si="10"/>
        <v/>
      </c>
    </row>
    <row r="12" spans="1:42" x14ac:dyDescent="0.2">
      <c r="A12" s="614">
        <v>6</v>
      </c>
      <c r="B12" s="479" t="s">
        <v>605</v>
      </c>
      <c r="C12" s="615">
        <v>13</v>
      </c>
      <c r="D12" s="616" t="s">
        <v>363</v>
      </c>
      <c r="E12" s="617">
        <v>7</v>
      </c>
      <c r="F12" s="618" t="str">
        <f>B15</f>
        <v>Heili Vasser, Vello Vasser</v>
      </c>
      <c r="G12" s="615">
        <v>10</v>
      </c>
      <c r="H12" s="616" t="s">
        <v>363</v>
      </c>
      <c r="I12" s="617">
        <v>13</v>
      </c>
      <c r="J12" s="618" t="str">
        <f>B8</f>
        <v>Enn Tokman, Svetlana Veski</v>
      </c>
      <c r="K12" s="615">
        <v>13</v>
      </c>
      <c r="L12" s="616" t="s">
        <v>363</v>
      </c>
      <c r="M12" s="617">
        <v>12</v>
      </c>
      <c r="N12" s="618" t="str">
        <f>B14</f>
        <v>Irene Võrklaev, Peep Peenema</v>
      </c>
      <c r="O12" s="615">
        <v>10</v>
      </c>
      <c r="P12" s="616" t="s">
        <v>363</v>
      </c>
      <c r="Q12" s="617">
        <v>13</v>
      </c>
      <c r="R12" s="618" t="str">
        <f>B9</f>
        <v>Oksana Rõndenkova, Oleg Rõndenkov</v>
      </c>
      <c r="S12" s="615">
        <v>10</v>
      </c>
      <c r="T12" s="616" t="s">
        <v>363</v>
      </c>
      <c r="U12" s="617">
        <v>13</v>
      </c>
      <c r="V12" s="618" t="str">
        <f>B10</f>
        <v>Ljudmila Varendi, Viktor Švarõgin</v>
      </c>
      <c r="W12" s="1115">
        <f t="shared" si="0"/>
        <v>2</v>
      </c>
      <c r="X12" s="620"/>
      <c r="Y12" s="615">
        <f t="shared" si="1"/>
        <v>56</v>
      </c>
      <c r="Z12" s="616" t="s">
        <v>363</v>
      </c>
      <c r="AA12" s="621">
        <f t="shared" si="2"/>
        <v>58</v>
      </c>
      <c r="AB12" s="622">
        <f t="shared" si="3"/>
        <v>-2</v>
      </c>
      <c r="AD12" s="405">
        <f t="shared" si="4"/>
        <v>171</v>
      </c>
      <c r="AE12" s="406">
        <f>IFERROR(INDEX(V!$R:$R,MATCH(AF12,V!$L:$L,0)),"")</f>
        <v>164</v>
      </c>
      <c r="AF12" s="407" t="str">
        <f t="shared" si="5"/>
        <v>Kaspar Mänd</v>
      </c>
      <c r="AG12" s="406">
        <f>IFERROR(INDEX(V!$R:$R,MATCH(AH12,V!$L:$L,0)),"")</f>
        <v>7</v>
      </c>
      <c r="AH12" s="407" t="str">
        <f t="shared" si="6"/>
        <v>Veroonika Mendes</v>
      </c>
      <c r="AI12" s="406" t="str">
        <f>IFERROR(INDEX(V!$R:$R,MATCH(AJ12,V!$L:$L,0)),"")</f>
        <v/>
      </c>
      <c r="AJ12" s="407" t="str">
        <f t="shared" si="7"/>
        <v/>
      </c>
      <c r="AK12" s="406" t="str">
        <f>IFERROR(INDEX(V!$R:$R,MATCH(AL12,V!$L:$L,0)),"")</f>
        <v/>
      </c>
      <c r="AL12" s="407" t="str">
        <f t="shared" si="8"/>
        <v/>
      </c>
      <c r="AM12" s="406" t="str">
        <f>IFERROR(INDEX(V!$R:$R,MATCH(AN12,V!$L:$L,0)),"")</f>
        <v/>
      </c>
      <c r="AN12" s="407" t="str">
        <f t="shared" si="9"/>
        <v/>
      </c>
      <c r="AO12" s="406" t="str">
        <f>IFERROR(INDEX(V!$R:$R,MATCH(AP12,V!$L:$L,0)),"")</f>
        <v/>
      </c>
      <c r="AP12" s="407" t="str">
        <f t="shared" si="10"/>
        <v/>
      </c>
    </row>
    <row r="13" spans="1:42" x14ac:dyDescent="0.2">
      <c r="A13" s="614">
        <v>7</v>
      </c>
      <c r="B13" s="623" t="s">
        <v>606</v>
      </c>
      <c r="C13" s="615">
        <v>6</v>
      </c>
      <c r="D13" s="616" t="s">
        <v>363</v>
      </c>
      <c r="E13" s="617">
        <v>13</v>
      </c>
      <c r="F13" s="618" t="str">
        <f>B9</f>
        <v>Oksana Rõndenkova, Oleg Rõndenkov</v>
      </c>
      <c r="G13" s="615">
        <v>11</v>
      </c>
      <c r="H13" s="616" t="s">
        <v>363</v>
      </c>
      <c r="I13" s="617">
        <v>13</v>
      </c>
      <c r="J13" s="618" t="str">
        <f>B10</f>
        <v>Ljudmila Varendi, Viktor Švarõgin</v>
      </c>
      <c r="K13" s="615">
        <v>12</v>
      </c>
      <c r="L13" s="616" t="s">
        <v>363</v>
      </c>
      <c r="M13" s="617">
        <v>13</v>
      </c>
      <c r="N13" s="618" t="str">
        <f>B16</f>
        <v>Aarne Välja, Sirje Viljaste</v>
      </c>
      <c r="O13" s="615">
        <v>13</v>
      </c>
      <c r="P13" s="616" t="s">
        <v>363</v>
      </c>
      <c r="Q13" s="617">
        <v>5</v>
      </c>
      <c r="R13" s="618" t="str">
        <f>B15</f>
        <v>Heili Vasser, Vello Vasser</v>
      </c>
      <c r="S13" s="615">
        <v>13</v>
      </c>
      <c r="T13" s="616" t="s">
        <v>363</v>
      </c>
      <c r="U13" s="617">
        <v>8</v>
      </c>
      <c r="V13" s="618" t="str">
        <f>B14</f>
        <v>Irene Võrklaev, Peep Peenema</v>
      </c>
      <c r="W13" s="1115">
        <f t="shared" si="0"/>
        <v>2</v>
      </c>
      <c r="X13" s="620"/>
      <c r="Y13" s="615">
        <f t="shared" si="1"/>
        <v>55</v>
      </c>
      <c r="Z13" s="616" t="s">
        <v>363</v>
      </c>
      <c r="AA13" s="621">
        <f t="shared" si="2"/>
        <v>52</v>
      </c>
      <c r="AB13" s="622">
        <f t="shared" si="3"/>
        <v>3</v>
      </c>
      <c r="AD13" s="405">
        <f t="shared" si="4"/>
        <v>143</v>
      </c>
      <c r="AE13" s="406">
        <f>IFERROR(INDEX(V!$R:$R,MATCH(AF13,V!$L:$L,0)),"")</f>
        <v>53</v>
      </c>
      <c r="AF13" s="407" t="str">
        <f t="shared" si="5"/>
        <v>Aurelia Meldre</v>
      </c>
      <c r="AG13" s="406">
        <f>IFERROR(INDEX(V!$R:$R,MATCH(AH13,V!$L:$L,0)),"")</f>
        <v>90</v>
      </c>
      <c r="AH13" s="407" t="str">
        <f t="shared" si="6"/>
        <v>Janek Tarto</v>
      </c>
      <c r="AI13" s="406" t="str">
        <f>IFERROR(INDEX(V!$R:$R,MATCH(AJ13,V!$L:$L,0)),"")</f>
        <v/>
      </c>
      <c r="AJ13" s="407" t="str">
        <f t="shared" si="7"/>
        <v/>
      </c>
      <c r="AK13" s="406" t="str">
        <f>IFERROR(INDEX(V!$R:$R,MATCH(AL13,V!$L:$L,0)),"")</f>
        <v/>
      </c>
      <c r="AL13" s="407" t="str">
        <f t="shared" si="8"/>
        <v/>
      </c>
      <c r="AM13" s="406" t="str">
        <f>IFERROR(INDEX(V!$R:$R,MATCH(AN13,V!$L:$L,0)),"")</f>
        <v/>
      </c>
      <c r="AN13" s="407" t="str">
        <f t="shared" si="9"/>
        <v/>
      </c>
      <c r="AO13" s="406" t="str">
        <f>IFERROR(INDEX(V!$R:$R,MATCH(AP13,V!$L:$L,0)),"")</f>
        <v/>
      </c>
      <c r="AP13" s="407" t="str">
        <f t="shared" si="10"/>
        <v/>
      </c>
    </row>
    <row r="14" spans="1:42" x14ac:dyDescent="0.2">
      <c r="A14" s="614">
        <v>8</v>
      </c>
      <c r="B14" s="623" t="s">
        <v>607</v>
      </c>
      <c r="C14" s="615">
        <v>12</v>
      </c>
      <c r="D14" s="616" t="s">
        <v>363</v>
      </c>
      <c r="E14" s="617">
        <v>13</v>
      </c>
      <c r="F14" s="618" t="str">
        <f>B7</f>
        <v>Aigi Orro, Matti Vinni</v>
      </c>
      <c r="G14" s="615">
        <v>13</v>
      </c>
      <c r="H14" s="616" t="s">
        <v>363</v>
      </c>
      <c r="I14" s="617">
        <v>12</v>
      </c>
      <c r="J14" s="618" t="str">
        <f>B15</f>
        <v>Heili Vasser, Vello Vasser</v>
      </c>
      <c r="K14" s="615">
        <v>12</v>
      </c>
      <c r="L14" s="616" t="s">
        <v>363</v>
      </c>
      <c r="M14" s="617">
        <v>13</v>
      </c>
      <c r="N14" s="618" t="str">
        <f>B12</f>
        <v>Kaspar Mänd, Veroonika Mendes</v>
      </c>
      <c r="O14" s="615">
        <v>13</v>
      </c>
      <c r="P14" s="616" t="s">
        <v>363</v>
      </c>
      <c r="Q14" s="617">
        <v>9</v>
      </c>
      <c r="R14" s="618" t="str">
        <f>B10</f>
        <v>Ljudmila Varendi, Viktor Švarõgin</v>
      </c>
      <c r="S14" s="615">
        <v>8</v>
      </c>
      <c r="T14" s="616" t="s">
        <v>363</v>
      </c>
      <c r="U14" s="617">
        <v>13</v>
      </c>
      <c r="V14" s="618" t="str">
        <f>B13</f>
        <v>Aurelia Meldre, Janek Tarto</v>
      </c>
      <c r="W14" s="1115">
        <f t="shared" si="0"/>
        <v>2</v>
      </c>
      <c r="X14" s="620"/>
      <c r="Y14" s="615">
        <f t="shared" si="1"/>
        <v>58</v>
      </c>
      <c r="Z14" s="616" t="s">
        <v>363</v>
      </c>
      <c r="AA14" s="621">
        <f t="shared" si="2"/>
        <v>60</v>
      </c>
      <c r="AB14" s="622">
        <f t="shared" si="3"/>
        <v>-2</v>
      </c>
      <c r="AD14" s="405">
        <f t="shared" si="4"/>
        <v>80</v>
      </c>
      <c r="AE14" s="406">
        <f>IFERROR(INDEX(V!$R:$R,MATCH(AF14,V!$L:$L,0)),"")</f>
        <v>12</v>
      </c>
      <c r="AF14" s="407" t="str">
        <f t="shared" si="5"/>
        <v>Irene Võrklaev</v>
      </c>
      <c r="AG14" s="406">
        <f>IFERROR(INDEX(V!$R:$R,MATCH(AH14,V!$L:$L,0)),"")</f>
        <v>68</v>
      </c>
      <c r="AH14" s="407" t="str">
        <f t="shared" si="6"/>
        <v>Peep Peenema</v>
      </c>
      <c r="AI14" s="406" t="str">
        <f>IFERROR(INDEX(V!$R:$R,MATCH(AJ14,V!$L:$L,0)),"")</f>
        <v/>
      </c>
      <c r="AJ14" s="407" t="str">
        <f t="shared" si="7"/>
        <v/>
      </c>
      <c r="AK14" s="406" t="str">
        <f>IFERROR(INDEX(V!$R:$R,MATCH(AL14,V!$L:$L,0)),"")</f>
        <v/>
      </c>
      <c r="AL14" s="407" t="str">
        <f t="shared" si="8"/>
        <v/>
      </c>
      <c r="AM14" s="406" t="str">
        <f>IFERROR(INDEX(V!$R:$R,MATCH(AN14,V!$L:$L,0)),"")</f>
        <v/>
      </c>
      <c r="AN14" s="407" t="str">
        <f t="shared" si="9"/>
        <v/>
      </c>
      <c r="AO14" s="406" t="str">
        <f>IFERROR(INDEX(V!$R:$R,MATCH(AP14,V!$L:$L,0)),"")</f>
        <v/>
      </c>
      <c r="AP14" s="407" t="str">
        <f t="shared" si="10"/>
        <v/>
      </c>
    </row>
    <row r="15" spans="1:42" x14ac:dyDescent="0.2">
      <c r="A15" s="614">
        <v>9</v>
      </c>
      <c r="B15" s="479" t="s">
        <v>517</v>
      </c>
      <c r="C15" s="615">
        <v>7</v>
      </c>
      <c r="D15" s="616" t="s">
        <v>363</v>
      </c>
      <c r="E15" s="617">
        <v>13</v>
      </c>
      <c r="F15" s="618" t="str">
        <f>B12</f>
        <v>Kaspar Mänd, Veroonika Mendes</v>
      </c>
      <c r="G15" s="615">
        <v>12</v>
      </c>
      <c r="H15" s="616" t="s">
        <v>363</v>
      </c>
      <c r="I15" s="617">
        <v>13</v>
      </c>
      <c r="J15" s="618" t="str">
        <f>B14</f>
        <v>Irene Võrklaev, Peep Peenema</v>
      </c>
      <c r="K15" s="615">
        <v>7</v>
      </c>
      <c r="L15" s="616" t="s">
        <v>363</v>
      </c>
      <c r="M15" s="617">
        <v>13</v>
      </c>
      <c r="N15" s="618" t="str">
        <f>B10</f>
        <v>Ljudmila Varendi, Viktor Švarõgin</v>
      </c>
      <c r="O15" s="615">
        <v>5</v>
      </c>
      <c r="P15" s="616" t="s">
        <v>363</v>
      </c>
      <c r="Q15" s="617">
        <v>13</v>
      </c>
      <c r="R15" s="618" t="str">
        <f>B13</f>
        <v>Aurelia Meldre, Janek Tarto</v>
      </c>
      <c r="S15" s="615">
        <v>13</v>
      </c>
      <c r="T15" s="616" t="s">
        <v>363</v>
      </c>
      <c r="U15" s="617">
        <v>7</v>
      </c>
      <c r="V15" s="618" t="str">
        <f>B16</f>
        <v>Aarne Välja, Sirje Viljaste</v>
      </c>
      <c r="W15" s="619">
        <f t="shared" si="0"/>
        <v>1</v>
      </c>
      <c r="X15" s="620"/>
      <c r="Y15" s="615">
        <f t="shared" si="1"/>
        <v>44</v>
      </c>
      <c r="Z15" s="616" t="s">
        <v>363</v>
      </c>
      <c r="AA15" s="621">
        <f t="shared" si="2"/>
        <v>59</v>
      </c>
      <c r="AB15" s="622">
        <f t="shared" si="3"/>
        <v>-15</v>
      </c>
      <c r="AD15" s="405">
        <f t="shared" si="4"/>
        <v>25</v>
      </c>
      <c r="AE15" s="406" t="str">
        <f>IFERROR(INDEX(V!$R:$R,MATCH(AF15,V!$L:$L,0)),"")</f>
        <v/>
      </c>
      <c r="AF15" s="407" t="str">
        <f t="shared" si="5"/>
        <v>Heili Vasser</v>
      </c>
      <c r="AG15" s="406">
        <f>IFERROR(INDEX(V!$R:$R,MATCH(AH15,V!$L:$L,0)),"")</f>
        <v>25</v>
      </c>
      <c r="AH15" s="407" t="str">
        <f t="shared" si="6"/>
        <v>Vello Vasser</v>
      </c>
      <c r="AI15" s="406" t="str">
        <f>IFERROR(INDEX(V!$R:$R,MATCH(AJ15,V!$L:$L,0)),"")</f>
        <v/>
      </c>
      <c r="AJ15" s="407" t="str">
        <f t="shared" si="7"/>
        <v/>
      </c>
      <c r="AK15" s="406" t="str">
        <f>IFERROR(INDEX(V!$R:$R,MATCH(AL15,V!$L:$L,0)),"")</f>
        <v/>
      </c>
      <c r="AL15" s="407" t="str">
        <f t="shared" si="8"/>
        <v/>
      </c>
      <c r="AM15" s="406" t="str">
        <f>IFERROR(INDEX(V!$R:$R,MATCH(AN15,V!$L:$L,0)),"")</f>
        <v/>
      </c>
      <c r="AN15" s="407" t="str">
        <f t="shared" si="9"/>
        <v/>
      </c>
      <c r="AO15" s="406" t="str">
        <f>IFERROR(INDEX(V!$R:$R,MATCH(AP15,V!$L:$L,0)),"")</f>
        <v/>
      </c>
      <c r="AP15" s="407" t="str">
        <f t="shared" si="10"/>
        <v/>
      </c>
    </row>
    <row r="16" spans="1:42" x14ac:dyDescent="0.2">
      <c r="A16" s="614">
        <v>10</v>
      </c>
      <c r="B16" s="459" t="s">
        <v>608</v>
      </c>
      <c r="C16" s="615">
        <v>7</v>
      </c>
      <c r="D16" s="616" t="s">
        <v>363</v>
      </c>
      <c r="E16" s="617">
        <v>13</v>
      </c>
      <c r="F16" s="618" t="str">
        <f>B8</f>
        <v>Enn Tokman, Svetlana Veski</v>
      </c>
      <c r="G16" s="615">
        <v>11</v>
      </c>
      <c r="H16" s="616" t="s">
        <v>363</v>
      </c>
      <c r="I16" s="617">
        <v>13</v>
      </c>
      <c r="J16" s="618" t="str">
        <f>B7</f>
        <v>Aigi Orro, Matti Vinni</v>
      </c>
      <c r="K16" s="615">
        <v>13</v>
      </c>
      <c r="L16" s="616" t="s">
        <v>363</v>
      </c>
      <c r="M16" s="617">
        <v>12</v>
      </c>
      <c r="N16" s="618" t="str">
        <f>B13</f>
        <v>Aurelia Meldre, Janek Tarto</v>
      </c>
      <c r="O16" s="615">
        <v>3</v>
      </c>
      <c r="P16" s="616" t="s">
        <v>363</v>
      </c>
      <c r="Q16" s="617">
        <v>13</v>
      </c>
      <c r="R16" s="618" t="str">
        <f>B11</f>
        <v>Kenneth Muusikus, Martha Aavisto</v>
      </c>
      <c r="S16" s="615">
        <v>7</v>
      </c>
      <c r="T16" s="616" t="s">
        <v>363</v>
      </c>
      <c r="U16" s="617">
        <v>13</v>
      </c>
      <c r="V16" s="618" t="str">
        <f>B15</f>
        <v>Heili Vasser, Vello Vasser</v>
      </c>
      <c r="W16" s="619">
        <f t="shared" si="0"/>
        <v>1</v>
      </c>
      <c r="X16" s="620"/>
      <c r="Y16" s="615">
        <f t="shared" si="1"/>
        <v>41</v>
      </c>
      <c r="Z16" s="616" t="s">
        <v>363</v>
      </c>
      <c r="AA16" s="621">
        <f t="shared" si="2"/>
        <v>64</v>
      </c>
      <c r="AB16" s="622">
        <f t="shared" si="3"/>
        <v>-23</v>
      </c>
      <c r="AD16" s="405">
        <f t="shared" si="4"/>
        <v>120</v>
      </c>
      <c r="AE16" s="406">
        <f>IFERROR(INDEX(V!$R:$R,MATCH(AF16,V!$L:$L,0)),"")</f>
        <v>84</v>
      </c>
      <c r="AF16" s="407" t="str">
        <f t="shared" si="5"/>
        <v>Aarne Välja</v>
      </c>
      <c r="AG16" s="406">
        <f>IFERROR(INDEX(V!$R:$R,MATCH(AH16,V!$L:$L,0)),"")</f>
        <v>36</v>
      </c>
      <c r="AH16" s="407" t="str">
        <f t="shared" si="6"/>
        <v>Sirje Viljaste</v>
      </c>
      <c r="AI16" s="406" t="str">
        <f>IFERROR(INDEX(V!$R:$R,MATCH(AJ16,V!$L:$L,0)),"")</f>
        <v/>
      </c>
      <c r="AJ16" s="407" t="str">
        <f t="shared" si="7"/>
        <v/>
      </c>
      <c r="AK16" s="406" t="str">
        <f>IFERROR(INDEX(V!$R:$R,MATCH(AL16,V!$L:$L,0)),"")</f>
        <v/>
      </c>
      <c r="AL16" s="407" t="str">
        <f t="shared" si="8"/>
        <v/>
      </c>
      <c r="AM16" s="406" t="str">
        <f>IFERROR(INDEX(V!$R:$R,MATCH(AN16,V!$L:$L,0)),"")</f>
        <v/>
      </c>
      <c r="AN16" s="407" t="str">
        <f t="shared" si="9"/>
        <v/>
      </c>
      <c r="AO16" s="406" t="str">
        <f>IFERROR(INDEX(V!$R:$R,MATCH(AP16,V!$L:$L,0)),"")</f>
        <v/>
      </c>
      <c r="AP16" s="407" t="str">
        <f t="shared" si="10"/>
        <v/>
      </c>
    </row>
    <row r="17" spans="1:22" hidden="1" x14ac:dyDescent="0.2"/>
    <row r="18" spans="1:22" hidden="1" x14ac:dyDescent="0.2"/>
    <row r="21" spans="1:22" x14ac:dyDescent="0.2">
      <c r="A21" s="703" t="s">
        <v>437</v>
      </c>
      <c r="B21" s="711"/>
      <c r="C21" s="704"/>
      <c r="D21" s="704"/>
      <c r="E21" s="704"/>
      <c r="F21" s="704"/>
      <c r="G21" s="704"/>
      <c r="H21" s="704"/>
      <c r="I21" s="704"/>
      <c r="J21" s="704"/>
      <c r="K21" s="704"/>
      <c r="L21" s="704"/>
      <c r="M21" s="704"/>
      <c r="N21" s="704"/>
      <c r="O21" s="704"/>
      <c r="P21" s="704"/>
      <c r="R21" s="704"/>
      <c r="S21" s="704"/>
      <c r="T21" s="704"/>
      <c r="U21" s="704"/>
      <c r="V21" s="704"/>
    </row>
    <row r="22" spans="1:22" x14ac:dyDescent="0.2">
      <c r="A22" s="704"/>
      <c r="B22" s="711"/>
      <c r="C22" s="704"/>
      <c r="D22" s="704"/>
      <c r="E22" s="704"/>
      <c r="F22" s="704"/>
      <c r="G22" s="704"/>
      <c r="H22" s="704"/>
      <c r="I22" s="704"/>
      <c r="J22" s="704"/>
      <c r="K22" s="704"/>
      <c r="L22" s="704"/>
      <c r="M22" s="704"/>
      <c r="N22" s="704"/>
      <c r="O22" s="704"/>
      <c r="P22" s="704"/>
      <c r="R22" s="704"/>
      <c r="S22" s="704"/>
      <c r="T22" s="704"/>
      <c r="U22" s="704"/>
      <c r="V22" s="704"/>
    </row>
    <row r="23" spans="1:22" x14ac:dyDescent="0.2">
      <c r="A23" s="676"/>
      <c r="B23" s="1027"/>
      <c r="C23" s="706">
        <v>2</v>
      </c>
      <c r="D23" s="706"/>
      <c r="E23" s="706"/>
      <c r="F23" s="707">
        <v>3</v>
      </c>
      <c r="G23" s="706">
        <v>7</v>
      </c>
      <c r="H23" s="706"/>
      <c r="I23" s="706"/>
      <c r="J23" s="707">
        <v>8</v>
      </c>
      <c r="K23" s="708"/>
      <c r="L23" s="1119" t="s">
        <v>102</v>
      </c>
      <c r="M23" s="709"/>
      <c r="N23" s="667" t="s">
        <v>169</v>
      </c>
      <c r="O23" s="708"/>
      <c r="P23" s="721"/>
      <c r="Q23" s="1104"/>
      <c r="R23" s="710"/>
    </row>
    <row r="24" spans="1:22" x14ac:dyDescent="0.2">
      <c r="A24" s="708">
        <v>2</v>
      </c>
      <c r="B24" s="623" t="s">
        <v>607</v>
      </c>
      <c r="C24" s="712"/>
      <c r="D24" s="712"/>
      <c r="E24" s="712"/>
      <c r="F24" s="713"/>
      <c r="G24" s="714">
        <v>8</v>
      </c>
      <c r="H24" s="714"/>
      <c r="I24" s="714"/>
      <c r="J24" s="715">
        <v>12</v>
      </c>
      <c r="K24" s="1122" t="s">
        <v>602</v>
      </c>
      <c r="L24" s="714"/>
      <c r="M24" s="717"/>
      <c r="N24" s="1120">
        <v>4</v>
      </c>
      <c r="O24" s="725"/>
      <c r="P24" s="721"/>
      <c r="Q24" s="662"/>
      <c r="R24" s="704"/>
      <c r="U24" s="1102" t="s">
        <v>202</v>
      </c>
    </row>
    <row r="25" spans="1:22" x14ac:dyDescent="0.2">
      <c r="A25" s="708">
        <v>3</v>
      </c>
      <c r="B25" s="459" t="s">
        <v>604</v>
      </c>
      <c r="C25" s="721"/>
      <c r="D25" s="721"/>
      <c r="E25" s="721"/>
      <c r="F25" s="722"/>
      <c r="G25" s="714"/>
      <c r="H25" s="714"/>
      <c r="I25" s="714"/>
      <c r="J25" s="715"/>
      <c r="K25" s="1123">
        <v>0</v>
      </c>
      <c r="L25" s="714"/>
      <c r="M25" s="717"/>
      <c r="N25" s="1120">
        <v>3</v>
      </c>
      <c r="O25" s="725"/>
      <c r="P25" s="721"/>
      <c r="Q25" s="662"/>
      <c r="R25" s="704"/>
      <c r="U25" s="1102" t="s">
        <v>201</v>
      </c>
    </row>
    <row r="26" spans="1:22" x14ac:dyDescent="0.2">
      <c r="A26" s="708">
        <v>7</v>
      </c>
      <c r="B26" s="459" t="s">
        <v>606</v>
      </c>
      <c r="C26" s="706">
        <v>13</v>
      </c>
      <c r="D26" s="721"/>
      <c r="E26" s="714"/>
      <c r="F26" s="715"/>
      <c r="G26" s="712"/>
      <c r="H26" s="712"/>
      <c r="I26" s="712"/>
      <c r="J26" s="715"/>
      <c r="K26" s="1122" t="s">
        <v>421</v>
      </c>
      <c r="L26" s="714"/>
      <c r="M26" s="717"/>
      <c r="N26" s="707">
        <v>1</v>
      </c>
      <c r="O26" s="725"/>
      <c r="P26" s="721"/>
      <c r="Q26" s="662"/>
      <c r="R26" s="1118"/>
      <c r="U26" s="1102" t="s">
        <v>189</v>
      </c>
    </row>
    <row r="27" spans="1:22" x14ac:dyDescent="0.2">
      <c r="A27" s="708">
        <v>8</v>
      </c>
      <c r="B27" s="623" t="s">
        <v>605</v>
      </c>
      <c r="C27" s="706">
        <v>13</v>
      </c>
      <c r="D27" s="721"/>
      <c r="E27" s="714"/>
      <c r="F27" s="715"/>
      <c r="G27" s="714"/>
      <c r="H27" s="714"/>
      <c r="I27" s="714"/>
      <c r="J27" s="722"/>
      <c r="K27" s="1122" t="s">
        <v>421</v>
      </c>
      <c r="L27" s="714"/>
      <c r="M27" s="717"/>
      <c r="N27" s="1120">
        <v>1</v>
      </c>
      <c r="O27" s="725"/>
      <c r="P27" s="721"/>
      <c r="Q27" s="662"/>
      <c r="R27" s="718"/>
      <c r="U27" s="1102" t="s">
        <v>189</v>
      </c>
    </row>
    <row r="28" spans="1:22" hidden="1" x14ac:dyDescent="0.2">
      <c r="S28" s="704"/>
      <c r="T28" s="704"/>
      <c r="U28" s="704"/>
      <c r="V28" s="704"/>
    </row>
    <row r="29" spans="1:22" hidden="1" x14ac:dyDescent="0.2">
      <c r="V29" s="704"/>
    </row>
    <row r="30" spans="1:22" hidden="1" x14ac:dyDescent="0.2">
      <c r="V30" s="704"/>
    </row>
    <row r="31" spans="1:22" hidden="1" x14ac:dyDescent="0.2"/>
    <row r="32" spans="1:22" hidden="1" x14ac:dyDescent="0.2"/>
    <row r="33" spans="22:22" hidden="1" x14ac:dyDescent="0.2"/>
    <row r="34" spans="22:22" hidden="1" x14ac:dyDescent="0.2"/>
    <row r="35" spans="22:22" hidden="1" x14ac:dyDescent="0.2"/>
    <row r="36" spans="22:22" hidden="1" x14ac:dyDescent="0.2"/>
    <row r="37" spans="22:22" hidden="1" x14ac:dyDescent="0.2">
      <c r="V37" s="271"/>
    </row>
    <row r="38" spans="22:22" hidden="1" x14ac:dyDescent="0.2"/>
    <row r="39" spans="22:22" hidden="1" x14ac:dyDescent="0.2"/>
    <row r="40" spans="22:22" hidden="1" x14ac:dyDescent="0.2"/>
    <row r="41" spans="22:22" hidden="1" x14ac:dyDescent="0.2"/>
    <row r="42" spans="22:22" hidden="1" x14ac:dyDescent="0.2"/>
    <row r="43" spans="22:22" hidden="1" x14ac:dyDescent="0.2"/>
    <row r="44" spans="22:22" hidden="1" x14ac:dyDescent="0.2"/>
    <row r="45" spans="22:22" hidden="1" x14ac:dyDescent="0.2"/>
    <row r="46" spans="22:22" hidden="1" x14ac:dyDescent="0.2"/>
    <row r="47" spans="22:22" hidden="1" x14ac:dyDescent="0.2"/>
    <row r="48" spans="22:22"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14" hidden="1" x14ac:dyDescent="0.2"/>
    <row r="290" spans="1:14" hidden="1" x14ac:dyDescent="0.2"/>
    <row r="291" spans="1:14" hidden="1" x14ac:dyDescent="0.2"/>
    <row r="292" spans="1:14" hidden="1" x14ac:dyDescent="0.2"/>
    <row r="293" spans="1:14" hidden="1" x14ac:dyDescent="0.2"/>
    <row r="294" spans="1:14" hidden="1" x14ac:dyDescent="0.2"/>
    <row r="295" spans="1:14" hidden="1" x14ac:dyDescent="0.2"/>
    <row r="296" spans="1:14" hidden="1" x14ac:dyDescent="0.2"/>
    <row r="297" spans="1:14" hidden="1" x14ac:dyDescent="0.2"/>
    <row r="300" spans="1:14" x14ac:dyDescent="0.2">
      <c r="A300" s="530">
        <v>1</v>
      </c>
      <c r="B300" s="625" t="str">
        <f t="shared" ref="B300:B301" si="11">IFERROR(INDEX(B$1:B$100,MATCH(A300,A$1:A$100,0)),"")</f>
        <v>Aigi Orro, Matti Vinni</v>
      </c>
      <c r="C300" s="499"/>
      <c r="N300" s="404"/>
    </row>
    <row r="301" spans="1:14" x14ac:dyDescent="0.2">
      <c r="A301" s="530">
        <v>2</v>
      </c>
      <c r="B301" s="625" t="str">
        <f t="shared" si="11"/>
        <v>Enn Tokman, Svetlana Veski</v>
      </c>
      <c r="C301" s="499"/>
      <c r="N301" s="404"/>
    </row>
    <row r="302" spans="1:14" x14ac:dyDescent="0.2">
      <c r="A302" s="530">
        <v>3</v>
      </c>
      <c r="B302" s="625" t="str">
        <f t="shared" ref="B302:B309" si="12">IFERROR(INDEX(B$1:B$100,MATCH(A302,A$1:A$100,0)),"")</f>
        <v>Oksana Rõndenkova, Oleg Rõndenkov</v>
      </c>
      <c r="C302" s="499"/>
      <c r="N302" s="404"/>
    </row>
    <row r="303" spans="1:14" x14ac:dyDescent="0.2">
      <c r="A303" s="530">
        <v>4</v>
      </c>
      <c r="B303" s="625" t="str">
        <f t="shared" si="12"/>
        <v>Ljudmila Varendi, Viktor Švarõgin</v>
      </c>
      <c r="C303" s="499"/>
      <c r="N303" s="404"/>
    </row>
    <row r="304" spans="1:14" x14ac:dyDescent="0.2">
      <c r="A304" s="530">
        <v>5</v>
      </c>
      <c r="B304" s="459" t="s">
        <v>606</v>
      </c>
      <c r="C304" s="499"/>
      <c r="N304" s="404"/>
    </row>
    <row r="305" spans="1:14" x14ac:dyDescent="0.2">
      <c r="A305" s="530">
        <v>5</v>
      </c>
      <c r="B305" s="623" t="s">
        <v>605</v>
      </c>
      <c r="C305" s="499"/>
      <c r="N305" s="404"/>
    </row>
    <row r="306" spans="1:14" x14ac:dyDescent="0.2">
      <c r="A306" s="530">
        <v>7</v>
      </c>
      <c r="B306" s="625" t="s">
        <v>604</v>
      </c>
      <c r="C306" s="499"/>
      <c r="N306" s="404"/>
    </row>
    <row r="307" spans="1:14" x14ac:dyDescent="0.2">
      <c r="A307" s="530">
        <v>8</v>
      </c>
      <c r="B307" s="625" t="str">
        <f t="shared" si="12"/>
        <v>Irene Võrklaev, Peep Peenema</v>
      </c>
      <c r="C307" s="499"/>
      <c r="N307" s="404"/>
    </row>
    <row r="308" spans="1:14" x14ac:dyDescent="0.2">
      <c r="A308" s="530">
        <v>9</v>
      </c>
      <c r="B308" s="625" t="str">
        <f t="shared" si="12"/>
        <v>Heili Vasser, Vello Vasser</v>
      </c>
      <c r="C308" s="499"/>
      <c r="N308" s="404"/>
    </row>
    <row r="309" spans="1:14" x14ac:dyDescent="0.2">
      <c r="A309" s="530">
        <v>10</v>
      </c>
      <c r="B309" s="625" t="str">
        <f t="shared" si="12"/>
        <v>Aarne Välja, Sirje Viljaste</v>
      </c>
      <c r="C309" s="499"/>
      <c r="N309" s="404"/>
    </row>
  </sheetData>
  <conditionalFormatting sqref="S7:S16 O7:O16 K7:K16 G7:G16 C7:C16">
    <cfRule type="expression" dxfId="1061" priority="12">
      <formula>AND(C7=0,E7=13)</formula>
    </cfRule>
  </conditionalFormatting>
  <conditionalFormatting sqref="C7:C16">
    <cfRule type="expression" dxfId="1060" priority="26">
      <formula>IF($C7&gt;$E7,TRUE)</formula>
    </cfRule>
  </conditionalFormatting>
  <conditionalFormatting sqref="E7:E16">
    <cfRule type="expression" dxfId="1059" priority="27">
      <formula>IF($C7&lt;$E7,TRUE)</formula>
    </cfRule>
  </conditionalFormatting>
  <conditionalFormatting sqref="K7:K16">
    <cfRule type="expression" dxfId="1058" priority="34">
      <formula>IF($K7&gt;$M7,TRUE)</formula>
    </cfRule>
  </conditionalFormatting>
  <conditionalFormatting sqref="M7:M16">
    <cfRule type="expression" dxfId="1057" priority="35">
      <formula>IF($K7&lt;$M7,TRUE)</formula>
    </cfRule>
  </conditionalFormatting>
  <conditionalFormatting sqref="O7:O16">
    <cfRule type="expression" dxfId="1056" priority="38">
      <formula>IF($O7&gt;$Q7,TRUE)</formula>
    </cfRule>
  </conditionalFormatting>
  <conditionalFormatting sqref="Q7:Q16">
    <cfRule type="expression" dxfId="1055" priority="39">
      <formula>IF($O7&lt;$Q7,TRUE)</formula>
    </cfRule>
  </conditionalFormatting>
  <conditionalFormatting sqref="S7:S16">
    <cfRule type="expression" dxfId="1054" priority="42">
      <formula>IF($S7&gt;$U7,TRUE)</formula>
    </cfRule>
  </conditionalFormatting>
  <conditionalFormatting sqref="U7:U16">
    <cfRule type="expression" dxfId="1053" priority="43">
      <formula>IF($S7&lt;$U7,TRUE)</formula>
    </cfRule>
  </conditionalFormatting>
  <conditionalFormatting sqref="G7:G16">
    <cfRule type="expression" dxfId="1052" priority="30">
      <formula>IF($G7&gt;$I7,TRUE)</formula>
    </cfRule>
  </conditionalFormatting>
  <conditionalFormatting sqref="I7:I16">
    <cfRule type="expression" dxfId="1051" priority="31">
      <formula>IF($G7&lt;$I7,TRUE)</formula>
    </cfRule>
  </conditionalFormatting>
  <conditionalFormatting sqref="F7:F16 N9:N16 R9:R16 V9:V16 J9:J16">
    <cfRule type="containsText" dxfId="1050" priority="17" operator="containsText" text="vaba voor">
      <formula>NOT(ISERROR(SEARCH("vaba voor",F7)))</formula>
    </cfRule>
  </conditionalFormatting>
  <conditionalFormatting sqref="N7:N8">
    <cfRule type="containsText" dxfId="1049" priority="15" operator="containsText" text="vaba voor">
      <formula>NOT(ISERROR(SEARCH("vaba voor",N7)))</formula>
    </cfRule>
  </conditionalFormatting>
  <conditionalFormatting sqref="R7:R8">
    <cfRule type="containsText" dxfId="1048" priority="18" operator="containsText" text="vaba voor">
      <formula>NOT(ISERROR(SEARCH("vaba voor",R7)))</formula>
    </cfRule>
  </conditionalFormatting>
  <conditionalFormatting sqref="V7:V8">
    <cfRule type="containsText" dxfId="1047" priority="14" operator="containsText" text="vaba voor">
      <formula>NOT(ISERROR(SEARCH("vaba voor",V7)))</formula>
    </cfRule>
  </conditionalFormatting>
  <conditionalFormatting sqref="J7:J8">
    <cfRule type="containsText" dxfId="1046" priority="16" operator="containsText" text="vaba voor">
      <formula>NOT(ISERROR(SEARCH("vaba voor",J7)))</formula>
    </cfRule>
  </conditionalFormatting>
  <conditionalFormatting sqref="C7:F16">
    <cfRule type="expression" dxfId="1045" priority="22">
      <formula>IF(AND(ISNUMBER($C7),$C7=$E7),TRUE)</formula>
    </cfRule>
    <cfRule type="expression" dxfId="1044" priority="24">
      <formula>IF($C7&gt;$E7,TRUE)</formula>
    </cfRule>
    <cfRule type="expression" dxfId="1043" priority="25">
      <formula>IF($C7&lt;$E7,TRUE)</formula>
    </cfRule>
  </conditionalFormatting>
  <conditionalFormatting sqref="G7:J16">
    <cfRule type="expression" dxfId="1042" priority="23">
      <formula>IF(AND(ISNUMBER($G7),$G7=$I7),TRUE)</formula>
    </cfRule>
    <cfRule type="expression" dxfId="1041" priority="28">
      <formula>IF($G7&gt;$I7,TRUE)</formula>
    </cfRule>
    <cfRule type="expression" dxfId="1040" priority="29">
      <formula>IF($G7&lt;$I7,TRUE)</formula>
    </cfRule>
  </conditionalFormatting>
  <conditionalFormatting sqref="K7:N16">
    <cfRule type="expression" dxfId="1039" priority="21">
      <formula>IF(AND(ISNUMBER($K7),$K7=$M7),TRUE)</formula>
    </cfRule>
    <cfRule type="expression" dxfId="1038" priority="32">
      <formula>IF($K7&gt;$M7,TRUE)</formula>
    </cfRule>
    <cfRule type="expression" dxfId="1037" priority="33">
      <formula>IF($K7&lt;$M7,TRUE)</formula>
    </cfRule>
  </conditionalFormatting>
  <conditionalFormatting sqref="O7:R16">
    <cfRule type="expression" dxfId="1036" priority="20">
      <formula>IF(AND(ISNUMBER($O7),$O7=$Q7),TRUE)</formula>
    </cfRule>
    <cfRule type="expression" dxfId="1035" priority="36">
      <formula>IF($O7&gt;$Q7,TRUE)</formula>
    </cfRule>
    <cfRule type="expression" dxfId="1034" priority="37">
      <formula>IF($O7&lt;$Q7,TRUE)</formula>
    </cfRule>
  </conditionalFormatting>
  <conditionalFormatting sqref="S7:V16">
    <cfRule type="expression" dxfId="1033" priority="19">
      <formula>IF(AND(ISNUMBER($S7),$S7=$U7),TRUE)</formula>
    </cfRule>
    <cfRule type="expression" dxfId="1032" priority="40">
      <formula>IF($S7&gt;$U7,TRUE)</formula>
    </cfRule>
    <cfRule type="expression" dxfId="1031" priority="41">
      <formula>IF($S7&lt;$U7,TRUE)</formula>
    </cfRule>
  </conditionalFormatting>
  <conditionalFormatting sqref="U7:U16 Q7:Q16 M7:M16 I7:I16 E7:E16">
    <cfRule type="expression" dxfId="1030" priority="13">
      <formula>AND(E7=0,C7=13)</formula>
    </cfRule>
  </conditionalFormatting>
  <conditionalFormatting sqref="A7:A16">
    <cfRule type="duplicateValues" dxfId="1029" priority="44"/>
  </conditionalFormatting>
  <conditionalFormatting sqref="AJ7:AJ16 AH9:AH16 AL9:AL16">
    <cfRule type="expression" dxfId="1028" priority="5">
      <formula>AND(AG7="",FIND(",",AH7))</formula>
    </cfRule>
    <cfRule type="expression" dxfId="1027" priority="7">
      <formula>AND(AG7="",COUNTIF(AH7,"*,*")=0)</formula>
    </cfRule>
  </conditionalFormatting>
  <conditionalFormatting sqref="AH7:AH8">
    <cfRule type="expression" dxfId="1026" priority="8">
      <formula>AND(AG7="",FIND(",",AH7))</formula>
    </cfRule>
    <cfRule type="expression" dxfId="1025" priority="9">
      <formula>AND(AG7="",COUNTIF(AH7,"*,*")=0)</formula>
    </cfRule>
  </conditionalFormatting>
  <conditionalFormatting sqref="AL7:AL8">
    <cfRule type="expression" dxfId="1024" priority="10">
      <formula>AND(AK7="",FIND(",",AL7))</formula>
    </cfRule>
    <cfRule type="expression" dxfId="1023" priority="11">
      <formula>AND(AK7="",COUNTIF(AL7,"*,*")=0)</formula>
    </cfRule>
  </conditionalFormatting>
  <conditionalFormatting sqref="AF7:AF16">
    <cfRule type="expression" dxfId="1022" priority="6">
      <formula>AND(AE7="",COUNTIF(AF7,"*,*")=0)</formula>
    </cfRule>
  </conditionalFormatting>
  <conditionalFormatting sqref="AN7:AN16 AP9:AP16">
    <cfRule type="expression" dxfId="1021" priority="2">
      <formula>AND(AM7="",COUNTIF(AN7,"*,*")=0)</formula>
    </cfRule>
    <cfRule type="expression" dxfId="1020" priority="4">
      <formula>AND(AM7="",FIND(",",AN7))</formula>
    </cfRule>
  </conditionalFormatting>
  <conditionalFormatting sqref="AP7:AP8">
    <cfRule type="expression" dxfId="1019" priority="1">
      <formula>AND(AO7="",COUNTIF(AP7,"*,*")=0)</formula>
    </cfRule>
    <cfRule type="expression" dxfId="1018" priority="3">
      <formula>AND(AO7="",FIND(",",AP7))</formula>
    </cfRule>
  </conditionalFormatting>
  <conditionalFormatting sqref="B300:B303 B306:B309">
    <cfRule type="expression" dxfId="1017" priority="45">
      <formula>A300=3</formula>
    </cfRule>
    <cfRule type="expression" dxfId="1016" priority="46">
      <formula>A300=2</formula>
    </cfRule>
    <cfRule type="expression" dxfId="1015" priority="47">
      <formula>A300=1</formula>
    </cfRule>
    <cfRule type="containsBlanks" dxfId="1014" priority="48">
      <formula>LEN(TRIM(B300))=0</formula>
    </cfRule>
    <cfRule type="duplicateValues" dxfId="1013" priority="49"/>
  </conditionalFormatting>
  <conditionalFormatting sqref="A300:A309">
    <cfRule type="duplicateValues" dxfId="1012" priority="50"/>
  </conditionalFormatting>
  <pageMargins left="0.78740157480314965" right="0.39370078740157483" top="0.78740157480314965" bottom="0.27559055118110237" header="0.78740157480314965" footer="0"/>
  <pageSetup paperSize="9" fitToHeight="0" orientation="landscape" verticalDpi="1200" r:id="rId1"/>
  <headerFooter>
    <oddHeader>&amp;R&amp;P. leht &amp;N&amp; -st</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AP312"/>
  <sheetViews>
    <sheetView showGridLines="0" showRowColHeaders="0" workbookViewId="0">
      <pane ySplit="1" topLeftCell="A2" activePane="bottomLeft" state="frozen"/>
      <selection pane="bottomLeft" activeCell="A5" sqref="A5"/>
    </sheetView>
  </sheetViews>
  <sheetFormatPr defaultRowHeight="12.75" x14ac:dyDescent="0.2"/>
  <cols>
    <col min="1" max="1" width="3.28515625" style="1" customWidth="1"/>
    <col min="2" max="2" width="31" style="1" bestFit="1" customWidth="1"/>
    <col min="3" max="3" width="4.7109375" style="1" customWidth="1"/>
    <col min="4" max="4" width="1.140625" style="1" customWidth="1"/>
    <col min="5" max="5" width="2.7109375" style="1" customWidth="1"/>
    <col min="6" max="6" width="9.140625" style="1"/>
    <col min="7" max="7" width="2.7109375" style="1" customWidth="1"/>
    <col min="8" max="8" width="1.140625" style="1" customWidth="1"/>
    <col min="9" max="9" width="2.7109375" style="1" customWidth="1"/>
    <col min="10" max="10" width="9.140625" style="1"/>
    <col min="11" max="11" width="2.7109375" style="1" customWidth="1"/>
    <col min="12" max="12" width="1.140625" style="1" customWidth="1"/>
    <col min="13" max="13" width="2.7109375" style="1" customWidth="1"/>
    <col min="14" max="14" width="9.140625" style="1"/>
    <col min="15" max="15" width="2.7109375" style="1" customWidth="1"/>
    <col min="16" max="16" width="1.140625" style="1" customWidth="1"/>
    <col min="17" max="17" width="2.7109375" style="1" customWidth="1"/>
    <col min="18" max="18" width="9.140625" style="1"/>
    <col min="19" max="19" width="2.7109375" style="1" customWidth="1"/>
    <col min="20" max="20" width="1.140625" style="1" customWidth="1"/>
    <col min="21" max="21" width="2.7109375" style="1" customWidth="1"/>
    <col min="22" max="22" width="9.140625" style="1"/>
    <col min="23" max="23" width="5.7109375" style="1" bestFit="1" customWidth="1"/>
    <col min="24" max="24" width="5.5703125" style="1" hidden="1" customWidth="1"/>
    <col min="25" max="25" width="2.7109375" style="1" customWidth="1"/>
    <col min="26" max="26" width="1.140625" style="1" customWidth="1"/>
    <col min="27" max="27" width="2.7109375" style="1" customWidth="1"/>
    <col min="28" max="28" width="4.7109375" style="1" customWidth="1"/>
    <col min="29" max="29" width="9.140625" style="1"/>
    <col min="30" max="31" width="9.140625" style="1" hidden="1" customWidth="1"/>
    <col min="32" max="32" width="16.5703125" style="1" hidden="1" customWidth="1"/>
    <col min="33" max="33" width="9.140625" style="1" hidden="1" customWidth="1"/>
    <col min="34" max="34" width="18.7109375" style="1" hidden="1" customWidth="1"/>
    <col min="35" max="35" width="9.140625" style="1" hidden="1" customWidth="1"/>
    <col min="36" max="36" width="20.85546875" style="1" hidden="1" customWidth="1"/>
    <col min="37" max="37" width="9.140625" style="1" hidden="1" customWidth="1"/>
    <col min="38" max="38" width="13.85546875" style="1" hidden="1" customWidth="1"/>
    <col min="39" max="39" width="9.140625" style="1" hidden="1" customWidth="1"/>
    <col min="40" max="40" width="17.28515625" style="1" hidden="1" customWidth="1"/>
    <col min="41" max="41" width="9.140625" style="1" hidden="1" customWidth="1"/>
    <col min="42" max="42" width="13.85546875" style="1" hidden="1" customWidth="1"/>
    <col min="43" max="16384" width="9.140625" style="1"/>
  </cols>
  <sheetData>
    <row r="1" spans="1:42" x14ac:dyDescent="0.2">
      <c r="A1" s="400" t="str">
        <f>UPPER((Kalend!E51)&amp;" - "&amp;(Kalend!C51))&amp;" - "&amp;LOWER(Kalend!D51)&amp;" - "&amp;(Kalend!A51)&amp;" kell "&amp;(Kalend!B51)&amp;" - "&amp;(Kalend!F51)</f>
        <v>V11 - VOKA III SISE-KV 11. ETAPP - duo - P, 01.11.2020 kell 11:00 - Voka petangihall</v>
      </c>
      <c r="O1" s="271"/>
      <c r="P1" s="271"/>
      <c r="Q1" s="312"/>
      <c r="R1" s="312"/>
      <c r="S1" s="312"/>
      <c r="T1" s="70"/>
      <c r="U1" s="70"/>
      <c r="V1" s="70"/>
      <c r="W1" s="271"/>
      <c r="X1" s="532"/>
      <c r="Y1" s="271"/>
      <c r="Z1" s="271"/>
      <c r="AD1" s="152" t="s">
        <v>94</v>
      </c>
      <c r="AE1" s="402"/>
      <c r="AF1" s="402"/>
      <c r="AG1" s="402"/>
      <c r="AH1" s="402"/>
      <c r="AI1" s="402"/>
      <c r="AJ1" s="402"/>
      <c r="AK1" s="402"/>
      <c r="AL1" s="402"/>
      <c r="AM1" s="402"/>
      <c r="AN1" s="402"/>
      <c r="AO1" s="532"/>
      <c r="AP1" s="532"/>
    </row>
    <row r="2" spans="1:42" hidden="1" x14ac:dyDescent="0.2">
      <c r="F2" s="271"/>
      <c r="L2" s="409"/>
      <c r="M2" s="409"/>
      <c r="N2" s="409"/>
      <c r="O2" s="271"/>
      <c r="P2" s="271"/>
      <c r="Q2" s="271"/>
      <c r="R2" s="271"/>
      <c r="S2" s="271"/>
      <c r="T2" s="409"/>
      <c r="U2" s="409"/>
      <c r="V2" s="410" t="s">
        <v>253</v>
      </c>
      <c r="W2" s="411">
        <v>1</v>
      </c>
      <c r="Y2" s="412" t="s">
        <v>254</v>
      </c>
      <c r="Z2" s="271"/>
      <c r="AD2" s="271"/>
      <c r="AE2" s="271"/>
      <c r="AF2" s="271"/>
      <c r="AG2" s="271"/>
      <c r="AH2" s="271"/>
      <c r="AI2" s="271"/>
      <c r="AJ2" s="412"/>
      <c r="AK2" s="271"/>
      <c r="AL2" s="271"/>
      <c r="AM2" s="271"/>
      <c r="AN2" s="271"/>
    </row>
    <row r="3" spans="1:42" hidden="1" x14ac:dyDescent="0.2">
      <c r="F3" s="271"/>
      <c r="L3" s="409"/>
      <c r="M3" s="409"/>
      <c r="N3" s="409"/>
      <c r="O3" s="271"/>
      <c r="P3" s="271"/>
      <c r="Q3" s="271"/>
      <c r="R3" s="271"/>
      <c r="S3" s="271"/>
      <c r="T3" s="409"/>
      <c r="U3" s="409"/>
      <c r="V3" s="413" t="s">
        <v>255</v>
      </c>
      <c r="W3" s="411">
        <v>0.5</v>
      </c>
      <c r="Y3" s="412" t="s">
        <v>254</v>
      </c>
      <c r="Z3" s="271"/>
      <c r="AE3" s="271"/>
      <c r="AG3" s="271"/>
      <c r="AH3" s="271"/>
      <c r="AI3" s="271"/>
      <c r="AJ3" s="271"/>
      <c r="AK3" s="271"/>
      <c r="AL3" s="271"/>
      <c r="AM3" s="271"/>
      <c r="AN3" s="271"/>
    </row>
    <row r="4" spans="1:42" hidden="1" x14ac:dyDescent="0.2">
      <c r="F4" s="271"/>
      <c r="L4" s="271"/>
      <c r="M4" s="271"/>
      <c r="N4" s="271"/>
      <c r="O4" s="271"/>
      <c r="P4" s="271"/>
      <c r="Q4" s="271"/>
      <c r="R4" s="271"/>
      <c r="S4" s="271"/>
      <c r="T4" s="271"/>
      <c r="U4" s="271"/>
      <c r="V4" s="414" t="s">
        <v>256</v>
      </c>
      <c r="W4" s="411">
        <v>0</v>
      </c>
      <c r="Y4" s="412" t="s">
        <v>254</v>
      </c>
      <c r="Z4" s="271"/>
      <c r="AA4" s="271"/>
      <c r="AE4" s="409"/>
      <c r="AF4" s="409"/>
      <c r="AG4" s="409"/>
      <c r="AH4" s="376"/>
      <c r="AI4" s="409"/>
      <c r="AJ4" s="409"/>
      <c r="AK4" s="409"/>
      <c r="AL4" s="409"/>
      <c r="AM4" s="409"/>
      <c r="AN4" s="409"/>
      <c r="AO4" s="409"/>
      <c r="AP4" s="409"/>
    </row>
    <row r="5" spans="1:42" x14ac:dyDescent="0.2">
      <c r="F5" s="271"/>
      <c r="L5" s="271"/>
      <c r="M5" s="271"/>
      <c r="N5" s="271"/>
      <c r="O5" s="271"/>
      <c r="P5" s="271"/>
      <c r="Q5" s="271"/>
      <c r="R5" s="271"/>
      <c r="S5" s="271"/>
      <c r="T5" s="271"/>
      <c r="U5" s="271"/>
      <c r="V5" s="271"/>
      <c r="W5" s="271"/>
      <c r="X5" s="271"/>
      <c r="Y5" s="271"/>
      <c r="Z5" s="271"/>
      <c r="AA5" s="967" t="s">
        <v>476</v>
      </c>
      <c r="AC5" s="271"/>
      <c r="AD5" s="964" t="s">
        <v>214</v>
      </c>
    </row>
    <row r="6" spans="1:42" x14ac:dyDescent="0.2">
      <c r="A6" s="607" t="s">
        <v>10</v>
      </c>
      <c r="B6" s="607" t="s">
        <v>79</v>
      </c>
      <c r="C6" s="608" t="s">
        <v>171</v>
      </c>
      <c r="D6" s="609"/>
      <c r="E6" s="609"/>
      <c r="F6" s="610"/>
      <c r="G6" s="608" t="s">
        <v>174</v>
      </c>
      <c r="H6" s="609"/>
      <c r="I6" s="609"/>
      <c r="J6" s="610"/>
      <c r="K6" s="608" t="s">
        <v>177</v>
      </c>
      <c r="L6" s="609"/>
      <c r="M6" s="609"/>
      <c r="N6" s="610"/>
      <c r="O6" s="608" t="s">
        <v>180</v>
      </c>
      <c r="P6" s="609"/>
      <c r="Q6" s="609"/>
      <c r="R6" s="610"/>
      <c r="S6" s="608" t="s">
        <v>182</v>
      </c>
      <c r="T6" s="609"/>
      <c r="U6" s="609"/>
      <c r="V6" s="610"/>
      <c r="W6" s="607" t="s">
        <v>102</v>
      </c>
      <c r="X6" s="611" t="s">
        <v>361</v>
      </c>
      <c r="Y6" s="611"/>
      <c r="Z6" s="612" t="s">
        <v>362</v>
      </c>
      <c r="AA6" s="613"/>
      <c r="AB6" s="271"/>
      <c r="AC6" s="271"/>
      <c r="AD6" s="272" t="s">
        <v>370</v>
      </c>
      <c r="AE6" s="273"/>
      <c r="AF6" s="273" t="s">
        <v>249</v>
      </c>
      <c r="AG6" s="273"/>
      <c r="AH6" s="403" t="s">
        <v>250</v>
      </c>
      <c r="AI6" s="273"/>
      <c r="AJ6" s="273" t="s">
        <v>251</v>
      </c>
      <c r="AK6" s="274"/>
      <c r="AL6" s="273" t="s">
        <v>252</v>
      </c>
      <c r="AM6" s="274"/>
      <c r="AN6" s="274" t="s">
        <v>472</v>
      </c>
      <c r="AO6" s="945"/>
      <c r="AP6" s="274" t="s">
        <v>473</v>
      </c>
    </row>
    <row r="7" spans="1:42" x14ac:dyDescent="0.2">
      <c r="A7" s="614">
        <v>1</v>
      </c>
      <c r="B7" s="459" t="s">
        <v>621</v>
      </c>
      <c r="C7" s="615"/>
      <c r="D7" s="616" t="s">
        <v>363</v>
      </c>
      <c r="E7" s="617"/>
      <c r="F7" s="618"/>
      <c r="G7" s="615"/>
      <c r="H7" s="616" t="s">
        <v>363</v>
      </c>
      <c r="I7" s="617"/>
      <c r="J7" s="618"/>
      <c r="K7" s="615"/>
      <c r="L7" s="616" t="s">
        <v>363</v>
      </c>
      <c r="M7" s="617"/>
      <c r="N7" s="618"/>
      <c r="O7" s="615"/>
      <c r="P7" s="616" t="s">
        <v>363</v>
      </c>
      <c r="Q7" s="617"/>
      <c r="R7" s="618"/>
      <c r="S7" s="615"/>
      <c r="T7" s="616" t="s">
        <v>363</v>
      </c>
      <c r="U7" s="617"/>
      <c r="V7" s="618"/>
      <c r="W7" s="619">
        <f t="shared" ref="W7:W19" si="0">IF(C7&gt;E7,W$2,IF(C7&lt;E7,W$4,IF(ISNUMBER(C7),W$3,0)))+IF(G7&gt;I7,W$2,IF(G7&lt;I7,W$4,IF(ISNUMBER(G7),W$3,0)))+IF(K7&gt;M7,W$2,IF(K7&lt;M7,W$4,IF(ISNUMBER(K7),W$3,0)))+IF(O7&gt;Q7,W$2,IF(O7&lt;Q7,W$4,IF(ISNUMBER(O7),W$3,0)))+IF(S7&gt;U7,W$2,IF(S7&lt;U7,W$4,IF(ISNUMBER(S7),W$3,0)))</f>
        <v>0</v>
      </c>
      <c r="X7" s="620"/>
      <c r="Y7" s="615">
        <f>C7+G7+K7+O7+S7</f>
        <v>0</v>
      </c>
      <c r="Z7" s="616" t="s">
        <v>363</v>
      </c>
      <c r="AA7" s="621">
        <f>E7+I7+M7+Q7+U7</f>
        <v>0</v>
      </c>
      <c r="AB7" s="622">
        <f>Y7-AA7</f>
        <v>0</v>
      </c>
      <c r="AD7" s="405">
        <f>SUM(AE7:AP7)</f>
        <v>240</v>
      </c>
      <c r="AE7" s="406">
        <f>IFERROR(INDEX(V!$R:$R,MATCH(AF7,V!$L:$L,0)),"")</f>
        <v>187</v>
      </c>
      <c r="AF7" s="407" t="str">
        <f>IFERROR(LEFT($B7,(FIND(",",$B7,1)-1)),"")</f>
        <v>Kenneth Muusikus</v>
      </c>
      <c r="AG7" s="406">
        <f>IFERROR(INDEX(V!$R:$R,MATCH(AH7,V!$L:$L,0)),"")</f>
        <v>53</v>
      </c>
      <c r="AH7" s="407" t="str">
        <f>IFERROR(MID($B7,FIND(", ",$B7)+2,256),"")</f>
        <v>Marta Bernat</v>
      </c>
      <c r="AI7" s="406" t="str">
        <f>IFERROR(INDEX(V!$R:$R,MATCH(AJ7,V!$L:$L,0)),"")</f>
        <v/>
      </c>
      <c r="AJ7" s="407" t="str">
        <f>IFERROR(MID($B7,FIND("^",SUBSTITUTE($B7,", ","^",1))+2,FIND("^",SUBSTITUTE($B7,", ","^",2))-FIND("^",SUBSTITUTE($B7,", ","^",1))-2),"")</f>
        <v/>
      </c>
      <c r="AK7" s="406" t="str">
        <f>IFERROR(INDEX(V!$R:$R,MATCH(AL7,V!$L:$L,0)),"")</f>
        <v/>
      </c>
      <c r="AL7" s="407" t="str">
        <f>IFERROR(MID($B7,FIND(", ",$B7,FIND(", ",$B7,FIND(", ",$B7))+1)+2,30000),"")</f>
        <v/>
      </c>
      <c r="AM7" s="406" t="str">
        <f>IFERROR(INDEX(V!$R:$R,MATCH(AN7,V!$L:$L,0)),"")</f>
        <v/>
      </c>
      <c r="AN7" s="407" t="str">
        <f>IFERROR(MID($B7,FIND(", ",$B7,FIND(", ",$B7)+1)+2,FIND(", ",$B7,FIND(", ",$B7,FIND(", ",$B7)+1)+1)-FIND(", ",$B7,FIND(", ",$B7)+1)-2),"")</f>
        <v/>
      </c>
      <c r="AO7" s="406" t="str">
        <f>IFERROR(INDEX(V!$R:$R,MATCH(AP7,V!$L:$L,0)),"")</f>
        <v/>
      </c>
      <c r="AP7" s="407" t="str">
        <f>IFERROR(MID($B7,FIND(", ",$B7,FIND(", ",$B7,FIND(", ",$B7)+1)+1)+2,30000),"")</f>
        <v/>
      </c>
    </row>
    <row r="8" spans="1:42" x14ac:dyDescent="0.2">
      <c r="A8" s="614">
        <v>2</v>
      </c>
      <c r="B8" s="459" t="s">
        <v>307</v>
      </c>
      <c r="C8" s="615"/>
      <c r="D8" s="616" t="s">
        <v>363</v>
      </c>
      <c r="E8" s="617"/>
      <c r="F8" s="618"/>
      <c r="G8" s="615"/>
      <c r="H8" s="616" t="s">
        <v>363</v>
      </c>
      <c r="I8" s="617"/>
      <c r="J8" s="618"/>
      <c r="K8" s="615"/>
      <c r="L8" s="616" t="s">
        <v>363</v>
      </c>
      <c r="M8" s="617"/>
      <c r="N8" s="618"/>
      <c r="O8" s="615"/>
      <c r="P8" s="616" t="s">
        <v>363</v>
      </c>
      <c r="Q8" s="617"/>
      <c r="R8" s="618"/>
      <c r="S8" s="615"/>
      <c r="T8" s="616" t="s">
        <v>363</v>
      </c>
      <c r="U8" s="617"/>
      <c r="V8" s="618"/>
      <c r="W8" s="619">
        <f t="shared" si="0"/>
        <v>0</v>
      </c>
      <c r="X8" s="620"/>
      <c r="Y8" s="615">
        <f t="shared" ref="Y8:Y19" si="1">C8+G8+K8+O8+S8</f>
        <v>0</v>
      </c>
      <c r="Z8" s="616" t="s">
        <v>363</v>
      </c>
      <c r="AA8" s="621">
        <f t="shared" ref="AA8:AA19" si="2">E8+I8+M8+Q8+U8</f>
        <v>0</v>
      </c>
      <c r="AB8" s="622">
        <f t="shared" ref="AB8:AB19" si="3">Y8-AA8</f>
        <v>0</v>
      </c>
      <c r="AC8" s="404"/>
      <c r="AD8" s="405">
        <f t="shared" ref="AD8:AD11" si="4">SUM(AE8:AL8)</f>
        <v>190</v>
      </c>
      <c r="AE8" s="406">
        <f>IFERROR(INDEX(V!$R:$R,MATCH(AF8,V!$L:$L,0)),"")</f>
        <v>126</v>
      </c>
      <c r="AF8" s="407" t="str">
        <f t="shared" ref="AF8:AF19" si="5">IFERROR(LEFT($B8,(FIND(",",$B8,1)-1)),"")</f>
        <v>Oleg Rõndenkov</v>
      </c>
      <c r="AG8" s="406">
        <f>IFERROR(INDEX(V!$R:$R,MATCH(AH8,V!$L:$L,0)),"")</f>
        <v>64</v>
      </c>
      <c r="AH8" s="407" t="str">
        <f t="shared" ref="AH8:AH19" si="6">IFERROR(MID($B8,FIND(", ",$B8)+2,256),"")</f>
        <v>Toomas Tedrekull</v>
      </c>
      <c r="AI8" s="406" t="str">
        <f>IFERROR(INDEX(V!$R:$R,MATCH(AJ8,V!$L:$L,0)),"")</f>
        <v/>
      </c>
      <c r="AJ8" s="407" t="str">
        <f t="shared" ref="AJ8:AJ19" si="7">IFERROR(MID($B8,FIND("^",SUBSTITUTE($B8,", ","^",1))+2,FIND("^",SUBSTITUTE($B8,", ","^",2))-FIND("^",SUBSTITUTE($B8,", ","^",1))-2),"")</f>
        <v/>
      </c>
      <c r="AK8" s="406" t="str">
        <f>IFERROR(INDEX(V!$R:$R,MATCH(AL8,V!$L:$L,0)),"")</f>
        <v/>
      </c>
      <c r="AL8" s="407" t="str">
        <f t="shared" ref="AL8:AL19" si="8">IFERROR(MID($B8,FIND(", ",$B8,FIND(", ",$B8,FIND(", ",$B8))+1)+2,30000),"")</f>
        <v/>
      </c>
      <c r="AM8" s="406" t="str">
        <f>IFERROR(INDEX(V!$R:$R,MATCH(AN8,V!$L:$L,0)),"")</f>
        <v/>
      </c>
      <c r="AN8" s="407" t="str">
        <f t="shared" ref="AN8:AN19" si="9">IFERROR(MID($B8,FIND(", ",$B8,FIND(", ",$B8)+1)+2,FIND(", ",$B8,FIND(", ",$B8,FIND(", ",$B8)+1)+1)-FIND(", ",$B8,FIND(", ",$B8)+1)-2),"")</f>
        <v/>
      </c>
      <c r="AO8" s="406" t="str">
        <f>IFERROR(INDEX(V!$R:$R,MATCH(AP8,V!$L:$L,0)),"")</f>
        <v/>
      </c>
      <c r="AP8" s="407" t="str">
        <f t="shared" ref="AP8:AP19" si="10">IFERROR(MID($B8,FIND(", ",$B8,FIND(", ",$B8,FIND(", ",$B8)+1)+1)+2,30000),"")</f>
        <v/>
      </c>
    </row>
    <row r="9" spans="1:42" x14ac:dyDescent="0.2">
      <c r="A9" s="614">
        <v>3</v>
      </c>
      <c r="B9" s="479" t="s">
        <v>617</v>
      </c>
      <c r="C9" s="615"/>
      <c r="D9" s="616" t="s">
        <v>363</v>
      </c>
      <c r="E9" s="617"/>
      <c r="F9" s="618"/>
      <c r="G9" s="615"/>
      <c r="H9" s="616" t="s">
        <v>363</v>
      </c>
      <c r="I9" s="617"/>
      <c r="J9" s="618"/>
      <c r="K9" s="615"/>
      <c r="L9" s="616" t="s">
        <v>363</v>
      </c>
      <c r="M9" s="617"/>
      <c r="N9" s="618"/>
      <c r="O9" s="615"/>
      <c r="P9" s="616" t="s">
        <v>363</v>
      </c>
      <c r="Q9" s="617"/>
      <c r="R9" s="618"/>
      <c r="S9" s="615"/>
      <c r="T9" s="616" t="s">
        <v>363</v>
      </c>
      <c r="U9" s="617"/>
      <c r="V9" s="618"/>
      <c r="W9" s="619">
        <f t="shared" si="0"/>
        <v>0</v>
      </c>
      <c r="X9" s="620"/>
      <c r="Y9" s="615">
        <f t="shared" si="1"/>
        <v>0</v>
      </c>
      <c r="Z9" s="616" t="s">
        <v>363</v>
      </c>
      <c r="AA9" s="621">
        <f t="shared" si="2"/>
        <v>0</v>
      </c>
      <c r="AB9" s="622">
        <f t="shared" si="3"/>
        <v>0</v>
      </c>
      <c r="AC9" s="404"/>
      <c r="AD9" s="405">
        <f t="shared" si="4"/>
        <v>252</v>
      </c>
      <c r="AE9" s="406">
        <f>IFERROR(INDEX(V!$R:$R,MATCH(AF9,V!$L:$L,0)),"")</f>
        <v>148</v>
      </c>
      <c r="AF9" s="407" t="str">
        <f t="shared" si="5"/>
        <v>Andrei Grintšak</v>
      </c>
      <c r="AG9" s="406">
        <f>IFERROR(INDEX(V!$R:$R,MATCH(AH9,V!$L:$L,0)),"")</f>
        <v>104</v>
      </c>
      <c r="AH9" s="407" t="str">
        <f t="shared" si="6"/>
        <v>Andres Veski</v>
      </c>
      <c r="AI9" s="406" t="str">
        <f>IFERROR(INDEX(V!$R:$R,MATCH(AJ9,V!$L:$L,0)),"")</f>
        <v/>
      </c>
      <c r="AJ9" s="407" t="str">
        <f t="shared" si="7"/>
        <v/>
      </c>
      <c r="AK9" s="406" t="str">
        <f>IFERROR(INDEX(V!$R:$R,MATCH(AL9,V!$L:$L,0)),"")</f>
        <v/>
      </c>
      <c r="AL9" s="407" t="str">
        <f t="shared" si="8"/>
        <v/>
      </c>
      <c r="AM9" s="406" t="str">
        <f>IFERROR(INDEX(V!$R:$R,MATCH(AN9,V!$L:$L,0)),"")</f>
        <v/>
      </c>
      <c r="AN9" s="407" t="str">
        <f t="shared" si="9"/>
        <v/>
      </c>
      <c r="AO9" s="406" t="str">
        <f>IFERROR(INDEX(V!$R:$R,MATCH(AP9,V!$L:$L,0)),"")</f>
        <v/>
      </c>
      <c r="AP9" s="407" t="str">
        <f t="shared" si="10"/>
        <v/>
      </c>
    </row>
    <row r="10" spans="1:42" x14ac:dyDescent="0.2">
      <c r="A10" s="614">
        <v>4</v>
      </c>
      <c r="B10" s="479" t="s">
        <v>313</v>
      </c>
      <c r="C10" s="615"/>
      <c r="D10" s="616" t="s">
        <v>363</v>
      </c>
      <c r="E10" s="617"/>
      <c r="F10" s="618"/>
      <c r="G10" s="615"/>
      <c r="H10" s="616" t="s">
        <v>363</v>
      </c>
      <c r="I10" s="617"/>
      <c r="J10" s="618"/>
      <c r="K10" s="615"/>
      <c r="L10" s="616" t="s">
        <v>363</v>
      </c>
      <c r="M10" s="617"/>
      <c r="N10" s="618"/>
      <c r="O10" s="615"/>
      <c r="P10" s="616" t="s">
        <v>363</v>
      </c>
      <c r="Q10" s="617"/>
      <c r="R10" s="618"/>
      <c r="S10" s="615"/>
      <c r="T10" s="616" t="s">
        <v>363</v>
      </c>
      <c r="U10" s="617"/>
      <c r="V10" s="618"/>
      <c r="W10" s="619">
        <f t="shared" si="0"/>
        <v>0</v>
      </c>
      <c r="X10" s="620"/>
      <c r="Y10" s="615">
        <f t="shared" si="1"/>
        <v>0</v>
      </c>
      <c r="Z10" s="616" t="s">
        <v>363</v>
      </c>
      <c r="AA10" s="621">
        <f t="shared" si="2"/>
        <v>0</v>
      </c>
      <c r="AB10" s="622">
        <f t="shared" si="3"/>
        <v>0</v>
      </c>
      <c r="AC10" s="404"/>
      <c r="AD10" s="405">
        <f t="shared" si="4"/>
        <v>278</v>
      </c>
      <c r="AE10" s="406">
        <f>IFERROR(INDEX(V!$R:$R,MATCH(AF10,V!$L:$L,0)),"")</f>
        <v>145</v>
      </c>
      <c r="AF10" s="407" t="str">
        <f t="shared" si="5"/>
        <v>Aigi Orro</v>
      </c>
      <c r="AG10" s="406">
        <f>IFERROR(INDEX(V!$R:$R,MATCH(AH10,V!$L:$L,0)),"")</f>
        <v>133</v>
      </c>
      <c r="AH10" s="407" t="str">
        <f t="shared" si="6"/>
        <v>Kalle Orro</v>
      </c>
      <c r="AI10" s="406" t="str">
        <f>IFERROR(INDEX(V!$R:$R,MATCH(AJ10,V!$L:$L,0)),"")</f>
        <v/>
      </c>
      <c r="AJ10" s="407" t="str">
        <f t="shared" si="7"/>
        <v/>
      </c>
      <c r="AK10" s="406" t="str">
        <f>IFERROR(INDEX(V!$R:$R,MATCH(AL10,V!$L:$L,0)),"")</f>
        <v/>
      </c>
      <c r="AL10" s="407" t="str">
        <f t="shared" si="8"/>
        <v/>
      </c>
      <c r="AM10" s="406" t="str">
        <f>IFERROR(INDEX(V!$R:$R,MATCH(AN10,V!$L:$L,0)),"")</f>
        <v/>
      </c>
      <c r="AN10" s="407" t="str">
        <f t="shared" si="9"/>
        <v/>
      </c>
      <c r="AO10" s="406" t="str">
        <f>IFERROR(INDEX(V!$R:$R,MATCH(AP10,V!$L:$L,0)),"")</f>
        <v/>
      </c>
      <c r="AP10" s="407" t="str">
        <f t="shared" si="10"/>
        <v/>
      </c>
    </row>
    <row r="11" spans="1:42" x14ac:dyDescent="0.2">
      <c r="A11" s="614">
        <v>5</v>
      </c>
      <c r="B11" s="459" t="s">
        <v>280</v>
      </c>
      <c r="C11" s="615"/>
      <c r="D11" s="616" t="s">
        <v>363</v>
      </c>
      <c r="E11" s="617"/>
      <c r="F11" s="618"/>
      <c r="G11" s="615"/>
      <c r="H11" s="616" t="s">
        <v>363</v>
      </c>
      <c r="I11" s="617"/>
      <c r="J11" s="618"/>
      <c r="K11" s="615"/>
      <c r="L11" s="616" t="s">
        <v>363</v>
      </c>
      <c r="M11" s="617"/>
      <c r="N11" s="618"/>
      <c r="O11" s="615"/>
      <c r="P11" s="616" t="s">
        <v>363</v>
      </c>
      <c r="Q11" s="617"/>
      <c r="R11" s="618"/>
      <c r="S11" s="615"/>
      <c r="T11" s="616" t="s">
        <v>363</v>
      </c>
      <c r="U11" s="617"/>
      <c r="V11" s="618"/>
      <c r="W11" s="619">
        <f t="shared" si="0"/>
        <v>0</v>
      </c>
      <c r="X11" s="620"/>
      <c r="Y11" s="615">
        <f t="shared" si="1"/>
        <v>0</v>
      </c>
      <c r="Z11" s="616" t="s">
        <v>363</v>
      </c>
      <c r="AA11" s="621">
        <f t="shared" si="2"/>
        <v>0</v>
      </c>
      <c r="AB11" s="622">
        <f t="shared" si="3"/>
        <v>0</v>
      </c>
      <c r="AC11" s="404"/>
      <c r="AD11" s="405">
        <f t="shared" si="4"/>
        <v>223</v>
      </c>
      <c r="AE11" s="406">
        <f>IFERROR(INDEX(V!$R:$R,MATCH(AF11,V!$L:$L,0)),"")</f>
        <v>118</v>
      </c>
      <c r="AF11" s="407" t="str">
        <f t="shared" si="5"/>
        <v>Enn Tokman</v>
      </c>
      <c r="AG11" s="406">
        <f>IFERROR(INDEX(V!$R:$R,MATCH(AH11,V!$L:$L,0)),"")</f>
        <v>105</v>
      </c>
      <c r="AH11" s="407" t="str">
        <f t="shared" si="6"/>
        <v>Tarmo Bombe</v>
      </c>
      <c r="AI11" s="406" t="str">
        <f>IFERROR(INDEX(V!$R:$R,MATCH(AJ11,V!$L:$L,0)),"")</f>
        <v/>
      </c>
      <c r="AJ11" s="407" t="str">
        <f t="shared" si="7"/>
        <v/>
      </c>
      <c r="AK11" s="406" t="str">
        <f>IFERROR(INDEX(V!$R:$R,MATCH(AL11,V!$L:$L,0)),"")</f>
        <v/>
      </c>
      <c r="AL11" s="407" t="str">
        <f t="shared" si="8"/>
        <v/>
      </c>
      <c r="AM11" s="406" t="str">
        <f>IFERROR(INDEX(V!$R:$R,MATCH(AN11,V!$L:$L,0)),"")</f>
        <v/>
      </c>
      <c r="AN11" s="407" t="str">
        <f t="shared" si="9"/>
        <v/>
      </c>
      <c r="AO11" s="406" t="str">
        <f>IFERROR(INDEX(V!$R:$R,MATCH(AP11,V!$L:$L,0)),"")</f>
        <v/>
      </c>
      <c r="AP11" s="407" t="str">
        <f t="shared" si="10"/>
        <v/>
      </c>
    </row>
    <row r="12" spans="1:42" x14ac:dyDescent="0.2">
      <c r="A12" s="614">
        <v>6</v>
      </c>
      <c r="B12" s="479" t="s">
        <v>274</v>
      </c>
      <c r="C12" s="615"/>
      <c r="D12" s="616" t="s">
        <v>363</v>
      </c>
      <c r="E12" s="617"/>
      <c r="F12" s="618"/>
      <c r="G12" s="615"/>
      <c r="H12" s="616" t="s">
        <v>363</v>
      </c>
      <c r="I12" s="617"/>
      <c r="J12" s="618"/>
      <c r="K12" s="615"/>
      <c r="L12" s="616" t="s">
        <v>363</v>
      </c>
      <c r="M12" s="617"/>
      <c r="N12" s="618"/>
      <c r="O12" s="615"/>
      <c r="P12" s="616" t="s">
        <v>363</v>
      </c>
      <c r="Q12" s="617"/>
      <c r="R12" s="618"/>
      <c r="S12" s="615"/>
      <c r="T12" s="616" t="s">
        <v>363</v>
      </c>
      <c r="U12" s="617"/>
      <c r="V12" s="618"/>
      <c r="W12" s="619">
        <f t="shared" si="0"/>
        <v>0</v>
      </c>
      <c r="X12" s="620"/>
      <c r="Y12" s="615">
        <f t="shared" si="1"/>
        <v>0</v>
      </c>
      <c r="Z12" s="616" t="s">
        <v>363</v>
      </c>
      <c r="AA12" s="621">
        <f t="shared" si="2"/>
        <v>0</v>
      </c>
      <c r="AB12" s="622">
        <f t="shared" si="3"/>
        <v>0</v>
      </c>
      <c r="AC12" s="404"/>
      <c r="AD12" s="405">
        <f t="shared" ref="AD12:AD19" si="11">SUM(AE12:AL12)</f>
        <v>276</v>
      </c>
      <c r="AE12" s="406">
        <f>IFERROR(INDEX(V!$R:$R,MATCH(AF12,V!$L:$L,0)),"")</f>
        <v>150.5</v>
      </c>
      <c r="AF12" s="407" t="str">
        <f t="shared" si="5"/>
        <v>Karla Purgats</v>
      </c>
      <c r="AG12" s="406">
        <f>IFERROR(INDEX(V!$R:$R,MATCH(AH12,V!$L:$L,0)),"")</f>
        <v>125.5</v>
      </c>
      <c r="AH12" s="407" t="str">
        <f t="shared" si="6"/>
        <v>Lemmit Toomra</v>
      </c>
      <c r="AI12" s="406" t="str">
        <f>IFERROR(INDEX(V!$R:$R,MATCH(AJ12,V!$L:$L,0)),"")</f>
        <v/>
      </c>
      <c r="AJ12" s="407" t="str">
        <f t="shared" si="7"/>
        <v/>
      </c>
      <c r="AK12" s="406" t="str">
        <f>IFERROR(INDEX(V!$R:$R,MATCH(AL12,V!$L:$L,0)),"")</f>
        <v/>
      </c>
      <c r="AL12" s="407" t="str">
        <f t="shared" si="8"/>
        <v/>
      </c>
      <c r="AM12" s="406" t="str">
        <f>IFERROR(INDEX(V!$R:$R,MATCH(AN12,V!$L:$L,0)),"")</f>
        <v/>
      </c>
      <c r="AN12" s="407" t="str">
        <f t="shared" si="9"/>
        <v/>
      </c>
      <c r="AO12" s="406" t="str">
        <f>IFERROR(INDEX(V!$R:$R,MATCH(AP12,V!$L:$L,0)),"")</f>
        <v/>
      </c>
      <c r="AP12" s="407" t="str">
        <f t="shared" si="10"/>
        <v/>
      </c>
    </row>
    <row r="13" spans="1:42" x14ac:dyDescent="0.2">
      <c r="A13" s="614">
        <v>7</v>
      </c>
      <c r="B13" s="623" t="s">
        <v>282</v>
      </c>
      <c r="C13" s="615"/>
      <c r="D13" s="616" t="s">
        <v>363</v>
      </c>
      <c r="E13" s="617"/>
      <c r="F13" s="618"/>
      <c r="G13" s="615"/>
      <c r="H13" s="616" t="s">
        <v>363</v>
      </c>
      <c r="I13" s="617"/>
      <c r="J13" s="618"/>
      <c r="K13" s="615"/>
      <c r="L13" s="616" t="s">
        <v>363</v>
      </c>
      <c r="M13" s="617"/>
      <c r="N13" s="618"/>
      <c r="O13" s="615"/>
      <c r="P13" s="616" t="s">
        <v>363</v>
      </c>
      <c r="Q13" s="617"/>
      <c r="R13" s="618"/>
      <c r="S13" s="615"/>
      <c r="T13" s="616" t="s">
        <v>363</v>
      </c>
      <c r="U13" s="617"/>
      <c r="V13" s="618"/>
      <c r="W13" s="619">
        <f t="shared" si="0"/>
        <v>0</v>
      </c>
      <c r="X13" s="620"/>
      <c r="Y13" s="615">
        <f t="shared" si="1"/>
        <v>0</v>
      </c>
      <c r="Z13" s="616" t="s">
        <v>363</v>
      </c>
      <c r="AA13" s="621">
        <f t="shared" si="2"/>
        <v>0</v>
      </c>
      <c r="AB13" s="622">
        <f t="shared" si="3"/>
        <v>0</v>
      </c>
      <c r="AC13" s="404"/>
      <c r="AD13" s="405">
        <f t="shared" si="11"/>
        <v>320</v>
      </c>
      <c r="AE13" s="406">
        <f>IFERROR(INDEX(V!$R:$R,MATCH(AF13,V!$L:$L,0)),"")</f>
        <v>168</v>
      </c>
      <c r="AF13" s="407" t="str">
        <f t="shared" si="5"/>
        <v>Matti Vinni</v>
      </c>
      <c r="AG13" s="406">
        <f>IFERROR(INDEX(V!$R:$R,MATCH(AH13,V!$L:$L,0)),"")</f>
        <v>152</v>
      </c>
      <c r="AH13" s="407" t="str">
        <f t="shared" si="6"/>
        <v>Vladimir Ogneštšikov</v>
      </c>
      <c r="AI13" s="406" t="str">
        <f>IFERROR(INDEX(V!$R:$R,MATCH(AJ13,V!$L:$L,0)),"")</f>
        <v/>
      </c>
      <c r="AJ13" s="407" t="str">
        <f t="shared" si="7"/>
        <v/>
      </c>
      <c r="AK13" s="406" t="str">
        <f>IFERROR(INDEX(V!$R:$R,MATCH(AL13,V!$L:$L,0)),"")</f>
        <v/>
      </c>
      <c r="AL13" s="407" t="str">
        <f t="shared" si="8"/>
        <v/>
      </c>
      <c r="AM13" s="406" t="str">
        <f>IFERROR(INDEX(V!$R:$R,MATCH(AN13,V!$L:$L,0)),"")</f>
        <v/>
      </c>
      <c r="AN13" s="407" t="str">
        <f t="shared" si="9"/>
        <v/>
      </c>
      <c r="AO13" s="406" t="str">
        <f>IFERROR(INDEX(V!$R:$R,MATCH(AP13,V!$L:$L,0)),"")</f>
        <v/>
      </c>
      <c r="AP13" s="407" t="str">
        <f t="shared" si="10"/>
        <v/>
      </c>
    </row>
    <row r="14" spans="1:42" x14ac:dyDescent="0.2">
      <c r="A14" s="614">
        <v>8</v>
      </c>
      <c r="B14" s="623" t="s">
        <v>618</v>
      </c>
      <c r="C14" s="615"/>
      <c r="D14" s="616" t="s">
        <v>363</v>
      </c>
      <c r="E14" s="617"/>
      <c r="F14" s="618"/>
      <c r="G14" s="615"/>
      <c r="H14" s="616" t="s">
        <v>363</v>
      </c>
      <c r="I14" s="617"/>
      <c r="J14" s="618"/>
      <c r="K14" s="615"/>
      <c r="L14" s="616" t="s">
        <v>363</v>
      </c>
      <c r="M14" s="617"/>
      <c r="N14" s="618"/>
      <c r="O14" s="615"/>
      <c r="P14" s="616" t="s">
        <v>363</v>
      </c>
      <c r="Q14" s="617"/>
      <c r="R14" s="618"/>
      <c r="S14" s="615"/>
      <c r="T14" s="616" t="s">
        <v>363</v>
      </c>
      <c r="U14" s="617"/>
      <c r="V14" s="618"/>
      <c r="W14" s="619">
        <f t="shared" si="0"/>
        <v>0</v>
      </c>
      <c r="X14" s="620"/>
      <c r="Y14" s="615">
        <f t="shared" si="1"/>
        <v>0</v>
      </c>
      <c r="Z14" s="616" t="s">
        <v>363</v>
      </c>
      <c r="AA14" s="621">
        <f t="shared" si="2"/>
        <v>0</v>
      </c>
      <c r="AB14" s="622">
        <f t="shared" si="3"/>
        <v>0</v>
      </c>
      <c r="AC14" s="404"/>
      <c r="AD14" s="405">
        <f t="shared" si="11"/>
        <v>193</v>
      </c>
      <c r="AE14" s="406">
        <f>IFERROR(INDEX(V!$R:$R,MATCH(AF14,V!$L:$L,0)),"")</f>
        <v>164</v>
      </c>
      <c r="AF14" s="407" t="str">
        <f t="shared" si="5"/>
        <v>Kaspar Mänd</v>
      </c>
      <c r="AG14" s="406">
        <f>IFERROR(INDEX(V!$R:$R,MATCH(AH14,V!$L:$L,0)),"")</f>
        <v>29</v>
      </c>
      <c r="AH14" s="407" t="str">
        <f t="shared" si="6"/>
        <v>Olav Türk</v>
      </c>
      <c r="AI14" s="406" t="str">
        <f>IFERROR(INDEX(V!$R:$R,MATCH(AJ14,V!$L:$L,0)),"")</f>
        <v/>
      </c>
      <c r="AJ14" s="407" t="str">
        <f t="shared" si="7"/>
        <v/>
      </c>
      <c r="AK14" s="406" t="str">
        <f>IFERROR(INDEX(V!$R:$R,MATCH(AL14,V!$L:$L,0)),"")</f>
        <v/>
      </c>
      <c r="AL14" s="407" t="str">
        <f t="shared" si="8"/>
        <v/>
      </c>
      <c r="AM14" s="406" t="str">
        <f>IFERROR(INDEX(V!$R:$R,MATCH(AN14,V!$L:$L,0)),"")</f>
        <v/>
      </c>
      <c r="AN14" s="407" t="str">
        <f t="shared" si="9"/>
        <v/>
      </c>
      <c r="AO14" s="406" t="str">
        <f>IFERROR(INDEX(V!$R:$R,MATCH(AP14,V!$L:$L,0)),"")</f>
        <v/>
      </c>
      <c r="AP14" s="407" t="str">
        <f t="shared" si="10"/>
        <v/>
      </c>
    </row>
    <row r="15" spans="1:42" x14ac:dyDescent="0.2">
      <c r="A15" s="614">
        <v>9</v>
      </c>
      <c r="B15" s="479" t="s">
        <v>619</v>
      </c>
      <c r="C15" s="615"/>
      <c r="D15" s="616" t="s">
        <v>363</v>
      </c>
      <c r="E15" s="617"/>
      <c r="F15" s="618"/>
      <c r="G15" s="615"/>
      <c r="H15" s="616" t="s">
        <v>363</v>
      </c>
      <c r="I15" s="617"/>
      <c r="J15" s="618"/>
      <c r="K15" s="615"/>
      <c r="L15" s="616" t="s">
        <v>363</v>
      </c>
      <c r="M15" s="617"/>
      <c r="N15" s="618"/>
      <c r="O15" s="615"/>
      <c r="P15" s="616" t="s">
        <v>363</v>
      </c>
      <c r="Q15" s="617"/>
      <c r="R15" s="618"/>
      <c r="S15" s="615"/>
      <c r="T15" s="616" t="s">
        <v>363</v>
      </c>
      <c r="U15" s="617"/>
      <c r="V15" s="618"/>
      <c r="W15" s="619">
        <f t="shared" si="0"/>
        <v>0</v>
      </c>
      <c r="X15" s="620"/>
      <c r="Y15" s="615">
        <f t="shared" si="1"/>
        <v>0</v>
      </c>
      <c r="Z15" s="616" t="s">
        <v>363</v>
      </c>
      <c r="AA15" s="621">
        <f t="shared" si="2"/>
        <v>0</v>
      </c>
      <c r="AB15" s="622">
        <f t="shared" si="3"/>
        <v>0</v>
      </c>
      <c r="AC15" s="404"/>
      <c r="AD15" s="405">
        <f t="shared" si="11"/>
        <v>152</v>
      </c>
      <c r="AE15" s="406">
        <f>IFERROR(INDEX(V!$R:$R,MATCH(AF15,V!$L:$L,0)),"")</f>
        <v>122</v>
      </c>
      <c r="AF15" s="407" t="str">
        <f t="shared" si="5"/>
        <v>Johannes Neiland</v>
      </c>
      <c r="AG15" s="406">
        <f>IFERROR(INDEX(V!$R:$R,MATCH(AH15,V!$L:$L,0)),"")</f>
        <v>30</v>
      </c>
      <c r="AH15" s="407" t="str">
        <f t="shared" si="6"/>
        <v>Sander Rose</v>
      </c>
      <c r="AI15" s="406" t="str">
        <f>IFERROR(INDEX(V!$R:$R,MATCH(AJ15,V!$L:$L,0)),"")</f>
        <v/>
      </c>
      <c r="AJ15" s="407" t="str">
        <f t="shared" si="7"/>
        <v/>
      </c>
      <c r="AK15" s="406" t="str">
        <f>IFERROR(INDEX(V!$R:$R,MATCH(AL15,V!$L:$L,0)),"")</f>
        <v/>
      </c>
      <c r="AL15" s="407" t="str">
        <f t="shared" si="8"/>
        <v/>
      </c>
      <c r="AM15" s="406" t="str">
        <f>IFERROR(INDEX(V!$R:$R,MATCH(AN15,V!$L:$L,0)),"")</f>
        <v/>
      </c>
      <c r="AN15" s="407" t="str">
        <f t="shared" si="9"/>
        <v/>
      </c>
      <c r="AO15" s="406" t="str">
        <f>IFERROR(INDEX(V!$R:$R,MATCH(AP15,V!$L:$L,0)),"")</f>
        <v/>
      </c>
      <c r="AP15" s="407" t="str">
        <f t="shared" si="10"/>
        <v/>
      </c>
    </row>
    <row r="16" spans="1:42" x14ac:dyDescent="0.2">
      <c r="A16" s="614">
        <v>10</v>
      </c>
      <c r="B16" s="459" t="s">
        <v>309</v>
      </c>
      <c r="C16" s="615"/>
      <c r="D16" s="616" t="s">
        <v>363</v>
      </c>
      <c r="E16" s="617"/>
      <c r="F16" s="618"/>
      <c r="G16" s="615"/>
      <c r="H16" s="616" t="s">
        <v>363</v>
      </c>
      <c r="I16" s="617"/>
      <c r="J16" s="618"/>
      <c r="K16" s="615"/>
      <c r="L16" s="616" t="s">
        <v>363</v>
      </c>
      <c r="M16" s="617"/>
      <c r="N16" s="618"/>
      <c r="O16" s="615"/>
      <c r="P16" s="616" t="s">
        <v>363</v>
      </c>
      <c r="Q16" s="617"/>
      <c r="R16" s="618"/>
      <c r="S16" s="615"/>
      <c r="T16" s="616" t="s">
        <v>363</v>
      </c>
      <c r="U16" s="617"/>
      <c r="V16" s="618"/>
      <c r="W16" s="619">
        <f t="shared" si="0"/>
        <v>0</v>
      </c>
      <c r="X16" s="620"/>
      <c r="Y16" s="615">
        <f t="shared" si="1"/>
        <v>0</v>
      </c>
      <c r="Z16" s="616" t="s">
        <v>363</v>
      </c>
      <c r="AA16" s="621">
        <f t="shared" si="2"/>
        <v>0</v>
      </c>
      <c r="AB16" s="622">
        <f t="shared" si="3"/>
        <v>0</v>
      </c>
      <c r="AC16" s="404"/>
      <c r="AD16" s="405">
        <f t="shared" si="11"/>
        <v>224</v>
      </c>
      <c r="AE16" s="406">
        <f>IFERROR(INDEX(V!$R:$R,MATCH(AF16,V!$L:$L,0)),"")</f>
        <v>112</v>
      </c>
      <c r="AF16" s="407" t="str">
        <f t="shared" si="5"/>
        <v>Ljudmila Varendi</v>
      </c>
      <c r="AG16" s="406">
        <f>IFERROR(INDEX(V!$R:$R,MATCH(AH16,V!$L:$L,0)),"")</f>
        <v>112</v>
      </c>
      <c r="AH16" s="407" t="str">
        <f t="shared" si="6"/>
        <v>Viktor Švarõgin</v>
      </c>
      <c r="AI16" s="406" t="str">
        <f>IFERROR(INDEX(V!$R:$R,MATCH(AJ16,V!$L:$L,0)),"")</f>
        <v/>
      </c>
      <c r="AJ16" s="407" t="str">
        <f t="shared" si="7"/>
        <v/>
      </c>
      <c r="AK16" s="406" t="str">
        <f>IFERROR(INDEX(V!$R:$R,MATCH(AL16,V!$L:$L,0)),"")</f>
        <v/>
      </c>
      <c r="AL16" s="407" t="str">
        <f t="shared" si="8"/>
        <v/>
      </c>
      <c r="AM16" s="406" t="str">
        <f>IFERROR(INDEX(V!$R:$R,MATCH(AN16,V!$L:$L,0)),"")</f>
        <v/>
      </c>
      <c r="AN16" s="407" t="str">
        <f t="shared" si="9"/>
        <v/>
      </c>
      <c r="AO16" s="406" t="str">
        <f>IFERROR(INDEX(V!$R:$R,MATCH(AP16,V!$L:$L,0)),"")</f>
        <v/>
      </c>
      <c r="AP16" s="407" t="str">
        <f t="shared" si="10"/>
        <v/>
      </c>
    </row>
    <row r="17" spans="1:42" x14ac:dyDescent="0.2">
      <c r="A17" s="614">
        <v>11</v>
      </c>
      <c r="B17" s="623" t="s">
        <v>276</v>
      </c>
      <c r="C17" s="615"/>
      <c r="D17" s="616" t="s">
        <v>363</v>
      </c>
      <c r="E17" s="617"/>
      <c r="F17" s="618"/>
      <c r="G17" s="615"/>
      <c r="H17" s="616" t="s">
        <v>363</v>
      </c>
      <c r="I17" s="617"/>
      <c r="J17" s="618"/>
      <c r="K17" s="615"/>
      <c r="L17" s="616" t="s">
        <v>363</v>
      </c>
      <c r="M17" s="617"/>
      <c r="N17" s="618"/>
      <c r="O17" s="615"/>
      <c r="P17" s="616" t="s">
        <v>363</v>
      </c>
      <c r="Q17" s="617"/>
      <c r="R17" s="618"/>
      <c r="S17" s="615"/>
      <c r="T17" s="616" t="s">
        <v>363</v>
      </c>
      <c r="U17" s="617"/>
      <c r="V17" s="618"/>
      <c r="W17" s="619">
        <f t="shared" si="0"/>
        <v>0</v>
      </c>
      <c r="X17" s="620"/>
      <c r="Y17" s="615">
        <f t="shared" si="1"/>
        <v>0</v>
      </c>
      <c r="Z17" s="616" t="s">
        <v>363</v>
      </c>
      <c r="AA17" s="621">
        <f t="shared" si="2"/>
        <v>0</v>
      </c>
      <c r="AB17" s="622">
        <f t="shared" si="3"/>
        <v>0</v>
      </c>
      <c r="AC17" s="404"/>
      <c r="AD17" s="405">
        <f t="shared" si="11"/>
        <v>356</v>
      </c>
      <c r="AE17" s="406">
        <f>IFERROR(INDEX(V!$R:$R,MATCH(AF17,V!$L:$L,0)),"")</f>
        <v>178</v>
      </c>
      <c r="AF17" s="407" t="str">
        <f t="shared" si="5"/>
        <v>Jaan Sepp</v>
      </c>
      <c r="AG17" s="406">
        <f>IFERROR(INDEX(V!$R:$R,MATCH(AH17,V!$L:$L,0)),"")</f>
        <v>178</v>
      </c>
      <c r="AH17" s="407" t="str">
        <f t="shared" si="6"/>
        <v>Oskar Sepp</v>
      </c>
      <c r="AI17" s="406" t="str">
        <f>IFERROR(INDEX(V!$R:$R,MATCH(AJ17,V!$L:$L,0)),"")</f>
        <v/>
      </c>
      <c r="AJ17" s="407" t="str">
        <f t="shared" si="7"/>
        <v/>
      </c>
      <c r="AK17" s="406" t="str">
        <f>IFERROR(INDEX(V!$R:$R,MATCH(AL17,V!$L:$L,0)),"")</f>
        <v/>
      </c>
      <c r="AL17" s="407" t="str">
        <f t="shared" si="8"/>
        <v/>
      </c>
      <c r="AM17" s="406" t="str">
        <f>IFERROR(INDEX(V!$R:$R,MATCH(AN17,V!$L:$L,0)),"")</f>
        <v/>
      </c>
      <c r="AN17" s="407" t="str">
        <f t="shared" si="9"/>
        <v/>
      </c>
      <c r="AO17" s="406" t="str">
        <f>IFERROR(INDEX(V!$R:$R,MATCH(AP17,V!$L:$L,0)),"")</f>
        <v/>
      </c>
      <c r="AP17" s="407" t="str">
        <f t="shared" si="10"/>
        <v/>
      </c>
    </row>
    <row r="18" spans="1:42" x14ac:dyDescent="0.2">
      <c r="A18" s="614">
        <v>12</v>
      </c>
      <c r="B18" s="459" t="s">
        <v>487</v>
      </c>
      <c r="C18" s="615"/>
      <c r="D18" s="616" t="s">
        <v>363</v>
      </c>
      <c r="E18" s="617"/>
      <c r="F18" s="618"/>
      <c r="G18" s="615"/>
      <c r="H18" s="616" t="s">
        <v>363</v>
      </c>
      <c r="I18" s="617"/>
      <c r="J18" s="618"/>
      <c r="K18" s="615"/>
      <c r="L18" s="616" t="s">
        <v>363</v>
      </c>
      <c r="M18" s="617"/>
      <c r="N18" s="618"/>
      <c r="O18" s="615"/>
      <c r="P18" s="616" t="s">
        <v>363</v>
      </c>
      <c r="Q18" s="617"/>
      <c r="R18" s="618"/>
      <c r="S18" s="615"/>
      <c r="T18" s="616" t="s">
        <v>363</v>
      </c>
      <c r="U18" s="617"/>
      <c r="V18" s="618"/>
      <c r="W18" s="619">
        <f t="shared" si="0"/>
        <v>0</v>
      </c>
      <c r="X18" s="620"/>
      <c r="Y18" s="615">
        <f t="shared" si="1"/>
        <v>0</v>
      </c>
      <c r="Z18" s="616" t="s">
        <v>363</v>
      </c>
      <c r="AA18" s="621">
        <f t="shared" si="2"/>
        <v>0</v>
      </c>
      <c r="AB18" s="622">
        <f t="shared" si="3"/>
        <v>0</v>
      </c>
      <c r="AC18" s="404"/>
      <c r="AD18" s="405">
        <f t="shared" si="11"/>
        <v>228</v>
      </c>
      <c r="AE18" s="406">
        <f>IFERROR(INDEX(V!$R:$R,MATCH(AF18,V!$L:$L,0)),"")</f>
        <v>90</v>
      </c>
      <c r="AF18" s="407" t="str">
        <f t="shared" si="5"/>
        <v>Henri Mitt</v>
      </c>
      <c r="AG18" s="406">
        <f>IFERROR(INDEX(V!$R:$R,MATCH(AH18,V!$L:$L,0)),"")</f>
        <v>138</v>
      </c>
      <c r="AH18" s="407" t="str">
        <f t="shared" si="6"/>
        <v>Urmas Randlaine</v>
      </c>
      <c r="AI18" s="406" t="str">
        <f>IFERROR(INDEX(V!$R:$R,MATCH(AJ18,V!$L:$L,0)),"")</f>
        <v/>
      </c>
      <c r="AJ18" s="407" t="str">
        <f t="shared" si="7"/>
        <v/>
      </c>
      <c r="AK18" s="406" t="str">
        <f>IFERROR(INDEX(V!$R:$R,MATCH(AL18,V!$L:$L,0)),"")</f>
        <v/>
      </c>
      <c r="AL18" s="407" t="str">
        <f t="shared" si="8"/>
        <v/>
      </c>
      <c r="AM18" s="406" t="str">
        <f>IFERROR(INDEX(V!$R:$R,MATCH(AN18,V!$L:$L,0)),"")</f>
        <v/>
      </c>
      <c r="AN18" s="407" t="str">
        <f t="shared" si="9"/>
        <v/>
      </c>
      <c r="AO18" s="406" t="str">
        <f>IFERROR(INDEX(V!$R:$R,MATCH(AP18,V!$L:$L,0)),"")</f>
        <v/>
      </c>
      <c r="AP18" s="407" t="str">
        <f t="shared" si="10"/>
        <v/>
      </c>
    </row>
    <row r="19" spans="1:42" x14ac:dyDescent="0.2">
      <c r="A19" s="614">
        <v>13</v>
      </c>
      <c r="B19" s="623" t="s">
        <v>620</v>
      </c>
      <c r="C19" s="615"/>
      <c r="D19" s="616" t="s">
        <v>363</v>
      </c>
      <c r="E19" s="617"/>
      <c r="F19" s="618"/>
      <c r="G19" s="615"/>
      <c r="H19" s="616" t="s">
        <v>363</v>
      </c>
      <c r="I19" s="617"/>
      <c r="J19" s="618"/>
      <c r="K19" s="615"/>
      <c r="L19" s="616" t="s">
        <v>363</v>
      </c>
      <c r="M19" s="617"/>
      <c r="N19" s="618"/>
      <c r="O19" s="615"/>
      <c r="P19" s="616" t="s">
        <v>363</v>
      </c>
      <c r="Q19" s="617"/>
      <c r="R19" s="618"/>
      <c r="S19" s="615"/>
      <c r="T19" s="616" t="s">
        <v>363</v>
      </c>
      <c r="U19" s="617"/>
      <c r="V19" s="618"/>
      <c r="W19" s="619">
        <f t="shared" si="0"/>
        <v>0</v>
      </c>
      <c r="X19" s="620"/>
      <c r="Y19" s="615">
        <f t="shared" si="1"/>
        <v>0</v>
      </c>
      <c r="Z19" s="616" t="s">
        <v>363</v>
      </c>
      <c r="AA19" s="621">
        <f t="shared" si="2"/>
        <v>0</v>
      </c>
      <c r="AB19" s="622">
        <f t="shared" si="3"/>
        <v>0</v>
      </c>
      <c r="AC19" s="404"/>
      <c r="AD19" s="405">
        <f t="shared" si="11"/>
        <v>158</v>
      </c>
      <c r="AE19" s="406">
        <f>IFERROR(INDEX(V!$R:$R,MATCH(AF19,V!$L:$L,0)),"")</f>
        <v>90</v>
      </c>
      <c r="AF19" s="407" t="str">
        <f t="shared" si="5"/>
        <v>Janek Tarto</v>
      </c>
      <c r="AG19" s="406">
        <f>IFERROR(INDEX(V!$R:$R,MATCH(AH19,V!$L:$L,0)),"")</f>
        <v>68</v>
      </c>
      <c r="AH19" s="407" t="str">
        <f t="shared" si="6"/>
        <v>Peep Peenema</v>
      </c>
      <c r="AI19" s="406" t="str">
        <f>IFERROR(INDEX(V!$R:$R,MATCH(AJ19,V!$L:$L,0)),"")</f>
        <v/>
      </c>
      <c r="AJ19" s="407" t="str">
        <f t="shared" si="7"/>
        <v/>
      </c>
      <c r="AK19" s="406" t="str">
        <f>IFERROR(INDEX(V!$R:$R,MATCH(AL19,V!$L:$L,0)),"")</f>
        <v/>
      </c>
      <c r="AL19" s="407" t="str">
        <f t="shared" si="8"/>
        <v/>
      </c>
      <c r="AM19" s="406" t="str">
        <f>IFERROR(INDEX(V!$R:$R,MATCH(AN19,V!$L:$L,0)),"")</f>
        <v/>
      </c>
      <c r="AN19" s="407" t="str">
        <f t="shared" si="9"/>
        <v/>
      </c>
      <c r="AO19" s="406" t="str">
        <f>IFERROR(INDEX(V!$R:$R,MATCH(AP19,V!$L:$L,0)),"")</f>
        <v/>
      </c>
      <c r="AP19" s="407" t="str">
        <f t="shared" si="10"/>
        <v/>
      </c>
    </row>
    <row r="20" spans="1:42" hidden="1" x14ac:dyDescent="0.2"/>
    <row r="21" spans="1:42" hidden="1" x14ac:dyDescent="0.2"/>
    <row r="22" spans="1:42" hidden="1" x14ac:dyDescent="0.2"/>
    <row r="23" spans="1:42" hidden="1" x14ac:dyDescent="0.2"/>
    <row r="24" spans="1:42" hidden="1" x14ac:dyDescent="0.2"/>
    <row r="25" spans="1:42" hidden="1" x14ac:dyDescent="0.2"/>
    <row r="26" spans="1:42" hidden="1" x14ac:dyDescent="0.2"/>
    <row r="27" spans="1:42" hidden="1" x14ac:dyDescent="0.2"/>
    <row r="28" spans="1:42" hidden="1" x14ac:dyDescent="0.2"/>
    <row r="29" spans="1:42" hidden="1" x14ac:dyDescent="0.2"/>
    <row r="30" spans="1:42" hidden="1" x14ac:dyDescent="0.2"/>
    <row r="31" spans="1:42" hidden="1" x14ac:dyDescent="0.2"/>
    <row r="32" spans="1:42"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6" hidden="1" x14ac:dyDescent="0.2"/>
    <row r="290" spans="1:6" hidden="1" x14ac:dyDescent="0.2"/>
    <row r="291" spans="1:6" hidden="1" x14ac:dyDescent="0.2"/>
    <row r="292" spans="1:6" hidden="1" x14ac:dyDescent="0.2"/>
    <row r="293" spans="1:6" hidden="1" x14ac:dyDescent="0.2"/>
    <row r="294" spans="1:6" hidden="1" x14ac:dyDescent="0.2"/>
    <row r="295" spans="1:6" hidden="1" x14ac:dyDescent="0.2"/>
    <row r="296" spans="1:6" hidden="1" x14ac:dyDescent="0.2"/>
    <row r="297" spans="1:6" hidden="1" x14ac:dyDescent="0.2"/>
    <row r="299" spans="1:6" x14ac:dyDescent="0.2">
      <c r="A299" s="271"/>
      <c r="B299" s="271"/>
      <c r="C299" s="401" t="s">
        <v>248</v>
      </c>
      <c r="F299" s="2" t="s">
        <v>102</v>
      </c>
    </row>
    <row r="300" spans="1:6" x14ac:dyDescent="0.2">
      <c r="A300" s="530">
        <v>1</v>
      </c>
      <c r="B300" s="625" t="str">
        <f>IFERROR(INDEX(B$1:B$100,MATCH(A300,A$1:A$100,0)),"")</f>
        <v>Kenneth Muusikus, Marta Bernat</v>
      </c>
      <c r="C300" s="499">
        <f>IF(21-A300&gt;0,21-A300,1)</f>
        <v>20</v>
      </c>
      <c r="F300" s="1">
        <v>5</v>
      </c>
    </row>
    <row r="301" spans="1:6" x14ac:dyDescent="0.2">
      <c r="A301" s="530">
        <v>2</v>
      </c>
      <c r="B301" s="625" t="str">
        <f t="shared" ref="B301:B312" si="12">IFERROR(INDEX(B$1:B$100,MATCH(A301,A$1:A$100,0)),"")</f>
        <v>Oleg Rõndenkov, Toomas Tedrekull</v>
      </c>
      <c r="C301" s="499">
        <f t="shared" ref="C301:C312" si="13">IF(21-A301&gt;0,21-A301,1)</f>
        <v>19</v>
      </c>
      <c r="F301" s="1">
        <v>4</v>
      </c>
    </row>
    <row r="302" spans="1:6" x14ac:dyDescent="0.2">
      <c r="A302" s="530">
        <v>3</v>
      </c>
      <c r="B302" s="625" t="str">
        <f t="shared" si="12"/>
        <v>Andrei Grintšak, Andres Veski</v>
      </c>
      <c r="C302" s="499">
        <f t="shared" si="13"/>
        <v>18</v>
      </c>
      <c r="F302" s="1">
        <v>3</v>
      </c>
    </row>
    <row r="303" spans="1:6" x14ac:dyDescent="0.2">
      <c r="A303" s="530">
        <v>4</v>
      </c>
      <c r="B303" s="625" t="str">
        <f t="shared" si="12"/>
        <v>Aigi Orro, Kalle Orro</v>
      </c>
      <c r="C303" s="499">
        <f t="shared" si="13"/>
        <v>17</v>
      </c>
      <c r="F303" s="1">
        <v>3</v>
      </c>
    </row>
    <row r="304" spans="1:6" x14ac:dyDescent="0.2">
      <c r="A304" s="530">
        <v>5</v>
      </c>
      <c r="B304" s="625" t="str">
        <f t="shared" si="12"/>
        <v>Enn Tokman, Tarmo Bombe</v>
      </c>
      <c r="C304" s="499">
        <f t="shared" si="13"/>
        <v>16</v>
      </c>
      <c r="F304" s="1">
        <v>3</v>
      </c>
    </row>
    <row r="305" spans="1:6" x14ac:dyDescent="0.2">
      <c r="A305" s="530">
        <v>6</v>
      </c>
      <c r="B305" s="625" t="str">
        <f t="shared" si="12"/>
        <v>Karla Purgats, Lemmit Toomra</v>
      </c>
      <c r="C305" s="499">
        <f t="shared" si="13"/>
        <v>15</v>
      </c>
      <c r="F305" s="1">
        <v>3</v>
      </c>
    </row>
    <row r="306" spans="1:6" x14ac:dyDescent="0.2">
      <c r="A306" s="530">
        <v>7</v>
      </c>
      <c r="B306" s="625" t="str">
        <f t="shared" si="12"/>
        <v>Matti Vinni, Vladimir Ogneštšikov</v>
      </c>
      <c r="C306" s="499">
        <f t="shared" si="13"/>
        <v>14</v>
      </c>
      <c r="F306" s="1">
        <v>3</v>
      </c>
    </row>
    <row r="307" spans="1:6" x14ac:dyDescent="0.2">
      <c r="A307" s="530">
        <v>8</v>
      </c>
      <c r="B307" s="625" t="str">
        <f t="shared" si="12"/>
        <v>Kaspar Mänd, Olav Türk</v>
      </c>
      <c r="C307" s="499">
        <f t="shared" si="13"/>
        <v>13</v>
      </c>
      <c r="F307" s="1">
        <v>3</v>
      </c>
    </row>
    <row r="308" spans="1:6" x14ac:dyDescent="0.2">
      <c r="A308" s="530">
        <v>9</v>
      </c>
      <c r="B308" s="625" t="str">
        <f t="shared" si="12"/>
        <v>Johannes Neiland, Sander Rose</v>
      </c>
      <c r="C308" s="499">
        <f t="shared" si="13"/>
        <v>12</v>
      </c>
      <c r="F308" s="1">
        <v>2</v>
      </c>
    </row>
    <row r="309" spans="1:6" x14ac:dyDescent="0.2">
      <c r="A309" s="530">
        <v>10</v>
      </c>
      <c r="B309" s="625" t="str">
        <f t="shared" si="12"/>
        <v>Ljudmila Varendi, Viktor Švarõgin</v>
      </c>
      <c r="C309" s="499">
        <f t="shared" si="13"/>
        <v>11</v>
      </c>
      <c r="F309" s="1">
        <v>2</v>
      </c>
    </row>
    <row r="310" spans="1:6" x14ac:dyDescent="0.2">
      <c r="A310" s="530">
        <v>11</v>
      </c>
      <c r="B310" s="625" t="str">
        <f t="shared" si="12"/>
        <v>Jaan Sepp, Oskar Sepp</v>
      </c>
      <c r="C310" s="499">
        <f t="shared" si="13"/>
        <v>10</v>
      </c>
      <c r="F310" s="1">
        <v>2</v>
      </c>
    </row>
    <row r="311" spans="1:6" x14ac:dyDescent="0.2">
      <c r="A311" s="530">
        <v>12</v>
      </c>
      <c r="B311" s="625" t="str">
        <f t="shared" si="12"/>
        <v>Henri Mitt, Urmas Randlaine</v>
      </c>
      <c r="C311" s="499">
        <f t="shared" si="13"/>
        <v>9</v>
      </c>
      <c r="F311" s="1">
        <v>1</v>
      </c>
    </row>
    <row r="312" spans="1:6" x14ac:dyDescent="0.2">
      <c r="A312" s="530">
        <v>13</v>
      </c>
      <c r="B312" s="625" t="str">
        <f t="shared" si="12"/>
        <v>Janek Tarto, Peep Peenema</v>
      </c>
      <c r="C312" s="499">
        <f t="shared" si="13"/>
        <v>8</v>
      </c>
      <c r="F312" s="1">
        <v>1</v>
      </c>
    </row>
  </sheetData>
  <conditionalFormatting sqref="B300:B312">
    <cfRule type="expression" dxfId="1011" priority="45">
      <formula>A300=3</formula>
    </cfRule>
    <cfRule type="expression" dxfId="1010" priority="46">
      <formula>A300=2</formula>
    </cfRule>
    <cfRule type="expression" dxfId="1009" priority="47">
      <formula>A300=1</formula>
    </cfRule>
    <cfRule type="containsBlanks" dxfId="1008" priority="48">
      <formula>LEN(TRIM(B300))=0</formula>
    </cfRule>
    <cfRule type="duplicateValues" dxfId="1007" priority="49"/>
  </conditionalFormatting>
  <conditionalFormatting sqref="C7:C19 G7:G19 K7:K19 O7:O19 S7:S19">
    <cfRule type="expression" dxfId="1006" priority="12">
      <formula>AND(C7=0,E7=13)</formula>
    </cfRule>
  </conditionalFormatting>
  <conditionalFormatting sqref="C7:C19">
    <cfRule type="expression" dxfId="1005" priority="26">
      <formula>IF($C7&gt;$E7,TRUE)</formula>
    </cfRule>
  </conditionalFormatting>
  <conditionalFormatting sqref="E7:E19">
    <cfRule type="expression" dxfId="1004" priority="27">
      <formula>IF($C7&lt;$E7,TRUE)</formula>
    </cfRule>
  </conditionalFormatting>
  <conditionalFormatting sqref="K7:K19">
    <cfRule type="expression" dxfId="1003" priority="34">
      <formula>IF($K7&gt;$M7,TRUE)</formula>
    </cfRule>
  </conditionalFormatting>
  <conditionalFormatting sqref="M7:M19">
    <cfRule type="expression" dxfId="1002" priority="35">
      <formula>IF($K7&lt;$M7,TRUE)</formula>
    </cfRule>
  </conditionalFormatting>
  <conditionalFormatting sqref="O7:O19">
    <cfRule type="expression" dxfId="1001" priority="38">
      <formula>IF($O7&gt;$Q7,TRUE)</formula>
    </cfRule>
  </conditionalFormatting>
  <conditionalFormatting sqref="Q7:Q19">
    <cfRule type="expression" dxfId="1000" priority="39">
      <formula>IF($O7&lt;$Q7,TRUE)</formula>
    </cfRule>
  </conditionalFormatting>
  <conditionalFormatting sqref="S7:S19">
    <cfRule type="expression" dxfId="999" priority="42">
      <formula>IF($S7&gt;$U7,TRUE)</formula>
    </cfRule>
  </conditionalFormatting>
  <conditionalFormatting sqref="U7:U19">
    <cfRule type="expression" dxfId="998" priority="43">
      <formula>IF($S7&lt;$U7,TRUE)</formula>
    </cfRule>
  </conditionalFormatting>
  <conditionalFormatting sqref="G7:G19">
    <cfRule type="expression" dxfId="997" priority="30">
      <formula>IF($G7&gt;$I7,TRUE)</formula>
    </cfRule>
  </conditionalFormatting>
  <conditionalFormatting sqref="I7:I19">
    <cfRule type="expression" dxfId="996" priority="31">
      <formula>IF($G7&lt;$I7,TRUE)</formula>
    </cfRule>
  </conditionalFormatting>
  <conditionalFormatting sqref="F7:F19">
    <cfRule type="containsText" dxfId="995" priority="17" operator="containsText" text="vaba voor">
      <formula>NOT(ISERROR(SEARCH("vaba voor",F7)))</formula>
    </cfRule>
  </conditionalFormatting>
  <conditionalFormatting sqref="N7:N19">
    <cfRule type="containsText" dxfId="994" priority="15" operator="containsText" text="vaba voor">
      <formula>NOT(ISERROR(SEARCH("vaba voor",N7)))</formula>
    </cfRule>
  </conditionalFormatting>
  <conditionalFormatting sqref="R7:R19">
    <cfRule type="containsText" dxfId="993" priority="18" operator="containsText" text="vaba voor">
      <formula>NOT(ISERROR(SEARCH("vaba voor",R7)))</formula>
    </cfRule>
  </conditionalFormatting>
  <conditionalFormatting sqref="V7:V19">
    <cfRule type="containsText" dxfId="992" priority="14" operator="containsText" text="vaba voor">
      <formula>NOT(ISERROR(SEARCH("vaba voor",V7)))</formula>
    </cfRule>
  </conditionalFormatting>
  <conditionalFormatting sqref="J7:J19">
    <cfRule type="containsText" dxfId="991" priority="16" operator="containsText" text="vaba voor">
      <formula>NOT(ISERROR(SEARCH("vaba voor",J7)))</formula>
    </cfRule>
  </conditionalFormatting>
  <conditionalFormatting sqref="C7:F19">
    <cfRule type="expression" dxfId="990" priority="22">
      <formula>IF(AND(ISNUMBER($C7),$C7=$E7),TRUE)</formula>
    </cfRule>
    <cfRule type="expression" dxfId="989" priority="24">
      <formula>IF($C7&gt;$E7,TRUE)</formula>
    </cfRule>
    <cfRule type="expression" dxfId="988" priority="25">
      <formula>IF($C7&lt;$E7,TRUE)</formula>
    </cfRule>
  </conditionalFormatting>
  <conditionalFormatting sqref="G7:J19">
    <cfRule type="expression" dxfId="987" priority="23">
      <formula>IF(AND(ISNUMBER($G7),$G7=$I7),TRUE)</formula>
    </cfRule>
    <cfRule type="expression" dxfId="986" priority="28">
      <formula>IF($G7&gt;$I7,TRUE)</formula>
    </cfRule>
    <cfRule type="expression" dxfId="985" priority="29">
      <formula>IF($G7&lt;$I7,TRUE)</formula>
    </cfRule>
  </conditionalFormatting>
  <conditionalFormatting sqref="K7:N19">
    <cfRule type="expression" dxfId="984" priority="21">
      <formula>IF(AND(ISNUMBER($K7),$K7=$M7),TRUE)</formula>
    </cfRule>
    <cfRule type="expression" dxfId="983" priority="32">
      <formula>IF($K7&gt;$M7,TRUE)</formula>
    </cfRule>
    <cfRule type="expression" dxfId="982" priority="33">
      <formula>IF($K7&lt;$M7,TRUE)</formula>
    </cfRule>
  </conditionalFormatting>
  <conditionalFormatting sqref="O7:R19">
    <cfRule type="expression" dxfId="981" priority="20">
      <formula>IF(AND(ISNUMBER($O7),$O7=$Q7),TRUE)</formula>
    </cfRule>
    <cfRule type="expression" dxfId="980" priority="36">
      <formula>IF($O7&gt;$Q7,TRUE)</formula>
    </cfRule>
    <cfRule type="expression" dxfId="979" priority="37">
      <formula>IF($O7&lt;$Q7,TRUE)</formula>
    </cfRule>
  </conditionalFormatting>
  <conditionalFormatting sqref="S7:V19">
    <cfRule type="expression" dxfId="978" priority="19">
      <formula>IF(AND(ISNUMBER($S7),$S7=$U7),TRUE)</formula>
    </cfRule>
    <cfRule type="expression" dxfId="977" priority="40">
      <formula>IF($S7&gt;$U7,TRUE)</formula>
    </cfRule>
    <cfRule type="expression" dxfId="976" priority="41">
      <formula>IF($S7&lt;$U7,TRUE)</formula>
    </cfRule>
  </conditionalFormatting>
  <conditionalFormatting sqref="E7:E19 I7:I19 M7:M19 Q7:Q19 U7:U19">
    <cfRule type="expression" dxfId="975" priority="13">
      <formula>AND(E7=0,C7=13)</formula>
    </cfRule>
  </conditionalFormatting>
  <conditionalFormatting sqref="A7:A19">
    <cfRule type="duplicateValues" dxfId="974" priority="44"/>
  </conditionalFormatting>
  <conditionalFormatting sqref="AJ7:AJ19">
    <cfRule type="expression" dxfId="973" priority="5">
      <formula>AND(AI7="",FIND(",",AJ7))</formula>
    </cfRule>
    <cfRule type="expression" dxfId="972" priority="7">
      <formula>AND(AI7="",COUNTIF(AJ7,"*,*")=0)</formula>
    </cfRule>
  </conditionalFormatting>
  <conditionalFormatting sqref="AH7:AH19">
    <cfRule type="expression" dxfId="971" priority="8">
      <formula>AND(AG7="",FIND(",",AH7))</formula>
    </cfRule>
    <cfRule type="expression" dxfId="970" priority="9">
      <formula>AND(AG7="",COUNTIF(AH7,"*,*")=0)</formula>
    </cfRule>
  </conditionalFormatting>
  <conditionalFormatting sqref="AL7:AL19">
    <cfRule type="expression" dxfId="969" priority="10">
      <formula>AND(AK7="",FIND(",",AL7))</formula>
    </cfRule>
    <cfRule type="expression" dxfId="968" priority="11">
      <formula>AND(AK7="",COUNTIF(AL7,"*,*")=0)</formula>
    </cfRule>
  </conditionalFormatting>
  <conditionalFormatting sqref="AF7:AF19">
    <cfRule type="expression" dxfId="967" priority="6">
      <formula>AND(AE7="",COUNTIF(AF7,"*,*")=0)</formula>
    </cfRule>
  </conditionalFormatting>
  <conditionalFormatting sqref="AN7:AN19">
    <cfRule type="expression" dxfId="966" priority="2">
      <formula>AND(AM7="",COUNTIF(AN7,"*,*")=0)</formula>
    </cfRule>
    <cfRule type="expression" dxfId="965" priority="4">
      <formula>AND(AM7="",FIND(",",AN7))</formula>
    </cfRule>
  </conditionalFormatting>
  <conditionalFormatting sqref="AP7:AP19">
    <cfRule type="expression" dxfId="964" priority="1">
      <formula>AND(AO7="",COUNTIF(AP7,"*,*")=0)</formula>
    </cfRule>
    <cfRule type="expression" dxfId="963" priority="3">
      <formula>AND(AO7="",FIND(",",AP7))</formula>
    </cfRule>
  </conditionalFormatting>
  <pageMargins left="0.78740157480314965" right="0.39370078740157483" top="0.78740157480314965" bottom="0.39370078740157483" header="0.78740157480314965" footer="0"/>
  <pageSetup paperSize="9" fitToHeight="0" orientation="landscape" verticalDpi="1200" r:id="rId1"/>
  <headerFooter>
    <oddHeader>&amp;R&amp;P. leht &amp;N&amp; -st</oddHeader>
  </headerFooter>
  <rowBreaks count="1" manualBreakCount="1">
    <brk id="297"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AP312"/>
  <sheetViews>
    <sheetView showGridLines="0" showRowColHeaders="0" workbookViewId="0">
      <pane ySplit="1" topLeftCell="A2" activePane="bottomLeft" state="frozen"/>
      <selection pane="bottomLeft" activeCell="A5" sqref="A5"/>
    </sheetView>
  </sheetViews>
  <sheetFormatPr defaultRowHeight="12.75" x14ac:dyDescent="0.2"/>
  <cols>
    <col min="1" max="1" width="3.28515625" style="1" customWidth="1"/>
    <col min="2" max="2" width="31" style="1" bestFit="1" customWidth="1"/>
    <col min="3" max="3" width="4.7109375" style="1" customWidth="1"/>
    <col min="4" max="4" width="1.140625" style="1" customWidth="1"/>
    <col min="5" max="5" width="2.7109375" style="1" customWidth="1"/>
    <col min="6" max="6" width="9.140625" style="1"/>
    <col min="7" max="7" width="2.7109375" style="1" customWidth="1"/>
    <col min="8" max="8" width="1.140625" style="1" customWidth="1"/>
    <col min="9" max="9" width="2.7109375" style="1" customWidth="1"/>
    <col min="10" max="10" width="9.140625" style="1"/>
    <col min="11" max="11" width="2.7109375" style="1" customWidth="1"/>
    <col min="12" max="12" width="1.140625" style="1" customWidth="1"/>
    <col min="13" max="13" width="2.7109375" style="1" customWidth="1"/>
    <col min="14" max="14" width="9.140625" style="1"/>
    <col min="15" max="15" width="2.7109375" style="1" customWidth="1"/>
    <col min="16" max="16" width="1.140625" style="1" customWidth="1"/>
    <col min="17" max="17" width="2.7109375" style="1" customWidth="1"/>
    <col min="18" max="18" width="9.140625" style="1"/>
    <col min="19" max="19" width="2.7109375" style="1" customWidth="1"/>
    <col min="20" max="20" width="1.140625" style="1" customWidth="1"/>
    <col min="21" max="21" width="2.7109375" style="1" customWidth="1"/>
    <col min="22" max="22" width="9.140625" style="1"/>
    <col min="23" max="23" width="5.7109375" style="1" bestFit="1" customWidth="1"/>
    <col min="24" max="24" width="5.5703125" style="1" hidden="1" customWidth="1"/>
    <col min="25" max="25" width="2.7109375" style="1" customWidth="1"/>
    <col min="26" max="26" width="1.140625" style="1" customWidth="1"/>
    <col min="27" max="27" width="2.7109375" style="1" customWidth="1"/>
    <col min="28" max="28" width="4.7109375" style="1" customWidth="1"/>
    <col min="29" max="29" width="9.140625" style="1" customWidth="1"/>
    <col min="30" max="31" width="9.140625" style="1" hidden="1" customWidth="1"/>
    <col min="32" max="32" width="16.5703125" style="1" hidden="1" customWidth="1"/>
    <col min="33" max="33" width="9.140625" style="1" hidden="1" customWidth="1"/>
    <col min="34" max="34" width="18.7109375" style="1" hidden="1" customWidth="1"/>
    <col min="35" max="35" width="9.140625" style="1" hidden="1" customWidth="1"/>
    <col min="36" max="36" width="20.85546875" style="1" hidden="1" customWidth="1"/>
    <col min="37" max="37" width="9.140625" style="1" hidden="1" customWidth="1"/>
    <col min="38" max="38" width="13.85546875" style="1" hidden="1" customWidth="1"/>
    <col min="39" max="39" width="9.140625" style="1" hidden="1" customWidth="1"/>
    <col min="40" max="40" width="17.28515625" style="1" hidden="1" customWidth="1"/>
    <col min="41" max="41" width="9.140625" style="1" hidden="1" customWidth="1"/>
    <col min="42" max="42" width="13.85546875" style="1" hidden="1" customWidth="1"/>
    <col min="43" max="43" width="9.140625" style="1" customWidth="1"/>
    <col min="44" max="16384" width="9.140625" style="1"/>
  </cols>
  <sheetData>
    <row r="1" spans="1:42" x14ac:dyDescent="0.2">
      <c r="A1" s="400" t="str">
        <f>UPPER((Kalend!E52)&amp;" - "&amp;(Kalend!C52))&amp;" - "&amp;LOWER(Kalend!D52)&amp;" - "&amp;(Kalend!A52)&amp;" kell "&amp;(Kalend!B52)&amp;" - "&amp;(Kalend!F52)</f>
        <v>V12 - VOKA III SISE-KV 12. ETAPP - duo - P, 15.11.2020 kell 11:00 - Voka petangihall</v>
      </c>
      <c r="O1" s="271"/>
      <c r="P1" s="271"/>
      <c r="Q1" s="312"/>
      <c r="R1" s="312"/>
      <c r="S1" s="312"/>
      <c r="T1" s="70"/>
      <c r="U1" s="70"/>
      <c r="V1" s="70"/>
      <c r="W1" s="271"/>
      <c r="X1" s="532"/>
      <c r="Y1" s="271"/>
      <c r="Z1" s="271"/>
      <c r="AD1" s="152" t="s">
        <v>94</v>
      </c>
      <c r="AE1" s="402"/>
      <c r="AF1" s="402"/>
      <c r="AG1" s="402"/>
      <c r="AH1" s="402"/>
      <c r="AI1" s="402"/>
      <c r="AJ1" s="402"/>
      <c r="AK1" s="402"/>
      <c r="AL1" s="402"/>
      <c r="AM1" s="402"/>
      <c r="AN1" s="402"/>
      <c r="AO1" s="532"/>
      <c r="AP1" s="532"/>
    </row>
    <row r="2" spans="1:42" hidden="1" x14ac:dyDescent="0.2">
      <c r="F2" s="271"/>
      <c r="L2" s="409"/>
      <c r="M2" s="409"/>
      <c r="N2" s="409"/>
      <c r="O2" s="271"/>
      <c r="P2" s="271"/>
      <c r="Q2" s="271"/>
      <c r="R2" s="271"/>
      <c r="S2" s="271"/>
      <c r="T2" s="409"/>
      <c r="U2" s="409"/>
      <c r="V2" s="410" t="s">
        <v>253</v>
      </c>
      <c r="W2" s="411">
        <v>1</v>
      </c>
      <c r="Y2" s="412" t="s">
        <v>254</v>
      </c>
      <c r="Z2" s="271"/>
      <c r="AD2" s="271"/>
      <c r="AE2" s="271"/>
      <c r="AF2" s="271"/>
      <c r="AG2" s="271"/>
      <c r="AH2" s="271"/>
      <c r="AI2" s="271"/>
      <c r="AJ2" s="412"/>
      <c r="AK2" s="271"/>
      <c r="AL2" s="271"/>
      <c r="AM2" s="271"/>
      <c r="AN2" s="271"/>
    </row>
    <row r="3" spans="1:42" hidden="1" x14ac:dyDescent="0.2">
      <c r="F3" s="271"/>
      <c r="L3" s="409"/>
      <c r="M3" s="409"/>
      <c r="N3" s="409"/>
      <c r="O3" s="271"/>
      <c r="P3" s="271"/>
      <c r="Q3" s="271"/>
      <c r="R3" s="271"/>
      <c r="S3" s="271"/>
      <c r="T3" s="409"/>
      <c r="U3" s="409"/>
      <c r="V3" s="413" t="s">
        <v>255</v>
      </c>
      <c r="W3" s="411">
        <v>0.5</v>
      </c>
      <c r="Y3" s="412" t="s">
        <v>254</v>
      </c>
      <c r="Z3" s="271"/>
      <c r="AE3" s="271"/>
      <c r="AG3" s="271"/>
      <c r="AH3" s="271"/>
      <c r="AI3" s="271"/>
      <c r="AJ3" s="271"/>
      <c r="AK3" s="271"/>
      <c r="AL3" s="271"/>
      <c r="AM3" s="271"/>
      <c r="AN3" s="271"/>
    </row>
    <row r="4" spans="1:42" hidden="1" x14ac:dyDescent="0.2">
      <c r="F4" s="271"/>
      <c r="L4" s="271"/>
      <c r="M4" s="271"/>
      <c r="N4" s="271"/>
      <c r="O4" s="271"/>
      <c r="P4" s="271"/>
      <c r="Q4" s="271"/>
      <c r="R4" s="271"/>
      <c r="S4" s="271"/>
      <c r="T4" s="271"/>
      <c r="U4" s="271"/>
      <c r="V4" s="414" t="s">
        <v>256</v>
      </c>
      <c r="W4" s="411">
        <v>0</v>
      </c>
      <c r="Y4" s="412" t="s">
        <v>254</v>
      </c>
      <c r="Z4" s="271"/>
      <c r="AA4" s="271"/>
      <c r="AE4" s="409"/>
      <c r="AF4" s="409"/>
      <c r="AG4" s="409"/>
      <c r="AH4" s="376"/>
      <c r="AI4" s="409"/>
      <c r="AJ4" s="409"/>
      <c r="AK4" s="409"/>
      <c r="AL4" s="409"/>
      <c r="AM4" s="409"/>
      <c r="AN4" s="409"/>
      <c r="AO4" s="409"/>
      <c r="AP4" s="409"/>
    </row>
    <row r="5" spans="1:42" x14ac:dyDescent="0.2">
      <c r="F5" s="271"/>
      <c r="L5" s="271"/>
      <c r="M5" s="271"/>
      <c r="N5" s="271"/>
      <c r="O5" s="271"/>
      <c r="P5" s="271"/>
      <c r="Q5" s="271"/>
      <c r="R5" s="271"/>
      <c r="S5" s="271"/>
      <c r="T5" s="271"/>
      <c r="U5" s="271"/>
      <c r="V5" s="271"/>
      <c r="W5" s="271"/>
      <c r="X5" s="271"/>
      <c r="Y5" s="271"/>
      <c r="Z5" s="271"/>
      <c r="AA5" s="967" t="s">
        <v>476</v>
      </c>
      <c r="AC5" s="271"/>
      <c r="AD5" s="964" t="s">
        <v>214</v>
      </c>
    </row>
    <row r="6" spans="1:42" x14ac:dyDescent="0.2">
      <c r="A6" s="607" t="s">
        <v>10</v>
      </c>
      <c r="B6" s="607" t="s">
        <v>79</v>
      </c>
      <c r="C6" s="608" t="s">
        <v>171</v>
      </c>
      <c r="D6" s="609"/>
      <c r="E6" s="609"/>
      <c r="F6" s="610"/>
      <c r="G6" s="608" t="s">
        <v>174</v>
      </c>
      <c r="H6" s="609"/>
      <c r="I6" s="609"/>
      <c r="J6" s="610"/>
      <c r="K6" s="608" t="s">
        <v>177</v>
      </c>
      <c r="L6" s="609"/>
      <c r="M6" s="609"/>
      <c r="N6" s="610"/>
      <c r="O6" s="608" t="s">
        <v>180</v>
      </c>
      <c r="P6" s="609"/>
      <c r="Q6" s="609"/>
      <c r="R6" s="610"/>
      <c r="S6" s="608" t="s">
        <v>182</v>
      </c>
      <c r="T6" s="609"/>
      <c r="U6" s="609"/>
      <c r="V6" s="610"/>
      <c r="W6" s="607" t="s">
        <v>102</v>
      </c>
      <c r="X6" s="611" t="s">
        <v>361</v>
      </c>
      <c r="Y6" s="611"/>
      <c r="Z6" s="612" t="s">
        <v>362</v>
      </c>
      <c r="AA6" s="613"/>
      <c r="AB6" s="271"/>
      <c r="AC6" s="271"/>
      <c r="AD6" s="272" t="s">
        <v>370</v>
      </c>
      <c r="AE6" s="273"/>
      <c r="AF6" s="273" t="s">
        <v>249</v>
      </c>
      <c r="AG6" s="273"/>
      <c r="AH6" s="403" t="s">
        <v>250</v>
      </c>
      <c r="AI6" s="273"/>
      <c r="AJ6" s="273" t="s">
        <v>251</v>
      </c>
      <c r="AK6" s="274"/>
      <c r="AL6" s="273" t="s">
        <v>252</v>
      </c>
      <c r="AM6" s="274"/>
      <c r="AN6" s="274" t="s">
        <v>472</v>
      </c>
      <c r="AO6" s="945"/>
      <c r="AP6" s="274" t="s">
        <v>473</v>
      </c>
    </row>
    <row r="7" spans="1:42" x14ac:dyDescent="0.2">
      <c r="A7" s="614">
        <v>1</v>
      </c>
      <c r="B7" s="459" t="s">
        <v>622</v>
      </c>
      <c r="C7" s="615"/>
      <c r="D7" s="616" t="s">
        <v>363</v>
      </c>
      <c r="E7" s="617"/>
      <c r="F7" s="618"/>
      <c r="G7" s="615"/>
      <c r="H7" s="616" t="s">
        <v>363</v>
      </c>
      <c r="I7" s="617"/>
      <c r="J7" s="618"/>
      <c r="K7" s="615"/>
      <c r="L7" s="616" t="s">
        <v>363</v>
      </c>
      <c r="M7" s="617"/>
      <c r="N7" s="618"/>
      <c r="O7" s="615"/>
      <c r="P7" s="616" t="s">
        <v>363</v>
      </c>
      <c r="Q7" s="617"/>
      <c r="R7" s="618"/>
      <c r="S7" s="615"/>
      <c r="T7" s="616" t="s">
        <v>363</v>
      </c>
      <c r="U7" s="617"/>
      <c r="V7" s="618"/>
      <c r="W7" s="619">
        <f t="shared" ref="W7:W19" si="0">IF(C7&gt;E7,W$2,IF(C7&lt;E7,W$4,IF(ISNUMBER(C7),W$3,0)))+IF(G7&gt;I7,W$2,IF(G7&lt;I7,W$4,IF(ISNUMBER(G7),W$3,0)))+IF(K7&gt;M7,W$2,IF(K7&lt;M7,W$4,IF(ISNUMBER(K7),W$3,0)))+IF(O7&gt;Q7,W$2,IF(O7&lt;Q7,W$4,IF(ISNUMBER(O7),W$3,0)))+IF(S7&gt;U7,W$2,IF(S7&lt;U7,W$4,IF(ISNUMBER(S7),W$3,0)))</f>
        <v>0</v>
      </c>
      <c r="X7" s="620"/>
      <c r="Y7" s="615">
        <f>C7+G7+K7+O7+S7</f>
        <v>0</v>
      </c>
      <c r="Z7" s="616" t="s">
        <v>363</v>
      </c>
      <c r="AA7" s="621">
        <f>E7+I7+M7+Q7+U7</f>
        <v>0</v>
      </c>
      <c r="AB7" s="622">
        <f>Y7-AA7</f>
        <v>0</v>
      </c>
      <c r="AD7" s="405">
        <f>SUM(AE7:AP7)</f>
        <v>80</v>
      </c>
      <c r="AE7" s="406">
        <f>IFERROR(INDEX(V!$R:$R,MATCH(AF7,V!$L:$L,0)),"")</f>
        <v>20</v>
      </c>
      <c r="AF7" s="407" t="str">
        <f>IFERROR(LEFT($B7,(FIND(",",$B7,1)-1)),"")</f>
        <v>Oliver Ojasalu</v>
      </c>
      <c r="AG7" s="406">
        <f>IFERROR(INDEX(V!$R:$R,MATCH(AH7,V!$L:$L,0)),"")</f>
        <v>60</v>
      </c>
      <c r="AH7" s="407" t="str">
        <f>IFERROR(MID($B7,FIND(", ",$B7)+2,256),"")</f>
        <v>Tõnis Neiland</v>
      </c>
      <c r="AI7" s="406" t="str">
        <f>IFERROR(INDEX(V!$R:$R,MATCH(AJ7,V!$L:$L,0)),"")</f>
        <v/>
      </c>
      <c r="AJ7" s="407" t="str">
        <f>IFERROR(MID($B7,FIND("^",SUBSTITUTE($B7,", ","^",1))+2,FIND("^",SUBSTITUTE($B7,", ","^",2))-FIND("^",SUBSTITUTE($B7,", ","^",1))-2),"")</f>
        <v/>
      </c>
      <c r="AK7" s="406" t="str">
        <f>IFERROR(INDEX(V!$R:$R,MATCH(AL7,V!$L:$L,0)),"")</f>
        <v/>
      </c>
      <c r="AL7" s="407" t="str">
        <f>IFERROR(MID($B7,FIND(", ",$B7,FIND(", ",$B7,FIND(", ",$B7))+1)+2,30000),"")</f>
        <v/>
      </c>
      <c r="AM7" s="406" t="str">
        <f>IFERROR(INDEX(V!$R:$R,MATCH(AN7,V!$L:$L,0)),"")</f>
        <v/>
      </c>
      <c r="AN7" s="407" t="str">
        <f>IFERROR(MID($B7,FIND(", ",$B7,FIND(", ",$B7)+1)+2,FIND(", ",$B7,FIND(", ",$B7,FIND(", ",$B7)+1)+1)-FIND(", ",$B7,FIND(", ",$B7)+1)-2),"")</f>
        <v/>
      </c>
      <c r="AO7" s="406" t="str">
        <f>IFERROR(INDEX(V!$R:$R,MATCH(AP7,V!$L:$L,0)),"")</f>
        <v/>
      </c>
      <c r="AP7" s="407" t="str">
        <f>IFERROR(MID($B7,FIND(", ",$B7,FIND(", ",$B7,FIND(", ",$B7)+1)+1)+2,30000),"")</f>
        <v/>
      </c>
    </row>
    <row r="8" spans="1:42" x14ac:dyDescent="0.2">
      <c r="A8" s="614">
        <v>2</v>
      </c>
      <c r="B8" s="459" t="s">
        <v>278</v>
      </c>
      <c r="C8" s="615"/>
      <c r="D8" s="616" t="s">
        <v>363</v>
      </c>
      <c r="E8" s="617"/>
      <c r="F8" s="618"/>
      <c r="G8" s="615"/>
      <c r="H8" s="616" t="s">
        <v>363</v>
      </c>
      <c r="I8" s="617"/>
      <c r="J8" s="618"/>
      <c r="K8" s="615"/>
      <c r="L8" s="616" t="s">
        <v>363</v>
      </c>
      <c r="M8" s="617"/>
      <c r="N8" s="618"/>
      <c r="O8" s="615"/>
      <c r="P8" s="616" t="s">
        <v>363</v>
      </c>
      <c r="Q8" s="617"/>
      <c r="R8" s="618"/>
      <c r="S8" s="615"/>
      <c r="T8" s="616" t="s">
        <v>363</v>
      </c>
      <c r="U8" s="617"/>
      <c r="V8" s="618"/>
      <c r="W8" s="619">
        <f t="shared" si="0"/>
        <v>0</v>
      </c>
      <c r="X8" s="620"/>
      <c r="Y8" s="615">
        <f t="shared" ref="Y8:Y19" si="1">C8+G8+K8+O8+S8</f>
        <v>0</v>
      </c>
      <c r="Z8" s="616" t="s">
        <v>363</v>
      </c>
      <c r="AA8" s="621">
        <f t="shared" ref="AA8:AA19" si="2">E8+I8+M8+Q8+U8</f>
        <v>0</v>
      </c>
      <c r="AB8" s="622">
        <f t="shared" ref="AB8:AB19" si="3">Y8-AA8</f>
        <v>0</v>
      </c>
      <c r="AC8" s="404"/>
      <c r="AD8" s="405">
        <f t="shared" ref="AD8:AD11" si="4">SUM(AE8:AL8)</f>
        <v>365</v>
      </c>
      <c r="AE8" s="406">
        <f>IFERROR(INDEX(V!$R:$R,MATCH(AF8,V!$L:$L,0)),"")</f>
        <v>187</v>
      </c>
      <c r="AF8" s="407" t="str">
        <f t="shared" ref="AF8:AF19" si="5">IFERROR(LEFT($B8,(FIND(",",$B8,1)-1)),"")</f>
        <v>Kenneth Muusikus</v>
      </c>
      <c r="AG8" s="406">
        <f>IFERROR(INDEX(V!$R:$R,MATCH(AH8,V!$L:$L,0)),"")</f>
        <v>178</v>
      </c>
      <c r="AH8" s="407" t="str">
        <f t="shared" ref="AH8:AH19" si="6">IFERROR(MID($B8,FIND(", ",$B8)+2,256),"")</f>
        <v>Mait Metsla</v>
      </c>
      <c r="AI8" s="406" t="str">
        <f>IFERROR(INDEX(V!$R:$R,MATCH(AJ8,V!$L:$L,0)),"")</f>
        <v/>
      </c>
      <c r="AJ8" s="407" t="str">
        <f t="shared" ref="AJ8:AJ19" si="7">IFERROR(MID($B8,FIND("^",SUBSTITUTE($B8,", ","^",1))+2,FIND("^",SUBSTITUTE($B8,", ","^",2))-FIND("^",SUBSTITUTE($B8,", ","^",1))-2),"")</f>
        <v/>
      </c>
      <c r="AK8" s="406" t="str">
        <f>IFERROR(INDEX(V!$R:$R,MATCH(AL8,V!$L:$L,0)),"")</f>
        <v/>
      </c>
      <c r="AL8" s="407" t="str">
        <f t="shared" ref="AL8:AL19" si="8">IFERROR(MID($B8,FIND(", ",$B8,FIND(", ",$B8,FIND(", ",$B8))+1)+2,30000),"")</f>
        <v/>
      </c>
      <c r="AM8" s="406" t="str">
        <f>IFERROR(INDEX(V!$R:$R,MATCH(AN8,V!$L:$L,0)),"")</f>
        <v/>
      </c>
      <c r="AN8" s="407" t="str">
        <f t="shared" ref="AN8:AN19" si="9">IFERROR(MID($B8,FIND(", ",$B8,FIND(", ",$B8)+1)+2,FIND(", ",$B8,FIND(", ",$B8,FIND(", ",$B8)+1)+1)-FIND(", ",$B8,FIND(", ",$B8)+1)-2),"")</f>
        <v/>
      </c>
      <c r="AO8" s="406" t="str">
        <f>IFERROR(INDEX(V!$R:$R,MATCH(AP8,V!$L:$L,0)),"")</f>
        <v/>
      </c>
      <c r="AP8" s="407" t="str">
        <f t="shared" ref="AP8:AP19" si="10">IFERROR(MID($B8,FIND(", ",$B8,FIND(", ",$B8,FIND(", ",$B8)+1)+1)+2,30000),"")</f>
        <v/>
      </c>
    </row>
    <row r="9" spans="1:42" x14ac:dyDescent="0.2">
      <c r="A9" s="614">
        <v>3</v>
      </c>
      <c r="B9" s="479" t="s">
        <v>276</v>
      </c>
      <c r="C9" s="615"/>
      <c r="D9" s="616" t="s">
        <v>363</v>
      </c>
      <c r="E9" s="617"/>
      <c r="F9" s="618"/>
      <c r="G9" s="615"/>
      <c r="H9" s="616" t="s">
        <v>363</v>
      </c>
      <c r="I9" s="617"/>
      <c r="J9" s="618"/>
      <c r="K9" s="615"/>
      <c r="L9" s="616" t="s">
        <v>363</v>
      </c>
      <c r="M9" s="617"/>
      <c r="N9" s="618"/>
      <c r="O9" s="615"/>
      <c r="P9" s="616" t="s">
        <v>363</v>
      </c>
      <c r="Q9" s="617"/>
      <c r="R9" s="618"/>
      <c r="S9" s="615"/>
      <c r="T9" s="616" t="s">
        <v>363</v>
      </c>
      <c r="U9" s="617"/>
      <c r="V9" s="618"/>
      <c r="W9" s="619">
        <f t="shared" si="0"/>
        <v>0</v>
      </c>
      <c r="X9" s="620"/>
      <c r="Y9" s="615">
        <f t="shared" si="1"/>
        <v>0</v>
      </c>
      <c r="Z9" s="616" t="s">
        <v>363</v>
      </c>
      <c r="AA9" s="621">
        <f t="shared" si="2"/>
        <v>0</v>
      </c>
      <c r="AB9" s="622">
        <f t="shared" si="3"/>
        <v>0</v>
      </c>
      <c r="AC9" s="404"/>
      <c r="AD9" s="405">
        <f t="shared" si="4"/>
        <v>356</v>
      </c>
      <c r="AE9" s="406">
        <f>IFERROR(INDEX(V!$R:$R,MATCH(AF9,V!$L:$L,0)),"")</f>
        <v>178</v>
      </c>
      <c r="AF9" s="407" t="str">
        <f t="shared" si="5"/>
        <v>Jaan Sepp</v>
      </c>
      <c r="AG9" s="406">
        <f>IFERROR(INDEX(V!$R:$R,MATCH(AH9,V!$L:$L,0)),"")</f>
        <v>178</v>
      </c>
      <c r="AH9" s="407" t="str">
        <f t="shared" si="6"/>
        <v>Oskar Sepp</v>
      </c>
      <c r="AI9" s="406" t="str">
        <f>IFERROR(INDEX(V!$R:$R,MATCH(AJ9,V!$L:$L,0)),"")</f>
        <v/>
      </c>
      <c r="AJ9" s="407" t="str">
        <f t="shared" si="7"/>
        <v/>
      </c>
      <c r="AK9" s="406" t="str">
        <f>IFERROR(INDEX(V!$R:$R,MATCH(AL9,V!$L:$L,0)),"")</f>
        <v/>
      </c>
      <c r="AL9" s="407" t="str">
        <f t="shared" si="8"/>
        <v/>
      </c>
      <c r="AM9" s="406" t="str">
        <f>IFERROR(INDEX(V!$R:$R,MATCH(AN9,V!$L:$L,0)),"")</f>
        <v/>
      </c>
      <c r="AN9" s="407" t="str">
        <f t="shared" si="9"/>
        <v/>
      </c>
      <c r="AO9" s="406" t="str">
        <f>IFERROR(INDEX(V!$R:$R,MATCH(AP9,V!$L:$L,0)),"")</f>
        <v/>
      </c>
      <c r="AP9" s="407" t="str">
        <f t="shared" si="10"/>
        <v/>
      </c>
    </row>
    <row r="10" spans="1:42" x14ac:dyDescent="0.2">
      <c r="A10" s="614">
        <v>4</v>
      </c>
      <c r="B10" s="479" t="s">
        <v>623</v>
      </c>
      <c r="C10" s="615"/>
      <c r="D10" s="616" t="s">
        <v>363</v>
      </c>
      <c r="E10" s="617"/>
      <c r="F10" s="618"/>
      <c r="G10" s="615"/>
      <c r="H10" s="616" t="s">
        <v>363</v>
      </c>
      <c r="I10" s="617"/>
      <c r="J10" s="618"/>
      <c r="K10" s="615"/>
      <c r="L10" s="616" t="s">
        <v>363</v>
      </c>
      <c r="M10" s="617"/>
      <c r="N10" s="618"/>
      <c r="O10" s="615"/>
      <c r="P10" s="616" t="s">
        <v>363</v>
      </c>
      <c r="Q10" s="617"/>
      <c r="R10" s="618"/>
      <c r="S10" s="615"/>
      <c r="T10" s="616" t="s">
        <v>363</v>
      </c>
      <c r="U10" s="617"/>
      <c r="V10" s="618"/>
      <c r="W10" s="619">
        <f t="shared" si="0"/>
        <v>0</v>
      </c>
      <c r="X10" s="620"/>
      <c r="Y10" s="615">
        <f t="shared" si="1"/>
        <v>0</v>
      </c>
      <c r="Z10" s="616" t="s">
        <v>363</v>
      </c>
      <c r="AA10" s="621">
        <f t="shared" si="2"/>
        <v>0</v>
      </c>
      <c r="AB10" s="622">
        <f t="shared" si="3"/>
        <v>0</v>
      </c>
      <c r="AC10" s="404"/>
      <c r="AD10" s="405">
        <f t="shared" si="4"/>
        <v>185</v>
      </c>
      <c r="AE10" s="406">
        <f>IFERROR(INDEX(V!$R:$R,MATCH(AF10,V!$L:$L,0)),"")</f>
        <v>17</v>
      </c>
      <c r="AF10" s="407" t="str">
        <f t="shared" si="5"/>
        <v>Kristo Viljaste</v>
      </c>
      <c r="AG10" s="406">
        <f>IFERROR(INDEX(V!$R:$R,MATCH(AH10,V!$L:$L,0)),"")</f>
        <v>168</v>
      </c>
      <c r="AH10" s="407" t="str">
        <f t="shared" si="6"/>
        <v>Matti Vinni</v>
      </c>
      <c r="AI10" s="406" t="str">
        <f>IFERROR(INDEX(V!$R:$R,MATCH(AJ10,V!$L:$L,0)),"")</f>
        <v/>
      </c>
      <c r="AJ10" s="407" t="str">
        <f t="shared" si="7"/>
        <v/>
      </c>
      <c r="AK10" s="406" t="str">
        <f>IFERROR(INDEX(V!$R:$R,MATCH(AL10,V!$L:$L,0)),"")</f>
        <v/>
      </c>
      <c r="AL10" s="407" t="str">
        <f t="shared" si="8"/>
        <v/>
      </c>
      <c r="AM10" s="406" t="str">
        <f>IFERROR(INDEX(V!$R:$R,MATCH(AN10,V!$L:$L,0)),"")</f>
        <v/>
      </c>
      <c r="AN10" s="407" t="str">
        <f t="shared" si="9"/>
        <v/>
      </c>
      <c r="AO10" s="406" t="str">
        <f>IFERROR(INDEX(V!$R:$R,MATCH(AP10,V!$L:$L,0)),"")</f>
        <v/>
      </c>
      <c r="AP10" s="407" t="str">
        <f t="shared" si="10"/>
        <v/>
      </c>
    </row>
    <row r="11" spans="1:42" x14ac:dyDescent="0.2">
      <c r="A11" s="614">
        <v>5</v>
      </c>
      <c r="B11" s="459" t="s">
        <v>624</v>
      </c>
      <c r="C11" s="615"/>
      <c r="D11" s="616" t="s">
        <v>363</v>
      </c>
      <c r="E11" s="617"/>
      <c r="F11" s="618"/>
      <c r="G11" s="615"/>
      <c r="H11" s="616" t="s">
        <v>363</v>
      </c>
      <c r="I11" s="617"/>
      <c r="J11" s="618"/>
      <c r="K11" s="615"/>
      <c r="L11" s="616" t="s">
        <v>363</v>
      </c>
      <c r="M11" s="617"/>
      <c r="N11" s="618"/>
      <c r="O11" s="615"/>
      <c r="P11" s="616" t="s">
        <v>363</v>
      </c>
      <c r="Q11" s="617"/>
      <c r="R11" s="618"/>
      <c r="S11" s="615"/>
      <c r="T11" s="616" t="s">
        <v>363</v>
      </c>
      <c r="U11" s="617"/>
      <c r="V11" s="618"/>
      <c r="W11" s="619">
        <f t="shared" si="0"/>
        <v>0</v>
      </c>
      <c r="X11" s="620"/>
      <c r="Y11" s="615">
        <f t="shared" si="1"/>
        <v>0</v>
      </c>
      <c r="Z11" s="616" t="s">
        <v>363</v>
      </c>
      <c r="AA11" s="621">
        <f t="shared" si="2"/>
        <v>0</v>
      </c>
      <c r="AB11" s="622">
        <f t="shared" si="3"/>
        <v>0</v>
      </c>
      <c r="AC11" s="404"/>
      <c r="AD11" s="405">
        <f t="shared" si="4"/>
        <v>217</v>
      </c>
      <c r="AE11" s="406">
        <f>IFERROR(INDEX(V!$R:$R,MATCH(AF11,V!$L:$L,0)),"")</f>
        <v>164</v>
      </c>
      <c r="AF11" s="407" t="str">
        <f t="shared" si="5"/>
        <v>Kaspar Mänd</v>
      </c>
      <c r="AG11" s="406">
        <f>IFERROR(INDEX(V!$R:$R,MATCH(AH11,V!$L:$L,0)),"")</f>
        <v>53</v>
      </c>
      <c r="AH11" s="407" t="str">
        <f t="shared" si="6"/>
        <v>Marta Bernat</v>
      </c>
      <c r="AI11" s="406" t="str">
        <f>IFERROR(INDEX(V!$R:$R,MATCH(AJ11,V!$L:$L,0)),"")</f>
        <v/>
      </c>
      <c r="AJ11" s="407" t="str">
        <f t="shared" si="7"/>
        <v/>
      </c>
      <c r="AK11" s="406" t="str">
        <f>IFERROR(INDEX(V!$R:$R,MATCH(AL11,V!$L:$L,0)),"")</f>
        <v/>
      </c>
      <c r="AL11" s="407" t="str">
        <f t="shared" si="8"/>
        <v/>
      </c>
      <c r="AM11" s="406" t="str">
        <f>IFERROR(INDEX(V!$R:$R,MATCH(AN11,V!$L:$L,0)),"")</f>
        <v/>
      </c>
      <c r="AN11" s="407" t="str">
        <f t="shared" si="9"/>
        <v/>
      </c>
      <c r="AO11" s="406" t="str">
        <f>IFERROR(INDEX(V!$R:$R,MATCH(AP11,V!$L:$L,0)),"")</f>
        <v/>
      </c>
      <c r="AP11" s="407" t="str">
        <f t="shared" si="10"/>
        <v/>
      </c>
    </row>
    <row r="12" spans="1:42" x14ac:dyDescent="0.2">
      <c r="A12" s="614">
        <v>6</v>
      </c>
      <c r="B12" s="479" t="s">
        <v>487</v>
      </c>
      <c r="C12" s="615"/>
      <c r="D12" s="616" t="s">
        <v>363</v>
      </c>
      <c r="E12" s="617"/>
      <c r="F12" s="618"/>
      <c r="G12" s="615"/>
      <c r="H12" s="616" t="s">
        <v>363</v>
      </c>
      <c r="I12" s="617"/>
      <c r="J12" s="618"/>
      <c r="K12" s="615"/>
      <c r="L12" s="616" t="s">
        <v>363</v>
      </c>
      <c r="M12" s="617"/>
      <c r="N12" s="618"/>
      <c r="O12" s="615"/>
      <c r="P12" s="616" t="s">
        <v>363</v>
      </c>
      <c r="Q12" s="617"/>
      <c r="R12" s="618"/>
      <c r="S12" s="615"/>
      <c r="T12" s="616" t="s">
        <v>363</v>
      </c>
      <c r="U12" s="617"/>
      <c r="V12" s="618"/>
      <c r="W12" s="619">
        <f t="shared" si="0"/>
        <v>0</v>
      </c>
      <c r="X12" s="620"/>
      <c r="Y12" s="615">
        <f t="shared" si="1"/>
        <v>0</v>
      </c>
      <c r="Z12" s="616" t="s">
        <v>363</v>
      </c>
      <c r="AA12" s="621">
        <f t="shared" si="2"/>
        <v>0</v>
      </c>
      <c r="AB12" s="622">
        <f t="shared" si="3"/>
        <v>0</v>
      </c>
      <c r="AC12" s="404"/>
      <c r="AD12" s="405">
        <f t="shared" ref="AD12:AD19" si="11">SUM(AE12:AL12)</f>
        <v>228</v>
      </c>
      <c r="AE12" s="406">
        <f>IFERROR(INDEX(V!$R:$R,MATCH(AF12,V!$L:$L,0)),"")</f>
        <v>90</v>
      </c>
      <c r="AF12" s="407" t="str">
        <f t="shared" si="5"/>
        <v>Henri Mitt</v>
      </c>
      <c r="AG12" s="406">
        <f>IFERROR(INDEX(V!$R:$R,MATCH(AH12,V!$L:$L,0)),"")</f>
        <v>138</v>
      </c>
      <c r="AH12" s="407" t="str">
        <f t="shared" si="6"/>
        <v>Urmas Randlaine</v>
      </c>
      <c r="AI12" s="406" t="str">
        <f>IFERROR(INDEX(V!$R:$R,MATCH(AJ12,V!$L:$L,0)),"")</f>
        <v/>
      </c>
      <c r="AJ12" s="407" t="str">
        <f t="shared" si="7"/>
        <v/>
      </c>
      <c r="AK12" s="406" t="str">
        <f>IFERROR(INDEX(V!$R:$R,MATCH(AL12,V!$L:$L,0)),"")</f>
        <v/>
      </c>
      <c r="AL12" s="407" t="str">
        <f t="shared" si="8"/>
        <v/>
      </c>
      <c r="AM12" s="406" t="str">
        <f>IFERROR(INDEX(V!$R:$R,MATCH(AN12,V!$L:$L,0)),"")</f>
        <v/>
      </c>
      <c r="AN12" s="407" t="str">
        <f t="shared" si="9"/>
        <v/>
      </c>
      <c r="AO12" s="406" t="str">
        <f>IFERROR(INDEX(V!$R:$R,MATCH(AP12,V!$L:$L,0)),"")</f>
        <v/>
      </c>
      <c r="AP12" s="407" t="str">
        <f t="shared" si="10"/>
        <v/>
      </c>
    </row>
    <row r="13" spans="1:42" x14ac:dyDescent="0.2">
      <c r="A13" s="614">
        <v>7</v>
      </c>
      <c r="B13" s="623" t="s">
        <v>309</v>
      </c>
      <c r="C13" s="615"/>
      <c r="D13" s="616" t="s">
        <v>363</v>
      </c>
      <c r="E13" s="617"/>
      <c r="F13" s="618"/>
      <c r="G13" s="615"/>
      <c r="H13" s="616" t="s">
        <v>363</v>
      </c>
      <c r="I13" s="617"/>
      <c r="J13" s="618"/>
      <c r="K13" s="615"/>
      <c r="L13" s="616" t="s">
        <v>363</v>
      </c>
      <c r="M13" s="617"/>
      <c r="N13" s="618"/>
      <c r="O13" s="615"/>
      <c r="P13" s="616" t="s">
        <v>363</v>
      </c>
      <c r="Q13" s="617"/>
      <c r="R13" s="618"/>
      <c r="S13" s="615"/>
      <c r="T13" s="616" t="s">
        <v>363</v>
      </c>
      <c r="U13" s="617"/>
      <c r="V13" s="618"/>
      <c r="W13" s="619">
        <f t="shared" si="0"/>
        <v>0</v>
      </c>
      <c r="X13" s="620"/>
      <c r="Y13" s="615">
        <f t="shared" si="1"/>
        <v>0</v>
      </c>
      <c r="Z13" s="616" t="s">
        <v>363</v>
      </c>
      <c r="AA13" s="621">
        <f t="shared" si="2"/>
        <v>0</v>
      </c>
      <c r="AB13" s="622">
        <f t="shared" si="3"/>
        <v>0</v>
      </c>
      <c r="AC13" s="404"/>
      <c r="AD13" s="405">
        <f t="shared" si="11"/>
        <v>224</v>
      </c>
      <c r="AE13" s="406">
        <f>IFERROR(INDEX(V!$R:$R,MATCH(AF13,V!$L:$L,0)),"")</f>
        <v>112</v>
      </c>
      <c r="AF13" s="407" t="str">
        <f t="shared" si="5"/>
        <v>Ljudmila Varendi</v>
      </c>
      <c r="AG13" s="406">
        <f>IFERROR(INDEX(V!$R:$R,MATCH(AH13,V!$L:$L,0)),"")</f>
        <v>112</v>
      </c>
      <c r="AH13" s="407" t="str">
        <f t="shared" si="6"/>
        <v>Viktor Švarõgin</v>
      </c>
      <c r="AI13" s="406" t="str">
        <f>IFERROR(INDEX(V!$R:$R,MATCH(AJ13,V!$L:$L,0)),"")</f>
        <v/>
      </c>
      <c r="AJ13" s="407" t="str">
        <f t="shared" si="7"/>
        <v/>
      </c>
      <c r="AK13" s="406" t="str">
        <f>IFERROR(INDEX(V!$R:$R,MATCH(AL13,V!$L:$L,0)),"")</f>
        <v/>
      </c>
      <c r="AL13" s="407" t="str">
        <f t="shared" si="8"/>
        <v/>
      </c>
      <c r="AM13" s="406" t="str">
        <f>IFERROR(INDEX(V!$R:$R,MATCH(AN13,V!$L:$L,0)),"")</f>
        <v/>
      </c>
      <c r="AN13" s="407" t="str">
        <f t="shared" si="9"/>
        <v/>
      </c>
      <c r="AO13" s="406" t="str">
        <f>IFERROR(INDEX(V!$R:$R,MATCH(AP13,V!$L:$L,0)),"")</f>
        <v/>
      </c>
      <c r="AP13" s="407" t="str">
        <f t="shared" si="10"/>
        <v/>
      </c>
    </row>
    <row r="14" spans="1:42" x14ac:dyDescent="0.2">
      <c r="A14" s="614">
        <v>8</v>
      </c>
      <c r="B14" s="623" t="s">
        <v>307</v>
      </c>
      <c r="C14" s="615"/>
      <c r="D14" s="616" t="s">
        <v>363</v>
      </c>
      <c r="E14" s="617"/>
      <c r="F14" s="618"/>
      <c r="G14" s="615"/>
      <c r="H14" s="616" t="s">
        <v>363</v>
      </c>
      <c r="I14" s="617"/>
      <c r="J14" s="618"/>
      <c r="K14" s="615"/>
      <c r="L14" s="616" t="s">
        <v>363</v>
      </c>
      <c r="M14" s="617"/>
      <c r="N14" s="618"/>
      <c r="O14" s="615"/>
      <c r="P14" s="616" t="s">
        <v>363</v>
      </c>
      <c r="Q14" s="617"/>
      <c r="R14" s="618"/>
      <c r="S14" s="615"/>
      <c r="T14" s="616" t="s">
        <v>363</v>
      </c>
      <c r="U14" s="617"/>
      <c r="V14" s="618"/>
      <c r="W14" s="619">
        <f t="shared" si="0"/>
        <v>0</v>
      </c>
      <c r="X14" s="620"/>
      <c r="Y14" s="615">
        <f t="shared" si="1"/>
        <v>0</v>
      </c>
      <c r="Z14" s="616" t="s">
        <v>363</v>
      </c>
      <c r="AA14" s="621">
        <f t="shared" si="2"/>
        <v>0</v>
      </c>
      <c r="AB14" s="622">
        <f t="shared" si="3"/>
        <v>0</v>
      </c>
      <c r="AC14" s="404"/>
      <c r="AD14" s="405">
        <f t="shared" si="11"/>
        <v>190</v>
      </c>
      <c r="AE14" s="406">
        <f>IFERROR(INDEX(V!$R:$R,MATCH(AF14,V!$L:$L,0)),"")</f>
        <v>126</v>
      </c>
      <c r="AF14" s="407" t="str">
        <f t="shared" si="5"/>
        <v>Oleg Rõndenkov</v>
      </c>
      <c r="AG14" s="406">
        <f>IFERROR(INDEX(V!$R:$R,MATCH(AH14,V!$L:$L,0)),"")</f>
        <v>64</v>
      </c>
      <c r="AH14" s="407" t="str">
        <f t="shared" si="6"/>
        <v>Toomas Tedrekull</v>
      </c>
      <c r="AI14" s="406" t="str">
        <f>IFERROR(INDEX(V!$R:$R,MATCH(AJ14,V!$L:$L,0)),"")</f>
        <v/>
      </c>
      <c r="AJ14" s="407" t="str">
        <f t="shared" si="7"/>
        <v/>
      </c>
      <c r="AK14" s="406" t="str">
        <f>IFERROR(INDEX(V!$R:$R,MATCH(AL14,V!$L:$L,0)),"")</f>
        <v/>
      </c>
      <c r="AL14" s="407" t="str">
        <f t="shared" si="8"/>
        <v/>
      </c>
      <c r="AM14" s="406" t="str">
        <f>IFERROR(INDEX(V!$R:$R,MATCH(AN14,V!$L:$L,0)),"")</f>
        <v/>
      </c>
      <c r="AN14" s="407" t="str">
        <f t="shared" si="9"/>
        <v/>
      </c>
      <c r="AO14" s="406" t="str">
        <f>IFERROR(INDEX(V!$R:$R,MATCH(AP14,V!$L:$L,0)),"")</f>
        <v/>
      </c>
      <c r="AP14" s="407" t="str">
        <f t="shared" si="10"/>
        <v/>
      </c>
    </row>
    <row r="15" spans="1:42" x14ac:dyDescent="0.2">
      <c r="A15" s="614">
        <v>9</v>
      </c>
      <c r="B15" s="623" t="s">
        <v>625</v>
      </c>
      <c r="C15" s="615"/>
      <c r="D15" s="616" t="s">
        <v>363</v>
      </c>
      <c r="E15" s="617"/>
      <c r="F15" s="618"/>
      <c r="G15" s="615"/>
      <c r="H15" s="616" t="s">
        <v>363</v>
      </c>
      <c r="I15" s="617"/>
      <c r="J15" s="618"/>
      <c r="K15" s="615"/>
      <c r="L15" s="616" t="s">
        <v>363</v>
      </c>
      <c r="M15" s="617"/>
      <c r="N15" s="618"/>
      <c r="O15" s="615"/>
      <c r="P15" s="616" t="s">
        <v>363</v>
      </c>
      <c r="Q15" s="617"/>
      <c r="R15" s="618"/>
      <c r="S15" s="615"/>
      <c r="T15" s="616" t="s">
        <v>363</v>
      </c>
      <c r="U15" s="617"/>
      <c r="V15" s="618"/>
      <c r="W15" s="619">
        <f t="shared" si="0"/>
        <v>0</v>
      </c>
      <c r="X15" s="620"/>
      <c r="Y15" s="615">
        <f t="shared" si="1"/>
        <v>0</v>
      </c>
      <c r="Z15" s="616" t="s">
        <v>363</v>
      </c>
      <c r="AA15" s="621">
        <f t="shared" si="2"/>
        <v>0</v>
      </c>
      <c r="AB15" s="622">
        <f t="shared" si="3"/>
        <v>0</v>
      </c>
      <c r="AC15" s="404"/>
      <c r="AD15" s="405">
        <f t="shared" si="11"/>
        <v>245</v>
      </c>
      <c r="AE15" s="406">
        <f>IFERROR(INDEX(V!$R:$R,MATCH(AF15,V!$L:$L,0)),"")</f>
        <v>145</v>
      </c>
      <c r="AF15" s="407" t="str">
        <f t="shared" si="5"/>
        <v>Aigi Orro</v>
      </c>
      <c r="AG15" s="406">
        <f>IFERROR(INDEX(V!$R:$R,MATCH(AH15,V!$L:$L,0)),"")</f>
        <v>100</v>
      </c>
      <c r="AH15" s="407" t="str">
        <f t="shared" si="6"/>
        <v>Elmo Lageda</v>
      </c>
      <c r="AI15" s="406" t="str">
        <f>IFERROR(INDEX(V!$R:$R,MATCH(AJ15,V!$L:$L,0)),"")</f>
        <v/>
      </c>
      <c r="AJ15" s="407" t="str">
        <f t="shared" si="7"/>
        <v/>
      </c>
      <c r="AK15" s="406" t="str">
        <f>IFERROR(INDEX(V!$R:$R,MATCH(AL15,V!$L:$L,0)),"")</f>
        <v/>
      </c>
      <c r="AL15" s="407" t="str">
        <f t="shared" si="8"/>
        <v/>
      </c>
      <c r="AM15" s="406" t="str">
        <f>IFERROR(INDEX(V!$R:$R,MATCH(AN15,V!$L:$L,0)),"")</f>
        <v/>
      </c>
      <c r="AN15" s="407" t="str">
        <f t="shared" si="9"/>
        <v/>
      </c>
      <c r="AO15" s="406" t="str">
        <f>IFERROR(INDEX(V!$R:$R,MATCH(AP15,V!$L:$L,0)),"")</f>
        <v/>
      </c>
      <c r="AP15" s="407" t="str">
        <f t="shared" si="10"/>
        <v/>
      </c>
    </row>
    <row r="16" spans="1:42" x14ac:dyDescent="0.2">
      <c r="A16" s="614">
        <v>10</v>
      </c>
      <c r="B16" s="479" t="s">
        <v>274</v>
      </c>
      <c r="C16" s="615"/>
      <c r="D16" s="616" t="s">
        <v>363</v>
      </c>
      <c r="E16" s="617"/>
      <c r="F16" s="618"/>
      <c r="G16" s="615"/>
      <c r="H16" s="616" t="s">
        <v>363</v>
      </c>
      <c r="I16" s="617"/>
      <c r="J16" s="618"/>
      <c r="K16" s="615"/>
      <c r="L16" s="616" t="s">
        <v>363</v>
      </c>
      <c r="M16" s="617"/>
      <c r="N16" s="618"/>
      <c r="O16" s="615"/>
      <c r="P16" s="616" t="s">
        <v>363</v>
      </c>
      <c r="Q16" s="617"/>
      <c r="R16" s="618"/>
      <c r="S16" s="615"/>
      <c r="T16" s="616" t="s">
        <v>363</v>
      </c>
      <c r="U16" s="617"/>
      <c r="V16" s="618"/>
      <c r="W16" s="619">
        <f t="shared" si="0"/>
        <v>0</v>
      </c>
      <c r="X16" s="620"/>
      <c r="Y16" s="615">
        <f t="shared" si="1"/>
        <v>0</v>
      </c>
      <c r="Z16" s="616" t="s">
        <v>363</v>
      </c>
      <c r="AA16" s="621">
        <f t="shared" si="2"/>
        <v>0</v>
      </c>
      <c r="AB16" s="622">
        <f t="shared" si="3"/>
        <v>0</v>
      </c>
      <c r="AC16" s="404"/>
      <c r="AD16" s="405">
        <f t="shared" si="11"/>
        <v>276</v>
      </c>
      <c r="AE16" s="406">
        <f>IFERROR(INDEX(V!$R:$R,MATCH(AF16,V!$L:$L,0)),"")</f>
        <v>150.5</v>
      </c>
      <c r="AF16" s="407" t="str">
        <f t="shared" si="5"/>
        <v>Karla Purgats</v>
      </c>
      <c r="AG16" s="406">
        <f>IFERROR(INDEX(V!$R:$R,MATCH(AH16,V!$L:$L,0)),"")</f>
        <v>125.5</v>
      </c>
      <c r="AH16" s="407" t="str">
        <f t="shared" si="6"/>
        <v>Lemmit Toomra</v>
      </c>
      <c r="AI16" s="406" t="str">
        <f>IFERROR(INDEX(V!$R:$R,MATCH(AJ16,V!$L:$L,0)),"")</f>
        <v/>
      </c>
      <c r="AJ16" s="407" t="str">
        <f t="shared" si="7"/>
        <v/>
      </c>
      <c r="AK16" s="406" t="str">
        <f>IFERROR(INDEX(V!$R:$R,MATCH(AL16,V!$L:$L,0)),"")</f>
        <v/>
      </c>
      <c r="AL16" s="407" t="str">
        <f t="shared" si="8"/>
        <v/>
      </c>
      <c r="AM16" s="406" t="str">
        <f>IFERROR(INDEX(V!$R:$R,MATCH(AN16,V!$L:$L,0)),"")</f>
        <v/>
      </c>
      <c r="AN16" s="407" t="str">
        <f t="shared" si="9"/>
        <v/>
      </c>
      <c r="AO16" s="406" t="str">
        <f>IFERROR(INDEX(V!$R:$R,MATCH(AP16,V!$L:$L,0)),"")</f>
        <v/>
      </c>
      <c r="AP16" s="407" t="str">
        <f t="shared" si="10"/>
        <v/>
      </c>
    </row>
    <row r="17" spans="1:42" x14ac:dyDescent="0.2">
      <c r="A17" s="614">
        <v>11</v>
      </c>
      <c r="B17" s="459" t="s">
        <v>626</v>
      </c>
      <c r="C17" s="615"/>
      <c r="D17" s="616" t="s">
        <v>363</v>
      </c>
      <c r="E17" s="617"/>
      <c r="F17" s="618"/>
      <c r="G17" s="615"/>
      <c r="H17" s="616" t="s">
        <v>363</v>
      </c>
      <c r="I17" s="617"/>
      <c r="J17" s="618"/>
      <c r="K17" s="615"/>
      <c r="L17" s="616" t="s">
        <v>363</v>
      </c>
      <c r="M17" s="617"/>
      <c r="N17" s="618"/>
      <c r="O17" s="615"/>
      <c r="P17" s="616" t="s">
        <v>363</v>
      </c>
      <c r="Q17" s="617"/>
      <c r="R17" s="618"/>
      <c r="S17" s="615"/>
      <c r="T17" s="616" t="s">
        <v>363</v>
      </c>
      <c r="U17" s="617"/>
      <c r="V17" s="618"/>
      <c r="W17" s="619">
        <f t="shared" si="0"/>
        <v>0</v>
      </c>
      <c r="X17" s="620"/>
      <c r="Y17" s="615">
        <f t="shared" si="1"/>
        <v>0</v>
      </c>
      <c r="Z17" s="616" t="s">
        <v>363</v>
      </c>
      <c r="AA17" s="621">
        <f t="shared" si="2"/>
        <v>0</v>
      </c>
      <c r="AB17" s="622">
        <f t="shared" si="3"/>
        <v>0</v>
      </c>
      <c r="AC17" s="404"/>
      <c r="AD17" s="405">
        <f t="shared" si="11"/>
        <v>186</v>
      </c>
      <c r="AE17" s="406">
        <f>IFERROR(INDEX(V!$R:$R,MATCH(AF17,V!$L:$L,0)),"")</f>
        <v>118</v>
      </c>
      <c r="AF17" s="407" t="str">
        <f t="shared" si="5"/>
        <v>Enn Tokman</v>
      </c>
      <c r="AG17" s="406">
        <f>IFERROR(INDEX(V!$R:$R,MATCH(AH17,V!$L:$L,0)),"")</f>
        <v>68</v>
      </c>
      <c r="AH17" s="407" t="str">
        <f t="shared" si="6"/>
        <v>Peep Peenema</v>
      </c>
      <c r="AI17" s="406" t="str">
        <f>IFERROR(INDEX(V!$R:$R,MATCH(AJ17,V!$L:$L,0)),"")</f>
        <v/>
      </c>
      <c r="AJ17" s="407" t="str">
        <f t="shared" si="7"/>
        <v/>
      </c>
      <c r="AK17" s="406" t="str">
        <f>IFERROR(INDEX(V!$R:$R,MATCH(AL17,V!$L:$L,0)),"")</f>
        <v/>
      </c>
      <c r="AL17" s="407" t="str">
        <f t="shared" si="8"/>
        <v/>
      </c>
      <c r="AM17" s="406" t="str">
        <f>IFERROR(INDEX(V!$R:$R,MATCH(AN17,V!$L:$L,0)),"")</f>
        <v/>
      </c>
      <c r="AN17" s="407" t="str">
        <f t="shared" si="9"/>
        <v/>
      </c>
      <c r="AO17" s="406" t="str">
        <f>IFERROR(INDEX(V!$R:$R,MATCH(AP17,V!$L:$L,0)),"")</f>
        <v/>
      </c>
      <c r="AP17" s="407" t="str">
        <f t="shared" si="10"/>
        <v/>
      </c>
    </row>
    <row r="18" spans="1:42" x14ac:dyDescent="0.2">
      <c r="A18" s="614">
        <v>12</v>
      </c>
      <c r="B18" s="459" t="s">
        <v>619</v>
      </c>
      <c r="C18" s="615"/>
      <c r="D18" s="616" t="s">
        <v>363</v>
      </c>
      <c r="E18" s="617"/>
      <c r="F18" s="618"/>
      <c r="G18" s="615"/>
      <c r="H18" s="616" t="s">
        <v>363</v>
      </c>
      <c r="I18" s="617"/>
      <c r="J18" s="618"/>
      <c r="K18" s="615"/>
      <c r="L18" s="616" t="s">
        <v>363</v>
      </c>
      <c r="M18" s="617"/>
      <c r="N18" s="618"/>
      <c r="O18" s="615"/>
      <c r="P18" s="616" t="s">
        <v>363</v>
      </c>
      <c r="Q18" s="617"/>
      <c r="R18" s="618"/>
      <c r="S18" s="615"/>
      <c r="T18" s="616" t="s">
        <v>363</v>
      </c>
      <c r="U18" s="617"/>
      <c r="V18" s="618"/>
      <c r="W18" s="619">
        <f t="shared" si="0"/>
        <v>0</v>
      </c>
      <c r="X18" s="620"/>
      <c r="Y18" s="615">
        <f t="shared" si="1"/>
        <v>0</v>
      </c>
      <c r="Z18" s="616" t="s">
        <v>363</v>
      </c>
      <c r="AA18" s="621">
        <f t="shared" si="2"/>
        <v>0</v>
      </c>
      <c r="AB18" s="622">
        <f t="shared" si="3"/>
        <v>0</v>
      </c>
      <c r="AC18" s="404"/>
      <c r="AD18" s="405">
        <f t="shared" si="11"/>
        <v>152</v>
      </c>
      <c r="AE18" s="406">
        <f>IFERROR(INDEX(V!$R:$R,MATCH(AF18,V!$L:$L,0)),"")</f>
        <v>122</v>
      </c>
      <c r="AF18" s="407" t="str">
        <f t="shared" si="5"/>
        <v>Johannes Neiland</v>
      </c>
      <c r="AG18" s="406">
        <f>IFERROR(INDEX(V!$R:$R,MATCH(AH18,V!$L:$L,0)),"")</f>
        <v>30</v>
      </c>
      <c r="AH18" s="407" t="str">
        <f t="shared" si="6"/>
        <v>Sander Rose</v>
      </c>
      <c r="AI18" s="406" t="str">
        <f>IFERROR(INDEX(V!$R:$R,MATCH(AJ18,V!$L:$L,0)),"")</f>
        <v/>
      </c>
      <c r="AJ18" s="407" t="str">
        <f t="shared" si="7"/>
        <v/>
      </c>
      <c r="AK18" s="406" t="str">
        <f>IFERROR(INDEX(V!$R:$R,MATCH(AL18,V!$L:$L,0)),"")</f>
        <v/>
      </c>
      <c r="AL18" s="407" t="str">
        <f t="shared" si="8"/>
        <v/>
      </c>
      <c r="AM18" s="406" t="str">
        <f>IFERROR(INDEX(V!$R:$R,MATCH(AN18,V!$L:$L,0)),"")</f>
        <v/>
      </c>
      <c r="AN18" s="407" t="str">
        <f t="shared" si="9"/>
        <v/>
      </c>
      <c r="AO18" s="406" t="str">
        <f>IFERROR(INDEX(V!$R:$R,MATCH(AP18,V!$L:$L,0)),"")</f>
        <v/>
      </c>
      <c r="AP18" s="407" t="str">
        <f t="shared" si="10"/>
        <v/>
      </c>
    </row>
    <row r="19" spans="1:42" x14ac:dyDescent="0.2">
      <c r="A19" s="614">
        <v>13</v>
      </c>
      <c r="B19" s="623" t="s">
        <v>627</v>
      </c>
      <c r="C19" s="615"/>
      <c r="D19" s="616" t="s">
        <v>363</v>
      </c>
      <c r="E19" s="617"/>
      <c r="F19" s="618"/>
      <c r="G19" s="615"/>
      <c r="H19" s="616" t="s">
        <v>363</v>
      </c>
      <c r="I19" s="617"/>
      <c r="J19" s="618"/>
      <c r="K19" s="615"/>
      <c r="L19" s="616" t="s">
        <v>363</v>
      </c>
      <c r="M19" s="617"/>
      <c r="N19" s="618"/>
      <c r="O19" s="615"/>
      <c r="P19" s="616" t="s">
        <v>363</v>
      </c>
      <c r="Q19" s="617"/>
      <c r="R19" s="618"/>
      <c r="S19" s="615"/>
      <c r="T19" s="616" t="s">
        <v>363</v>
      </c>
      <c r="U19" s="617"/>
      <c r="V19" s="618"/>
      <c r="W19" s="619">
        <f t="shared" si="0"/>
        <v>0</v>
      </c>
      <c r="X19" s="620"/>
      <c r="Y19" s="615">
        <f t="shared" si="1"/>
        <v>0</v>
      </c>
      <c r="Z19" s="616" t="s">
        <v>363</v>
      </c>
      <c r="AA19" s="621">
        <f t="shared" si="2"/>
        <v>0</v>
      </c>
      <c r="AB19" s="622">
        <f t="shared" si="3"/>
        <v>0</v>
      </c>
      <c r="AC19" s="404"/>
      <c r="AD19" s="405">
        <f t="shared" si="11"/>
        <v>110</v>
      </c>
      <c r="AE19" s="406">
        <f>IFERROR(INDEX(V!$R:$R,MATCH(AF19,V!$L:$L,0)),"")</f>
        <v>81</v>
      </c>
      <c r="AF19" s="407" t="str">
        <f t="shared" si="5"/>
        <v>Jaan Saar</v>
      </c>
      <c r="AG19" s="406">
        <f>IFERROR(INDEX(V!$R:$R,MATCH(AH19,V!$L:$L,0)),"")</f>
        <v>29</v>
      </c>
      <c r="AH19" s="407" t="str">
        <f t="shared" si="6"/>
        <v>Olav Türk</v>
      </c>
      <c r="AI19" s="406" t="str">
        <f>IFERROR(INDEX(V!$R:$R,MATCH(AJ19,V!$L:$L,0)),"")</f>
        <v/>
      </c>
      <c r="AJ19" s="407" t="str">
        <f t="shared" si="7"/>
        <v/>
      </c>
      <c r="AK19" s="406" t="str">
        <f>IFERROR(INDEX(V!$R:$R,MATCH(AL19,V!$L:$L,0)),"")</f>
        <v/>
      </c>
      <c r="AL19" s="407" t="str">
        <f t="shared" si="8"/>
        <v/>
      </c>
      <c r="AM19" s="406" t="str">
        <f>IFERROR(INDEX(V!$R:$R,MATCH(AN19,V!$L:$L,0)),"")</f>
        <v/>
      </c>
      <c r="AN19" s="407" t="str">
        <f t="shared" si="9"/>
        <v/>
      </c>
      <c r="AO19" s="406" t="str">
        <f>IFERROR(INDEX(V!$R:$R,MATCH(AP19,V!$L:$L,0)),"")</f>
        <v/>
      </c>
      <c r="AP19" s="407" t="str">
        <f t="shared" si="10"/>
        <v/>
      </c>
    </row>
    <row r="20" spans="1:42" hidden="1" x14ac:dyDescent="0.2"/>
    <row r="21" spans="1:42" hidden="1" x14ac:dyDescent="0.2"/>
    <row r="22" spans="1:42" hidden="1" x14ac:dyDescent="0.2"/>
    <row r="23" spans="1:42" hidden="1" x14ac:dyDescent="0.2"/>
    <row r="24" spans="1:42" hidden="1" x14ac:dyDescent="0.2"/>
    <row r="25" spans="1:42" hidden="1" x14ac:dyDescent="0.2"/>
    <row r="26" spans="1:42" hidden="1" x14ac:dyDescent="0.2"/>
    <row r="27" spans="1:42" hidden="1" x14ac:dyDescent="0.2"/>
    <row r="28" spans="1:42" hidden="1" x14ac:dyDescent="0.2"/>
    <row r="29" spans="1:42" hidden="1" x14ac:dyDescent="0.2"/>
    <row r="30" spans="1:42" hidden="1" x14ac:dyDescent="0.2"/>
    <row r="31" spans="1:42" hidden="1" x14ac:dyDescent="0.2"/>
    <row r="32" spans="1:42"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6" hidden="1" x14ac:dyDescent="0.2"/>
    <row r="290" spans="1:6" hidden="1" x14ac:dyDescent="0.2"/>
    <row r="291" spans="1:6" hidden="1" x14ac:dyDescent="0.2"/>
    <row r="292" spans="1:6" hidden="1" x14ac:dyDescent="0.2"/>
    <row r="293" spans="1:6" hidden="1" x14ac:dyDescent="0.2"/>
    <row r="294" spans="1:6" hidden="1" x14ac:dyDescent="0.2"/>
    <row r="295" spans="1:6" hidden="1" x14ac:dyDescent="0.2"/>
    <row r="296" spans="1:6" hidden="1" x14ac:dyDescent="0.2"/>
    <row r="297" spans="1:6" hidden="1" x14ac:dyDescent="0.2"/>
    <row r="299" spans="1:6" x14ac:dyDescent="0.2">
      <c r="A299" s="271"/>
      <c r="B299" s="271"/>
      <c r="C299" s="401" t="s">
        <v>248</v>
      </c>
      <c r="F299" s="2" t="s">
        <v>102</v>
      </c>
    </row>
    <row r="300" spans="1:6" x14ac:dyDescent="0.2">
      <c r="A300" s="530">
        <v>1</v>
      </c>
      <c r="B300" s="625" t="str">
        <f>IFERROR(INDEX(B$1:B$100,MATCH(A300,A$1:A$100,0)),"")</f>
        <v>Oliver Ojasalu, Tõnis Neiland</v>
      </c>
      <c r="C300" s="499">
        <f>IF(21-A300&gt;0,21-A300,1)</f>
        <v>20</v>
      </c>
      <c r="F300" s="1">
        <v>4</v>
      </c>
    </row>
    <row r="301" spans="1:6" x14ac:dyDescent="0.2">
      <c r="A301" s="530">
        <v>2</v>
      </c>
      <c r="B301" s="625" t="str">
        <f t="shared" ref="B301:B312" si="12">IFERROR(INDEX(B$1:B$100,MATCH(A301,A$1:A$100,0)),"")</f>
        <v>Kenneth Muusikus, Mait Metsla</v>
      </c>
      <c r="C301" s="499">
        <f t="shared" ref="C301:C312" si="13">IF(21-A301&gt;0,21-A301,1)</f>
        <v>19</v>
      </c>
      <c r="F301" s="1">
        <v>4</v>
      </c>
    </row>
    <row r="302" spans="1:6" x14ac:dyDescent="0.2">
      <c r="A302" s="530">
        <v>3</v>
      </c>
      <c r="B302" s="625" t="str">
        <f t="shared" si="12"/>
        <v>Jaan Sepp, Oskar Sepp</v>
      </c>
      <c r="C302" s="499">
        <f t="shared" si="13"/>
        <v>18</v>
      </c>
      <c r="F302" s="1">
        <v>4</v>
      </c>
    </row>
    <row r="303" spans="1:6" x14ac:dyDescent="0.2">
      <c r="A303" s="530">
        <v>4</v>
      </c>
      <c r="B303" s="625" t="str">
        <f t="shared" si="12"/>
        <v>Kristo Viljaste, Matti Vinni</v>
      </c>
      <c r="C303" s="499">
        <f t="shared" si="13"/>
        <v>17</v>
      </c>
      <c r="F303" s="1">
        <v>3</v>
      </c>
    </row>
    <row r="304" spans="1:6" x14ac:dyDescent="0.2">
      <c r="A304" s="530">
        <v>5</v>
      </c>
      <c r="B304" s="625" t="str">
        <f t="shared" si="12"/>
        <v>Kaspar Mänd, Marta Bernat</v>
      </c>
      <c r="C304" s="499">
        <f t="shared" si="13"/>
        <v>16</v>
      </c>
      <c r="F304" s="1">
        <v>3</v>
      </c>
    </row>
    <row r="305" spans="1:6" x14ac:dyDescent="0.2">
      <c r="A305" s="530">
        <v>6</v>
      </c>
      <c r="B305" s="625" t="str">
        <f t="shared" si="12"/>
        <v>Henri Mitt, Urmas Randlaine</v>
      </c>
      <c r="C305" s="499">
        <f t="shared" si="13"/>
        <v>15</v>
      </c>
      <c r="F305" s="1">
        <v>3</v>
      </c>
    </row>
    <row r="306" spans="1:6" x14ac:dyDescent="0.2">
      <c r="A306" s="530">
        <v>7</v>
      </c>
      <c r="B306" s="625" t="str">
        <f t="shared" si="12"/>
        <v>Ljudmila Varendi, Viktor Švarõgin</v>
      </c>
      <c r="C306" s="499">
        <f t="shared" si="13"/>
        <v>14</v>
      </c>
      <c r="F306" s="1">
        <v>3</v>
      </c>
    </row>
    <row r="307" spans="1:6" x14ac:dyDescent="0.2">
      <c r="A307" s="530">
        <v>8</v>
      </c>
      <c r="B307" s="625" t="str">
        <f t="shared" si="12"/>
        <v>Oleg Rõndenkov, Toomas Tedrekull</v>
      </c>
      <c r="C307" s="499">
        <f t="shared" si="13"/>
        <v>13</v>
      </c>
      <c r="F307" s="1">
        <v>2</v>
      </c>
    </row>
    <row r="308" spans="1:6" x14ac:dyDescent="0.2">
      <c r="A308" s="530">
        <v>9</v>
      </c>
      <c r="B308" s="625" t="str">
        <f t="shared" si="12"/>
        <v>Aigi Orro, Elmo Lageda</v>
      </c>
      <c r="C308" s="499">
        <f t="shared" si="13"/>
        <v>12</v>
      </c>
      <c r="F308" s="1">
        <v>2</v>
      </c>
    </row>
    <row r="309" spans="1:6" x14ac:dyDescent="0.2">
      <c r="A309" s="530">
        <v>10</v>
      </c>
      <c r="B309" s="625" t="str">
        <f t="shared" si="12"/>
        <v>Karla Purgats, Lemmit Toomra</v>
      </c>
      <c r="C309" s="499">
        <f t="shared" si="13"/>
        <v>11</v>
      </c>
      <c r="F309" s="1">
        <v>2</v>
      </c>
    </row>
    <row r="310" spans="1:6" x14ac:dyDescent="0.2">
      <c r="A310" s="530">
        <v>11</v>
      </c>
      <c r="B310" s="625" t="str">
        <f t="shared" si="12"/>
        <v>Enn Tokman, Peep Peenema</v>
      </c>
      <c r="C310" s="499">
        <f t="shared" si="13"/>
        <v>10</v>
      </c>
      <c r="F310" s="1">
        <v>2</v>
      </c>
    </row>
    <row r="311" spans="1:6" x14ac:dyDescent="0.2">
      <c r="A311" s="530">
        <v>12</v>
      </c>
      <c r="B311" s="625" t="str">
        <f t="shared" si="12"/>
        <v>Johannes Neiland, Sander Rose</v>
      </c>
      <c r="C311" s="499">
        <f t="shared" si="13"/>
        <v>9</v>
      </c>
      <c r="F311" s="1">
        <v>2</v>
      </c>
    </row>
    <row r="312" spans="1:6" x14ac:dyDescent="0.2">
      <c r="A312" s="530">
        <v>13</v>
      </c>
      <c r="B312" s="625" t="str">
        <f t="shared" si="12"/>
        <v>Jaan Saar, Olav Türk</v>
      </c>
      <c r="C312" s="499">
        <f t="shared" si="13"/>
        <v>8</v>
      </c>
      <c r="F312" s="1">
        <v>1</v>
      </c>
    </row>
  </sheetData>
  <conditionalFormatting sqref="B300:B312">
    <cfRule type="expression" dxfId="962" priority="45">
      <formula>A300=3</formula>
    </cfRule>
    <cfRule type="expression" dxfId="961" priority="46">
      <formula>A300=2</formula>
    </cfRule>
    <cfRule type="expression" dxfId="960" priority="47">
      <formula>A300=1</formula>
    </cfRule>
    <cfRule type="containsBlanks" dxfId="959" priority="48">
      <formula>LEN(TRIM(B300))=0</formula>
    </cfRule>
    <cfRule type="duplicateValues" dxfId="958" priority="49"/>
  </conditionalFormatting>
  <conditionalFormatting sqref="C7:C19 G7:G19 K7:K19 O7:O19 S7:S19">
    <cfRule type="expression" dxfId="957" priority="12">
      <formula>AND(C7=0,E7=13)</formula>
    </cfRule>
  </conditionalFormatting>
  <conditionalFormatting sqref="C7:C19">
    <cfRule type="expression" dxfId="956" priority="26">
      <formula>IF($C7&gt;$E7,TRUE)</formula>
    </cfRule>
  </conditionalFormatting>
  <conditionalFormatting sqref="E7:E19">
    <cfRule type="expression" dxfId="955" priority="27">
      <formula>IF($C7&lt;$E7,TRUE)</formula>
    </cfRule>
  </conditionalFormatting>
  <conditionalFormatting sqref="K7:K19">
    <cfRule type="expression" dxfId="954" priority="34">
      <formula>IF($K7&gt;$M7,TRUE)</formula>
    </cfRule>
  </conditionalFormatting>
  <conditionalFormatting sqref="M7:M19">
    <cfRule type="expression" dxfId="953" priority="35">
      <formula>IF($K7&lt;$M7,TRUE)</formula>
    </cfRule>
  </conditionalFormatting>
  <conditionalFormatting sqref="O7:O19">
    <cfRule type="expression" dxfId="952" priority="38">
      <formula>IF($O7&gt;$Q7,TRUE)</formula>
    </cfRule>
  </conditionalFormatting>
  <conditionalFormatting sqref="Q7:Q19">
    <cfRule type="expression" dxfId="951" priority="39">
      <formula>IF($O7&lt;$Q7,TRUE)</formula>
    </cfRule>
  </conditionalFormatting>
  <conditionalFormatting sqref="S7:S19">
    <cfRule type="expression" dxfId="950" priority="42">
      <formula>IF($S7&gt;$U7,TRUE)</formula>
    </cfRule>
  </conditionalFormatting>
  <conditionalFormatting sqref="U7:U19">
    <cfRule type="expression" dxfId="949" priority="43">
      <formula>IF($S7&lt;$U7,TRUE)</formula>
    </cfRule>
  </conditionalFormatting>
  <conditionalFormatting sqref="G7:G19">
    <cfRule type="expression" dxfId="948" priority="30">
      <formula>IF($G7&gt;$I7,TRUE)</formula>
    </cfRule>
  </conditionalFormatting>
  <conditionalFormatting sqref="I7:I19">
    <cfRule type="expression" dxfId="947" priority="31">
      <formula>IF($G7&lt;$I7,TRUE)</formula>
    </cfRule>
  </conditionalFormatting>
  <conditionalFormatting sqref="F7:F19">
    <cfRule type="containsText" dxfId="946" priority="17" operator="containsText" text="vaba voor">
      <formula>NOT(ISERROR(SEARCH("vaba voor",F7)))</formula>
    </cfRule>
  </conditionalFormatting>
  <conditionalFormatting sqref="N7:N19">
    <cfRule type="containsText" dxfId="945" priority="15" operator="containsText" text="vaba voor">
      <formula>NOT(ISERROR(SEARCH("vaba voor",N7)))</formula>
    </cfRule>
  </conditionalFormatting>
  <conditionalFormatting sqref="R7:R19">
    <cfRule type="containsText" dxfId="944" priority="18" operator="containsText" text="vaba voor">
      <formula>NOT(ISERROR(SEARCH("vaba voor",R7)))</formula>
    </cfRule>
  </conditionalFormatting>
  <conditionalFormatting sqref="V7:V19">
    <cfRule type="containsText" dxfId="943" priority="14" operator="containsText" text="vaba voor">
      <formula>NOT(ISERROR(SEARCH("vaba voor",V7)))</formula>
    </cfRule>
  </conditionalFormatting>
  <conditionalFormatting sqref="J7:J19">
    <cfRule type="containsText" dxfId="942" priority="16" operator="containsText" text="vaba voor">
      <formula>NOT(ISERROR(SEARCH("vaba voor",J7)))</formula>
    </cfRule>
  </conditionalFormatting>
  <conditionalFormatting sqref="C7:F19">
    <cfRule type="expression" dxfId="941" priority="22">
      <formula>IF(AND(ISNUMBER($C7),$C7=$E7),TRUE)</formula>
    </cfRule>
    <cfRule type="expression" dxfId="940" priority="24">
      <formula>IF($C7&gt;$E7,TRUE)</formula>
    </cfRule>
    <cfRule type="expression" dxfId="939" priority="25">
      <formula>IF($C7&lt;$E7,TRUE)</formula>
    </cfRule>
  </conditionalFormatting>
  <conditionalFormatting sqref="G7:J19">
    <cfRule type="expression" dxfId="938" priority="23">
      <formula>IF(AND(ISNUMBER($G7),$G7=$I7),TRUE)</formula>
    </cfRule>
    <cfRule type="expression" dxfId="937" priority="28">
      <formula>IF($G7&gt;$I7,TRUE)</formula>
    </cfRule>
    <cfRule type="expression" dxfId="936" priority="29">
      <formula>IF($G7&lt;$I7,TRUE)</formula>
    </cfRule>
  </conditionalFormatting>
  <conditionalFormatting sqref="K7:N19">
    <cfRule type="expression" dxfId="935" priority="21">
      <formula>IF(AND(ISNUMBER($K7),$K7=$M7),TRUE)</formula>
    </cfRule>
    <cfRule type="expression" dxfId="934" priority="32">
      <formula>IF($K7&gt;$M7,TRUE)</formula>
    </cfRule>
    <cfRule type="expression" dxfId="933" priority="33">
      <formula>IF($K7&lt;$M7,TRUE)</formula>
    </cfRule>
  </conditionalFormatting>
  <conditionalFormatting sqref="O7:R19">
    <cfRule type="expression" dxfId="932" priority="20">
      <formula>IF(AND(ISNUMBER($O7),$O7=$Q7),TRUE)</formula>
    </cfRule>
    <cfRule type="expression" dxfId="931" priority="36">
      <formula>IF($O7&gt;$Q7,TRUE)</formula>
    </cfRule>
    <cfRule type="expression" dxfId="930" priority="37">
      <formula>IF($O7&lt;$Q7,TRUE)</formula>
    </cfRule>
  </conditionalFormatting>
  <conditionalFormatting sqref="S7:V19">
    <cfRule type="expression" dxfId="929" priority="19">
      <formula>IF(AND(ISNUMBER($S7),$S7=$U7),TRUE)</formula>
    </cfRule>
    <cfRule type="expression" dxfId="928" priority="40">
      <formula>IF($S7&gt;$U7,TRUE)</formula>
    </cfRule>
    <cfRule type="expression" dxfId="927" priority="41">
      <formula>IF($S7&lt;$U7,TRUE)</formula>
    </cfRule>
  </conditionalFormatting>
  <conditionalFormatting sqref="E7:E19 I7:I19 M7:M19 Q7:Q19 U7:U19">
    <cfRule type="expression" dxfId="926" priority="13">
      <formula>AND(E7=0,C7=13)</formula>
    </cfRule>
  </conditionalFormatting>
  <conditionalFormatting sqref="A7:A19">
    <cfRule type="duplicateValues" dxfId="925" priority="44"/>
  </conditionalFormatting>
  <conditionalFormatting sqref="AJ7:AJ19">
    <cfRule type="expression" dxfId="924" priority="5">
      <formula>AND(AI7="",FIND(",",AJ7))</formula>
    </cfRule>
    <cfRule type="expression" dxfId="923" priority="7">
      <formula>AND(AI7="",COUNTIF(AJ7,"*,*")=0)</formula>
    </cfRule>
  </conditionalFormatting>
  <conditionalFormatting sqref="AH7:AH19">
    <cfRule type="expression" dxfId="922" priority="8">
      <formula>AND(AG7="",FIND(",",AH7))</formula>
    </cfRule>
    <cfRule type="expression" dxfId="921" priority="9">
      <formula>AND(AG7="",COUNTIF(AH7,"*,*")=0)</formula>
    </cfRule>
  </conditionalFormatting>
  <conditionalFormatting sqref="AL7:AL19">
    <cfRule type="expression" dxfId="920" priority="10">
      <formula>AND(AK7="",FIND(",",AL7))</formula>
    </cfRule>
    <cfRule type="expression" dxfId="919" priority="11">
      <formula>AND(AK7="",COUNTIF(AL7,"*,*")=0)</formula>
    </cfRule>
  </conditionalFormatting>
  <conditionalFormatting sqref="AF7:AF19">
    <cfRule type="expression" dxfId="918" priority="6">
      <formula>AND(AE7="",COUNTIF(AF7,"*,*")=0)</formula>
    </cfRule>
  </conditionalFormatting>
  <conditionalFormatting sqref="AN7:AN19">
    <cfRule type="expression" dxfId="917" priority="2">
      <formula>AND(AM7="",COUNTIF(AN7,"*,*")=0)</formula>
    </cfRule>
    <cfRule type="expression" dxfId="916" priority="4">
      <formula>AND(AM7="",FIND(",",AN7))</formula>
    </cfRule>
  </conditionalFormatting>
  <conditionalFormatting sqref="AP7:AP19">
    <cfRule type="expression" dxfId="915" priority="1">
      <formula>AND(AO7="",COUNTIF(AP7,"*,*")=0)</formula>
    </cfRule>
    <cfRule type="expression" dxfId="914" priority="3">
      <formula>AND(AO7="",FIND(",",AP7))</formula>
    </cfRule>
  </conditionalFormatting>
  <pageMargins left="0.78740157480314965" right="0.39370078740157483" top="0.78740157480314965" bottom="0.39370078740157483" header="0.78740157480314965" footer="0"/>
  <pageSetup paperSize="9" fitToHeight="0" orientation="landscape" verticalDpi="1200" r:id="rId1"/>
  <headerFooter>
    <oddHeader>&amp;R&amp;P. leht &amp;N&amp; -st</oddHeader>
  </headerFooter>
  <rowBreaks count="1" manualBreakCount="1">
    <brk id="297"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AP309"/>
  <sheetViews>
    <sheetView showGridLines="0" showRowColHeaders="0" workbookViewId="0">
      <pane ySplit="1" topLeftCell="A2" activePane="bottomLeft" state="frozen"/>
      <selection pane="bottomLeft" activeCell="A5" sqref="A5"/>
    </sheetView>
  </sheetViews>
  <sheetFormatPr defaultRowHeight="12.75" x14ac:dyDescent="0.2"/>
  <cols>
    <col min="1" max="1" width="3.28515625" style="1" customWidth="1"/>
    <col min="2" max="2" width="31" style="1" customWidth="1"/>
    <col min="3" max="3" width="4.7109375" style="1" customWidth="1"/>
    <col min="4" max="4" width="1.140625" style="1" customWidth="1"/>
    <col min="5" max="5" width="2.7109375" style="1" customWidth="1"/>
    <col min="6" max="6" width="9.140625" style="1"/>
    <col min="7" max="7" width="2.7109375" style="1" customWidth="1"/>
    <col min="8" max="8" width="1.140625" style="1" customWidth="1"/>
    <col min="9" max="9" width="2.7109375" style="1" customWidth="1"/>
    <col min="10" max="10" width="9.140625" style="1"/>
    <col min="11" max="11" width="2.7109375" style="1" customWidth="1"/>
    <col min="12" max="12" width="1.140625" style="1" customWidth="1"/>
    <col min="13" max="13" width="2.7109375" style="1" customWidth="1"/>
    <col min="14" max="14" width="9.140625" style="1"/>
    <col min="15" max="15" width="2.7109375" style="1" customWidth="1"/>
    <col min="16" max="16" width="1.140625" style="1" customWidth="1"/>
    <col min="17" max="17" width="2.7109375" style="1" customWidth="1"/>
    <col min="18" max="18" width="9.140625" style="1"/>
    <col min="19" max="19" width="2.7109375" style="1" customWidth="1"/>
    <col min="20" max="20" width="1.140625" style="1" customWidth="1"/>
    <col min="21" max="21" width="2.7109375" style="1" customWidth="1"/>
    <col min="22" max="22" width="9.140625" style="1"/>
    <col min="23" max="23" width="5.7109375" style="1" bestFit="1" customWidth="1"/>
    <col min="24" max="24" width="5.5703125" style="1" hidden="1" customWidth="1"/>
    <col min="25" max="25" width="2.7109375" style="1" customWidth="1"/>
    <col min="26" max="26" width="1.140625" style="1" customWidth="1"/>
    <col min="27" max="27" width="2.7109375" style="1" customWidth="1"/>
    <col min="28" max="28" width="4.7109375" style="1" customWidth="1"/>
    <col min="29" max="29" width="9.140625" style="1" customWidth="1"/>
    <col min="30" max="31" width="9.140625" style="1" hidden="1" customWidth="1"/>
    <col min="32" max="32" width="16.5703125" style="1" hidden="1" customWidth="1"/>
    <col min="33" max="33" width="9.140625" style="1" hidden="1" customWidth="1"/>
    <col min="34" max="34" width="29.7109375" style="1" hidden="1" customWidth="1"/>
    <col min="35" max="35" width="9.140625" style="1" hidden="1" customWidth="1"/>
    <col min="36" max="36" width="17.28515625" style="1" hidden="1" customWidth="1"/>
    <col min="37" max="37" width="9.140625" style="1" hidden="1" customWidth="1"/>
    <col min="38" max="38" width="14" style="1" hidden="1" customWidth="1"/>
    <col min="39" max="39" width="9.140625" style="1" hidden="1" customWidth="1"/>
    <col min="40" max="40" width="17.28515625" style="1" hidden="1" customWidth="1"/>
    <col min="41" max="41" width="9.140625" style="1" hidden="1" customWidth="1"/>
    <col min="42" max="42" width="13.85546875" style="1" hidden="1" customWidth="1"/>
    <col min="43" max="43" width="9.140625" style="1" customWidth="1"/>
    <col min="44" max="16384" width="9.140625" style="1"/>
  </cols>
  <sheetData>
    <row r="1" spans="1:42" x14ac:dyDescent="0.2">
      <c r="A1" s="400" t="str">
        <f>UPPER((Kalend!E53)&amp;" - "&amp;(Kalend!C53))&amp;" - "&amp;LOWER(Kalend!D53)&amp;" - "&amp;(Kalend!A53)&amp;" kell "&amp;(Kalend!B53)&amp;" - "&amp;(Kalend!F53)</f>
        <v>V13 - VOKA III SISE-KV 13. ETAPP - duo - P, 22.11.2020 kell 11:00 - Voka petangihall</v>
      </c>
      <c r="O1" s="271"/>
      <c r="P1" s="271"/>
      <c r="Q1" s="312"/>
      <c r="R1" s="312"/>
      <c r="S1" s="312"/>
      <c r="T1" s="70"/>
      <c r="U1" s="70"/>
      <c r="V1" s="70"/>
      <c r="W1" s="271"/>
      <c r="X1" s="532"/>
      <c r="Y1" s="271"/>
      <c r="Z1" s="271"/>
      <c r="AD1" s="152" t="s">
        <v>94</v>
      </c>
      <c r="AE1" s="402"/>
      <c r="AF1" s="402"/>
      <c r="AG1" s="402"/>
      <c r="AH1" s="402"/>
      <c r="AI1" s="402"/>
      <c r="AJ1" s="402"/>
      <c r="AK1" s="402"/>
      <c r="AL1" s="402"/>
      <c r="AM1" s="402"/>
      <c r="AN1" s="402"/>
      <c r="AO1" s="532"/>
      <c r="AP1" s="532"/>
    </row>
    <row r="2" spans="1:42" hidden="1" x14ac:dyDescent="0.2">
      <c r="F2" s="271"/>
      <c r="L2" s="409"/>
      <c r="M2" s="409"/>
      <c r="N2" s="409"/>
      <c r="O2" s="271"/>
      <c r="P2" s="271"/>
      <c r="Q2" s="271"/>
      <c r="R2" s="271"/>
      <c r="S2" s="271"/>
      <c r="T2" s="409"/>
      <c r="U2" s="409"/>
      <c r="V2" s="410" t="s">
        <v>253</v>
      </c>
      <c r="W2" s="411">
        <v>1</v>
      </c>
      <c r="Y2" s="412" t="s">
        <v>254</v>
      </c>
      <c r="Z2" s="271"/>
      <c r="AD2" s="271"/>
      <c r="AE2" s="271"/>
      <c r="AF2" s="271"/>
      <c r="AG2" s="271"/>
      <c r="AH2" s="271"/>
      <c r="AI2" s="271"/>
      <c r="AJ2" s="412"/>
      <c r="AK2" s="271"/>
      <c r="AL2" s="271"/>
      <c r="AM2" s="271"/>
      <c r="AN2" s="271"/>
    </row>
    <row r="3" spans="1:42" hidden="1" x14ac:dyDescent="0.2">
      <c r="F3" s="271"/>
      <c r="L3" s="409"/>
      <c r="M3" s="409"/>
      <c r="N3" s="409"/>
      <c r="O3" s="271"/>
      <c r="P3" s="271"/>
      <c r="Q3" s="271"/>
      <c r="R3" s="271"/>
      <c r="S3" s="271"/>
      <c r="T3" s="409"/>
      <c r="U3" s="409"/>
      <c r="V3" s="413" t="s">
        <v>255</v>
      </c>
      <c r="W3" s="411">
        <v>0.5</v>
      </c>
      <c r="Y3" s="412" t="s">
        <v>254</v>
      </c>
      <c r="Z3" s="271"/>
      <c r="AE3" s="271"/>
      <c r="AG3" s="271"/>
      <c r="AH3" s="271"/>
      <c r="AI3" s="271"/>
      <c r="AJ3" s="271"/>
      <c r="AK3" s="271"/>
      <c r="AL3" s="271"/>
      <c r="AM3" s="271"/>
      <c r="AN3" s="271"/>
    </row>
    <row r="4" spans="1:42" hidden="1" x14ac:dyDescent="0.2">
      <c r="F4" s="271"/>
      <c r="L4" s="271"/>
      <c r="M4" s="271"/>
      <c r="N4" s="271"/>
      <c r="O4" s="271"/>
      <c r="P4" s="271"/>
      <c r="Q4" s="271"/>
      <c r="R4" s="271"/>
      <c r="S4" s="271"/>
      <c r="T4" s="271"/>
      <c r="U4" s="271"/>
      <c r="V4" s="414" t="s">
        <v>256</v>
      </c>
      <c r="W4" s="411">
        <v>0</v>
      </c>
      <c r="Y4" s="412" t="s">
        <v>254</v>
      </c>
      <c r="Z4" s="271"/>
      <c r="AA4" s="271"/>
      <c r="AE4" s="409"/>
      <c r="AF4" s="409"/>
      <c r="AG4" s="409"/>
      <c r="AH4" s="376"/>
      <c r="AI4" s="409"/>
      <c r="AJ4" s="409"/>
      <c r="AK4" s="409"/>
      <c r="AL4" s="409"/>
      <c r="AM4" s="409"/>
      <c r="AN4" s="409"/>
      <c r="AO4" s="409"/>
      <c r="AP4" s="409"/>
    </row>
    <row r="5" spans="1:42" x14ac:dyDescent="0.2">
      <c r="F5" s="271"/>
      <c r="L5" s="271"/>
      <c r="M5" s="271"/>
      <c r="N5" s="271"/>
      <c r="O5" s="271"/>
      <c r="P5" s="271"/>
      <c r="Q5" s="271"/>
      <c r="R5" s="271"/>
      <c r="S5" s="271"/>
      <c r="T5" s="271"/>
      <c r="U5" s="271"/>
      <c r="V5" s="271"/>
      <c r="W5" s="271"/>
      <c r="X5" s="271"/>
      <c r="Y5" s="271"/>
      <c r="Z5" s="271"/>
      <c r="AA5" s="967" t="s">
        <v>476</v>
      </c>
      <c r="AC5" s="271"/>
      <c r="AD5" s="964" t="s">
        <v>214</v>
      </c>
    </row>
    <row r="6" spans="1:42" x14ac:dyDescent="0.2">
      <c r="A6" s="607" t="s">
        <v>10</v>
      </c>
      <c r="B6" s="607" t="s">
        <v>79</v>
      </c>
      <c r="C6" s="608" t="s">
        <v>171</v>
      </c>
      <c r="D6" s="609"/>
      <c r="E6" s="609"/>
      <c r="F6" s="610"/>
      <c r="G6" s="608" t="s">
        <v>174</v>
      </c>
      <c r="H6" s="609"/>
      <c r="I6" s="609"/>
      <c r="J6" s="610"/>
      <c r="K6" s="608" t="s">
        <v>177</v>
      </c>
      <c r="L6" s="609"/>
      <c r="M6" s="609"/>
      <c r="N6" s="610"/>
      <c r="O6" s="608" t="s">
        <v>180</v>
      </c>
      <c r="P6" s="609"/>
      <c r="Q6" s="609"/>
      <c r="R6" s="610"/>
      <c r="S6" s="608" t="s">
        <v>182</v>
      </c>
      <c r="T6" s="609"/>
      <c r="U6" s="609"/>
      <c r="V6" s="610"/>
      <c r="W6" s="607" t="s">
        <v>102</v>
      </c>
      <c r="X6" s="611" t="s">
        <v>361</v>
      </c>
      <c r="Y6" s="611"/>
      <c r="Z6" s="612" t="s">
        <v>362</v>
      </c>
      <c r="AA6" s="613"/>
      <c r="AB6" s="271"/>
      <c r="AC6" s="271"/>
      <c r="AD6" s="272" t="s">
        <v>370</v>
      </c>
      <c r="AE6" s="273"/>
      <c r="AF6" s="273" t="s">
        <v>249</v>
      </c>
      <c r="AG6" s="273"/>
      <c r="AH6" s="403" t="s">
        <v>250</v>
      </c>
      <c r="AI6" s="273"/>
      <c r="AJ6" s="273" t="s">
        <v>251</v>
      </c>
      <c r="AK6" s="274"/>
      <c r="AL6" s="273" t="s">
        <v>252</v>
      </c>
      <c r="AM6" s="274"/>
      <c r="AN6" s="274" t="s">
        <v>472</v>
      </c>
      <c r="AO6" s="945"/>
      <c r="AP6" s="274" t="s">
        <v>473</v>
      </c>
    </row>
    <row r="7" spans="1:42" x14ac:dyDescent="0.2">
      <c r="A7" s="614">
        <v>1</v>
      </c>
      <c r="B7" s="459" t="s">
        <v>629</v>
      </c>
      <c r="C7" s="615"/>
      <c r="D7" s="616" t="s">
        <v>363</v>
      </c>
      <c r="E7" s="617"/>
      <c r="F7" s="618"/>
      <c r="G7" s="615"/>
      <c r="H7" s="616" t="s">
        <v>363</v>
      </c>
      <c r="I7" s="617"/>
      <c r="J7" s="618"/>
      <c r="K7" s="615"/>
      <c r="L7" s="616" t="s">
        <v>363</v>
      </c>
      <c r="M7" s="617"/>
      <c r="N7" s="618"/>
      <c r="O7" s="615"/>
      <c r="P7" s="616" t="s">
        <v>363</v>
      </c>
      <c r="Q7" s="617"/>
      <c r="R7" s="618"/>
      <c r="S7" s="615"/>
      <c r="T7" s="616" t="s">
        <v>363</v>
      </c>
      <c r="U7" s="617"/>
      <c r="V7" s="618"/>
      <c r="W7" s="619">
        <f t="shared" ref="W7:W16" si="0">IF(C7&gt;E7,W$2,IF(C7&lt;E7,W$4,IF(ISNUMBER(C7),W$3,0)))+IF(G7&gt;I7,W$2,IF(G7&lt;I7,W$4,IF(ISNUMBER(G7),W$3,0)))+IF(K7&gt;M7,W$2,IF(K7&lt;M7,W$4,IF(ISNUMBER(K7),W$3,0)))+IF(O7&gt;Q7,W$2,IF(O7&lt;Q7,W$4,IF(ISNUMBER(O7),W$3,0)))+IF(S7&gt;U7,W$2,IF(S7&lt;U7,W$4,IF(ISNUMBER(S7),W$3,0)))</f>
        <v>0</v>
      </c>
      <c r="X7" s="620"/>
      <c r="Y7" s="615">
        <f>C7+G7+K7+O7+S7</f>
        <v>0</v>
      </c>
      <c r="Z7" s="616" t="s">
        <v>363</v>
      </c>
      <c r="AA7" s="621">
        <f>E7+I7+M7+Q7+U7</f>
        <v>0</v>
      </c>
      <c r="AB7" s="622">
        <f>Y7-AA7</f>
        <v>0</v>
      </c>
      <c r="AD7" s="405">
        <f>SUM(AE7:AP7)</f>
        <v>332</v>
      </c>
      <c r="AE7" s="406">
        <f>IFERROR(INDEX(V!$R:$R,MATCH(AF7,V!$L:$L,0)),"")</f>
        <v>164</v>
      </c>
      <c r="AF7" s="407" t="str">
        <f>IFERROR(LEFT($B7,(FIND(",",$B7,1)-1)),"")</f>
        <v>Kaspar Mänd</v>
      </c>
      <c r="AG7" s="406">
        <f>IFERROR(INDEX(V!$R:$R,MATCH(AH7,V!$L:$L,0)),"")</f>
        <v>168</v>
      </c>
      <c r="AH7" s="407" t="str">
        <f>IFERROR(MID($B7,FIND(", ",$B7)+2,256),"")</f>
        <v>Matti Vinni</v>
      </c>
      <c r="AI7" s="406" t="str">
        <f>IFERROR(INDEX(V!$R:$R,MATCH(AJ7,V!$L:$L,0)),"")</f>
        <v/>
      </c>
      <c r="AJ7" s="407" t="str">
        <f>IFERROR(MID($B7,FIND("^",SUBSTITUTE($B7,", ","^",1))+2,FIND("^",SUBSTITUTE($B7,", ","^",2))-FIND("^",SUBSTITUTE($B7,", ","^",1))-2),"")</f>
        <v/>
      </c>
      <c r="AK7" s="406" t="str">
        <f>IFERROR(INDEX(V!$R:$R,MATCH(AL7,V!$L:$L,0)),"")</f>
        <v/>
      </c>
      <c r="AL7" s="407" t="str">
        <f>IFERROR(MID($B7,FIND(", ",$B7,FIND(", ",$B7,FIND(", ",$B7))+1)+2,30000),"")</f>
        <v/>
      </c>
      <c r="AM7" s="406" t="str">
        <f>IFERROR(INDEX(V!$R:$R,MATCH(AN7,V!$L:$L,0)),"")</f>
        <v/>
      </c>
      <c r="AN7" s="407" t="str">
        <f>IFERROR(MID($B7,FIND(", ",$B7,FIND(", ",$B7)+1)+2,FIND(", ",$B7,FIND(", ",$B7,FIND(", ",$B7)+1)+1)-FIND(", ",$B7,FIND(", ",$B7)+1)-2),"")</f>
        <v/>
      </c>
      <c r="AO7" s="406" t="str">
        <f>IFERROR(INDEX(V!$R:$R,MATCH(AP7,V!$L:$L,0)),"")</f>
        <v/>
      </c>
      <c r="AP7" s="407" t="str">
        <f>IFERROR(MID($B7,FIND(", ",$B7,FIND(", ",$B7,FIND(", ",$B7)+1)+1)+2,30000),"")</f>
        <v/>
      </c>
    </row>
    <row r="8" spans="1:42" x14ac:dyDescent="0.2">
      <c r="A8" s="614">
        <v>2</v>
      </c>
      <c r="B8" s="479" t="s">
        <v>276</v>
      </c>
      <c r="C8" s="615"/>
      <c r="D8" s="616" t="s">
        <v>363</v>
      </c>
      <c r="E8" s="617"/>
      <c r="F8" s="618"/>
      <c r="G8" s="615"/>
      <c r="H8" s="616" t="s">
        <v>363</v>
      </c>
      <c r="I8" s="617"/>
      <c r="J8" s="618"/>
      <c r="K8" s="615"/>
      <c r="L8" s="616" t="s">
        <v>363</v>
      </c>
      <c r="M8" s="617"/>
      <c r="N8" s="618"/>
      <c r="O8" s="615"/>
      <c r="P8" s="616" t="s">
        <v>363</v>
      </c>
      <c r="Q8" s="617"/>
      <c r="R8" s="618"/>
      <c r="S8" s="615"/>
      <c r="T8" s="616" t="s">
        <v>363</v>
      </c>
      <c r="U8" s="617"/>
      <c r="V8" s="618"/>
      <c r="W8" s="619">
        <f t="shared" si="0"/>
        <v>0</v>
      </c>
      <c r="X8" s="620"/>
      <c r="Y8" s="615">
        <f t="shared" ref="Y8:Y16" si="1">C8+G8+K8+O8+S8</f>
        <v>0</v>
      </c>
      <c r="Z8" s="616" t="s">
        <v>363</v>
      </c>
      <c r="AA8" s="621">
        <f t="shared" ref="AA8:AA16" si="2">E8+I8+M8+Q8+U8</f>
        <v>0</v>
      </c>
      <c r="AB8" s="622">
        <f t="shared" ref="AB8:AB16" si="3">Y8-AA8</f>
        <v>0</v>
      </c>
      <c r="AC8" s="404"/>
      <c r="AD8" s="405">
        <f t="shared" ref="AD8:AD16" si="4">SUM(AE8:AP8)</f>
        <v>356</v>
      </c>
      <c r="AE8" s="406">
        <f>IFERROR(INDEX(V!$R:$R,MATCH(AF8,V!$L:$L,0)),"")</f>
        <v>178</v>
      </c>
      <c r="AF8" s="407" t="str">
        <f t="shared" ref="AF8:AF16" si="5">IFERROR(LEFT($B8,(FIND(",",$B8,1)-1)),"")</f>
        <v>Jaan Sepp</v>
      </c>
      <c r="AG8" s="406">
        <f>IFERROR(INDEX(V!$R:$R,MATCH(AH8,V!$L:$L,0)),"")</f>
        <v>178</v>
      </c>
      <c r="AH8" s="407" t="str">
        <f t="shared" ref="AH8:AH16" si="6">IFERROR(MID($B8,FIND(", ",$B8)+2,256),"")</f>
        <v>Oskar Sepp</v>
      </c>
      <c r="AI8" s="406" t="str">
        <f>IFERROR(INDEX(V!$R:$R,MATCH(AJ8,V!$L:$L,0)),"")</f>
        <v/>
      </c>
      <c r="AJ8" s="407" t="str">
        <f t="shared" ref="AJ8:AJ16" si="7">IFERROR(MID($B8,FIND("^",SUBSTITUTE($B8,", ","^",1))+2,FIND("^",SUBSTITUTE($B8,", ","^",2))-FIND("^",SUBSTITUTE($B8,", ","^",1))-2),"")</f>
        <v/>
      </c>
      <c r="AK8" s="406" t="str">
        <f>IFERROR(INDEX(V!$R:$R,MATCH(AL8,V!$L:$L,0)),"")</f>
        <v/>
      </c>
      <c r="AL8" s="407" t="str">
        <f t="shared" ref="AL8:AL16" si="8">IFERROR(MID($B8,FIND(", ",$B8,FIND(", ",$B8,FIND(", ",$B8))+1)+2,30000),"")</f>
        <v/>
      </c>
      <c r="AM8" s="406" t="str">
        <f>IFERROR(INDEX(V!$R:$R,MATCH(AN8,V!$L:$L,0)),"")</f>
        <v/>
      </c>
      <c r="AN8" s="407" t="str">
        <f t="shared" ref="AN8:AN16" si="9">IFERROR(MID($B8,FIND(", ",$B8,FIND(", ",$B8)+1)+2,FIND(", ",$B8,FIND(", ",$B8,FIND(", ",$B8)+1)+1)-FIND(", ",$B8,FIND(", ",$B8)+1)-2),"")</f>
        <v/>
      </c>
      <c r="AO8" s="406" t="str">
        <f>IFERROR(INDEX(V!$R:$R,MATCH(AP8,V!$L:$L,0)),"")</f>
        <v/>
      </c>
      <c r="AP8" s="407" t="str">
        <f t="shared" ref="AP8:AP16" si="10">IFERROR(MID($B8,FIND(", ",$B8,FIND(", ",$B8,FIND(", ",$B8)+1)+1)+2,30000),"")</f>
        <v/>
      </c>
    </row>
    <row r="9" spans="1:42" x14ac:dyDescent="0.2">
      <c r="A9" s="614">
        <v>3</v>
      </c>
      <c r="B9" s="479" t="s">
        <v>274</v>
      </c>
      <c r="C9" s="615"/>
      <c r="D9" s="616" t="s">
        <v>363</v>
      </c>
      <c r="E9" s="617"/>
      <c r="F9" s="618"/>
      <c r="G9" s="615"/>
      <c r="H9" s="616" t="s">
        <v>363</v>
      </c>
      <c r="I9" s="617"/>
      <c r="J9" s="618"/>
      <c r="K9" s="615"/>
      <c r="L9" s="616" t="s">
        <v>363</v>
      </c>
      <c r="M9" s="617"/>
      <c r="N9" s="618"/>
      <c r="O9" s="615"/>
      <c r="P9" s="616" t="s">
        <v>363</v>
      </c>
      <c r="Q9" s="617"/>
      <c r="R9" s="618"/>
      <c r="S9" s="615"/>
      <c r="T9" s="616" t="s">
        <v>363</v>
      </c>
      <c r="U9" s="617"/>
      <c r="V9" s="618"/>
      <c r="W9" s="619">
        <f t="shared" si="0"/>
        <v>0</v>
      </c>
      <c r="X9" s="620"/>
      <c r="Y9" s="615">
        <f t="shared" si="1"/>
        <v>0</v>
      </c>
      <c r="Z9" s="616" t="s">
        <v>363</v>
      </c>
      <c r="AA9" s="621">
        <f t="shared" si="2"/>
        <v>0</v>
      </c>
      <c r="AB9" s="622">
        <f t="shared" si="3"/>
        <v>0</v>
      </c>
      <c r="AC9" s="404"/>
      <c r="AD9" s="405">
        <f t="shared" si="4"/>
        <v>276</v>
      </c>
      <c r="AE9" s="406">
        <f>IFERROR(INDEX(V!$R:$R,MATCH(AF9,V!$L:$L,0)),"")</f>
        <v>150.5</v>
      </c>
      <c r="AF9" s="407" t="str">
        <f t="shared" si="5"/>
        <v>Karla Purgats</v>
      </c>
      <c r="AG9" s="406">
        <f>IFERROR(INDEX(V!$R:$R,MATCH(AH9,V!$L:$L,0)),"")</f>
        <v>125.5</v>
      </c>
      <c r="AH9" s="407" t="str">
        <f t="shared" si="6"/>
        <v>Lemmit Toomra</v>
      </c>
      <c r="AI9" s="406" t="str">
        <f>IFERROR(INDEX(V!$R:$R,MATCH(AJ9,V!$L:$L,0)),"")</f>
        <v/>
      </c>
      <c r="AJ9" s="407" t="str">
        <f t="shared" si="7"/>
        <v/>
      </c>
      <c r="AK9" s="406" t="str">
        <f>IFERROR(INDEX(V!$R:$R,MATCH(AL9,V!$L:$L,0)),"")</f>
        <v/>
      </c>
      <c r="AL9" s="407" t="str">
        <f t="shared" si="8"/>
        <v/>
      </c>
      <c r="AM9" s="406" t="str">
        <f>IFERROR(INDEX(V!$R:$R,MATCH(AN9,V!$L:$L,0)),"")</f>
        <v/>
      </c>
      <c r="AN9" s="407" t="str">
        <f t="shared" si="9"/>
        <v/>
      </c>
      <c r="AO9" s="406" t="str">
        <f>IFERROR(INDEX(V!$R:$R,MATCH(AP9,V!$L:$L,0)),"")</f>
        <v/>
      </c>
      <c r="AP9" s="407" t="str">
        <f t="shared" si="10"/>
        <v/>
      </c>
    </row>
    <row r="10" spans="1:42" x14ac:dyDescent="0.2">
      <c r="A10" s="614">
        <v>4</v>
      </c>
      <c r="B10" s="479" t="s">
        <v>487</v>
      </c>
      <c r="C10" s="615"/>
      <c r="D10" s="616" t="s">
        <v>363</v>
      </c>
      <c r="E10" s="617"/>
      <c r="F10" s="618"/>
      <c r="G10" s="615"/>
      <c r="H10" s="616" t="s">
        <v>363</v>
      </c>
      <c r="I10" s="617"/>
      <c r="J10" s="618"/>
      <c r="K10" s="615"/>
      <c r="L10" s="616" t="s">
        <v>363</v>
      </c>
      <c r="M10" s="617"/>
      <c r="N10" s="618"/>
      <c r="O10" s="615"/>
      <c r="P10" s="616" t="s">
        <v>363</v>
      </c>
      <c r="Q10" s="617"/>
      <c r="R10" s="618"/>
      <c r="S10" s="615"/>
      <c r="T10" s="616" t="s">
        <v>363</v>
      </c>
      <c r="U10" s="617"/>
      <c r="V10" s="618"/>
      <c r="W10" s="619">
        <f t="shared" si="0"/>
        <v>0</v>
      </c>
      <c r="X10" s="620"/>
      <c r="Y10" s="615">
        <f t="shared" si="1"/>
        <v>0</v>
      </c>
      <c r="Z10" s="616" t="s">
        <v>363</v>
      </c>
      <c r="AA10" s="621">
        <f t="shared" si="2"/>
        <v>0</v>
      </c>
      <c r="AB10" s="622">
        <f t="shared" si="3"/>
        <v>0</v>
      </c>
      <c r="AC10" s="404"/>
      <c r="AD10" s="405">
        <f t="shared" si="4"/>
        <v>228</v>
      </c>
      <c r="AE10" s="406">
        <f>IFERROR(INDEX(V!$R:$R,MATCH(AF10,V!$L:$L,0)),"")</f>
        <v>90</v>
      </c>
      <c r="AF10" s="407" t="str">
        <f t="shared" si="5"/>
        <v>Henri Mitt</v>
      </c>
      <c r="AG10" s="406">
        <f>IFERROR(INDEX(V!$R:$R,MATCH(AH10,V!$L:$L,0)),"")</f>
        <v>138</v>
      </c>
      <c r="AH10" s="407" t="str">
        <f t="shared" si="6"/>
        <v>Urmas Randlaine</v>
      </c>
      <c r="AI10" s="406" t="str">
        <f>IFERROR(INDEX(V!$R:$R,MATCH(AJ10,V!$L:$L,0)),"")</f>
        <v/>
      </c>
      <c r="AJ10" s="407" t="str">
        <f t="shared" si="7"/>
        <v/>
      </c>
      <c r="AK10" s="406" t="str">
        <f>IFERROR(INDEX(V!$R:$R,MATCH(AL10,V!$L:$L,0)),"")</f>
        <v/>
      </c>
      <c r="AL10" s="407" t="str">
        <f t="shared" si="8"/>
        <v/>
      </c>
      <c r="AM10" s="406" t="str">
        <f>IFERROR(INDEX(V!$R:$R,MATCH(AN10,V!$L:$L,0)),"")</f>
        <v/>
      </c>
      <c r="AN10" s="407" t="str">
        <f t="shared" si="9"/>
        <v/>
      </c>
      <c r="AO10" s="406" t="str">
        <f>IFERROR(INDEX(V!$R:$R,MATCH(AP10,V!$L:$L,0)),"")</f>
        <v/>
      </c>
      <c r="AP10" s="407" t="str">
        <f t="shared" si="10"/>
        <v/>
      </c>
    </row>
    <row r="11" spans="1:42" x14ac:dyDescent="0.2">
      <c r="A11" s="614">
        <v>5</v>
      </c>
      <c r="B11" s="623" t="s">
        <v>309</v>
      </c>
      <c r="C11" s="615"/>
      <c r="D11" s="616" t="s">
        <v>363</v>
      </c>
      <c r="E11" s="617"/>
      <c r="F11" s="618"/>
      <c r="G11" s="615"/>
      <c r="H11" s="616" t="s">
        <v>363</v>
      </c>
      <c r="I11" s="617"/>
      <c r="J11" s="618"/>
      <c r="K11" s="615"/>
      <c r="L11" s="616" t="s">
        <v>363</v>
      </c>
      <c r="M11" s="617"/>
      <c r="N11" s="618"/>
      <c r="O11" s="615"/>
      <c r="P11" s="616" t="s">
        <v>363</v>
      </c>
      <c r="Q11" s="617"/>
      <c r="R11" s="618"/>
      <c r="S11" s="615"/>
      <c r="T11" s="616" t="s">
        <v>363</v>
      </c>
      <c r="U11" s="617"/>
      <c r="V11" s="618"/>
      <c r="W11" s="619">
        <f t="shared" si="0"/>
        <v>0</v>
      </c>
      <c r="X11" s="620"/>
      <c r="Y11" s="615">
        <f t="shared" si="1"/>
        <v>0</v>
      </c>
      <c r="Z11" s="616" t="s">
        <v>363</v>
      </c>
      <c r="AA11" s="621">
        <f t="shared" si="2"/>
        <v>0</v>
      </c>
      <c r="AB11" s="622">
        <f t="shared" si="3"/>
        <v>0</v>
      </c>
      <c r="AC11" s="404"/>
      <c r="AD11" s="405">
        <f t="shared" si="4"/>
        <v>224</v>
      </c>
      <c r="AE11" s="406">
        <f>IFERROR(INDEX(V!$R:$R,MATCH(AF11,V!$L:$L,0)),"")</f>
        <v>112</v>
      </c>
      <c r="AF11" s="407" t="str">
        <f t="shared" si="5"/>
        <v>Ljudmila Varendi</v>
      </c>
      <c r="AG11" s="406">
        <f>IFERROR(INDEX(V!$R:$R,MATCH(AH11,V!$L:$L,0)),"")</f>
        <v>112</v>
      </c>
      <c r="AH11" s="407" t="str">
        <f t="shared" si="6"/>
        <v>Viktor Švarõgin</v>
      </c>
      <c r="AI11" s="406" t="str">
        <f>IFERROR(INDEX(V!$R:$R,MATCH(AJ11,V!$L:$L,0)),"")</f>
        <v/>
      </c>
      <c r="AJ11" s="407" t="str">
        <f t="shared" si="7"/>
        <v/>
      </c>
      <c r="AK11" s="406" t="str">
        <f>IFERROR(INDEX(V!$R:$R,MATCH(AL11,V!$L:$L,0)),"")</f>
        <v/>
      </c>
      <c r="AL11" s="407" t="str">
        <f t="shared" si="8"/>
        <v/>
      </c>
      <c r="AM11" s="406" t="str">
        <f>IFERROR(INDEX(V!$R:$R,MATCH(AN11,V!$L:$L,0)),"")</f>
        <v/>
      </c>
      <c r="AN11" s="407" t="str">
        <f t="shared" si="9"/>
        <v/>
      </c>
      <c r="AO11" s="406" t="str">
        <f>IFERROR(INDEX(V!$R:$R,MATCH(AP11,V!$L:$L,0)),"")</f>
        <v/>
      </c>
      <c r="AP11" s="407" t="str">
        <f t="shared" si="10"/>
        <v/>
      </c>
    </row>
    <row r="12" spans="1:42" x14ac:dyDescent="0.2">
      <c r="A12" s="614">
        <v>6</v>
      </c>
      <c r="B12" s="623" t="s">
        <v>307</v>
      </c>
      <c r="C12" s="615"/>
      <c r="D12" s="616" t="s">
        <v>363</v>
      </c>
      <c r="E12" s="617"/>
      <c r="F12" s="618"/>
      <c r="G12" s="615"/>
      <c r="H12" s="616" t="s">
        <v>363</v>
      </c>
      <c r="I12" s="617"/>
      <c r="J12" s="618"/>
      <c r="K12" s="615"/>
      <c r="L12" s="616" t="s">
        <v>363</v>
      </c>
      <c r="M12" s="617"/>
      <c r="N12" s="618"/>
      <c r="O12" s="615"/>
      <c r="P12" s="616" t="s">
        <v>363</v>
      </c>
      <c r="Q12" s="617"/>
      <c r="R12" s="618"/>
      <c r="S12" s="615"/>
      <c r="T12" s="616" t="s">
        <v>363</v>
      </c>
      <c r="U12" s="617"/>
      <c r="V12" s="618"/>
      <c r="W12" s="619">
        <f t="shared" si="0"/>
        <v>0</v>
      </c>
      <c r="X12" s="620"/>
      <c r="Y12" s="615">
        <f t="shared" si="1"/>
        <v>0</v>
      </c>
      <c r="Z12" s="616" t="s">
        <v>363</v>
      </c>
      <c r="AA12" s="621">
        <f t="shared" si="2"/>
        <v>0</v>
      </c>
      <c r="AB12" s="622">
        <f t="shared" si="3"/>
        <v>0</v>
      </c>
      <c r="AC12" s="404"/>
      <c r="AD12" s="405">
        <f t="shared" si="4"/>
        <v>190</v>
      </c>
      <c r="AE12" s="406">
        <f>IFERROR(INDEX(V!$R:$R,MATCH(AF12,V!$L:$L,0)),"")</f>
        <v>126</v>
      </c>
      <c r="AF12" s="407" t="str">
        <f t="shared" si="5"/>
        <v>Oleg Rõndenkov</v>
      </c>
      <c r="AG12" s="406">
        <f>IFERROR(INDEX(V!$R:$R,MATCH(AH12,V!$L:$L,0)),"")</f>
        <v>64</v>
      </c>
      <c r="AH12" s="407" t="str">
        <f t="shared" si="6"/>
        <v>Toomas Tedrekull</v>
      </c>
      <c r="AI12" s="406" t="str">
        <f>IFERROR(INDEX(V!$R:$R,MATCH(AJ12,V!$L:$L,0)),"")</f>
        <v/>
      </c>
      <c r="AJ12" s="407" t="str">
        <f t="shared" si="7"/>
        <v/>
      </c>
      <c r="AK12" s="406" t="str">
        <f>IFERROR(INDEX(V!$R:$R,MATCH(AL12,V!$L:$L,0)),"")</f>
        <v/>
      </c>
      <c r="AL12" s="407" t="str">
        <f t="shared" si="8"/>
        <v/>
      </c>
      <c r="AM12" s="406" t="str">
        <f>IFERROR(INDEX(V!$R:$R,MATCH(AN12,V!$L:$L,0)),"")</f>
        <v/>
      </c>
      <c r="AN12" s="407" t="str">
        <f t="shared" si="9"/>
        <v/>
      </c>
      <c r="AO12" s="406" t="str">
        <f>IFERROR(INDEX(V!$R:$R,MATCH(AP12,V!$L:$L,0)),"")</f>
        <v/>
      </c>
      <c r="AP12" s="407" t="str">
        <f t="shared" si="10"/>
        <v/>
      </c>
    </row>
    <row r="13" spans="1:42" x14ac:dyDescent="0.2">
      <c r="A13" s="614">
        <v>7</v>
      </c>
      <c r="B13" s="623" t="s">
        <v>280</v>
      </c>
      <c r="C13" s="615"/>
      <c r="D13" s="616" t="s">
        <v>363</v>
      </c>
      <c r="E13" s="617"/>
      <c r="F13" s="618"/>
      <c r="G13" s="615"/>
      <c r="H13" s="616" t="s">
        <v>363</v>
      </c>
      <c r="I13" s="617"/>
      <c r="J13" s="618"/>
      <c r="K13" s="615"/>
      <c r="L13" s="616" t="s">
        <v>363</v>
      </c>
      <c r="M13" s="617"/>
      <c r="N13" s="618"/>
      <c r="O13" s="615"/>
      <c r="P13" s="616" t="s">
        <v>363</v>
      </c>
      <c r="Q13" s="617"/>
      <c r="R13" s="618"/>
      <c r="S13" s="615"/>
      <c r="T13" s="616" t="s">
        <v>363</v>
      </c>
      <c r="U13" s="617"/>
      <c r="V13" s="618"/>
      <c r="W13" s="619">
        <f t="shared" si="0"/>
        <v>0</v>
      </c>
      <c r="X13" s="620"/>
      <c r="Y13" s="615">
        <f t="shared" si="1"/>
        <v>0</v>
      </c>
      <c r="Z13" s="616" t="s">
        <v>363</v>
      </c>
      <c r="AA13" s="621">
        <f t="shared" si="2"/>
        <v>0</v>
      </c>
      <c r="AB13" s="622">
        <f t="shared" si="3"/>
        <v>0</v>
      </c>
      <c r="AC13" s="404"/>
      <c r="AD13" s="405">
        <f t="shared" si="4"/>
        <v>223</v>
      </c>
      <c r="AE13" s="406">
        <f>IFERROR(INDEX(V!$R:$R,MATCH(AF13,V!$L:$L,0)),"")</f>
        <v>118</v>
      </c>
      <c r="AF13" s="407" t="str">
        <f t="shared" si="5"/>
        <v>Enn Tokman</v>
      </c>
      <c r="AG13" s="406">
        <f>IFERROR(INDEX(V!$R:$R,MATCH(AH13,V!$L:$L,0)),"")</f>
        <v>105</v>
      </c>
      <c r="AH13" s="407" t="str">
        <f t="shared" si="6"/>
        <v>Tarmo Bombe</v>
      </c>
      <c r="AI13" s="406" t="str">
        <f>IFERROR(INDEX(V!$R:$R,MATCH(AJ13,V!$L:$L,0)),"")</f>
        <v/>
      </c>
      <c r="AJ13" s="407" t="str">
        <f t="shared" si="7"/>
        <v/>
      </c>
      <c r="AK13" s="406" t="str">
        <f>IFERROR(INDEX(V!$R:$R,MATCH(AL13,V!$L:$L,0)),"")</f>
        <v/>
      </c>
      <c r="AL13" s="407" t="str">
        <f t="shared" si="8"/>
        <v/>
      </c>
      <c r="AM13" s="406" t="str">
        <f>IFERROR(INDEX(V!$R:$R,MATCH(AN13,V!$L:$L,0)),"")</f>
        <v/>
      </c>
      <c r="AN13" s="407" t="str">
        <f t="shared" si="9"/>
        <v/>
      </c>
      <c r="AO13" s="406" t="str">
        <f>IFERROR(INDEX(V!$R:$R,MATCH(AP13,V!$L:$L,0)),"")</f>
        <v/>
      </c>
      <c r="AP13" s="407" t="str">
        <f t="shared" si="10"/>
        <v/>
      </c>
    </row>
    <row r="14" spans="1:42" ht="25.5" x14ac:dyDescent="0.2">
      <c r="A14" s="614">
        <v>8</v>
      </c>
      <c r="B14" s="623" t="s">
        <v>632</v>
      </c>
      <c r="C14" s="615"/>
      <c r="D14" s="616" t="s">
        <v>363</v>
      </c>
      <c r="E14" s="617"/>
      <c r="F14" s="618"/>
      <c r="G14" s="615"/>
      <c r="H14" s="616" t="s">
        <v>363</v>
      </c>
      <c r="I14" s="617"/>
      <c r="J14" s="618"/>
      <c r="K14" s="615"/>
      <c r="L14" s="616" t="s">
        <v>363</v>
      </c>
      <c r="M14" s="617"/>
      <c r="N14" s="618"/>
      <c r="O14" s="615"/>
      <c r="P14" s="616" t="s">
        <v>363</v>
      </c>
      <c r="Q14" s="617"/>
      <c r="R14" s="618"/>
      <c r="S14" s="615"/>
      <c r="T14" s="616" t="s">
        <v>363</v>
      </c>
      <c r="U14" s="617"/>
      <c r="V14" s="618"/>
      <c r="W14" s="619">
        <f t="shared" si="0"/>
        <v>0</v>
      </c>
      <c r="X14" s="620"/>
      <c r="Y14" s="615">
        <f t="shared" si="1"/>
        <v>0</v>
      </c>
      <c r="Z14" s="616" t="s">
        <v>363</v>
      </c>
      <c r="AA14" s="621">
        <f t="shared" si="2"/>
        <v>0</v>
      </c>
      <c r="AB14" s="622">
        <f t="shared" si="3"/>
        <v>0</v>
      </c>
      <c r="AC14" s="404"/>
      <c r="AD14" s="405">
        <f t="shared" si="4"/>
        <v>433</v>
      </c>
      <c r="AE14" s="406">
        <f>IFERROR(INDEX(V!$R:$R,MATCH(AF14,V!$L:$L,0)),"")</f>
        <v>187</v>
      </c>
      <c r="AF14" s="407" t="str">
        <f t="shared" si="5"/>
        <v>Kenneth Muusikus</v>
      </c>
      <c r="AG14" s="406" t="str">
        <f>IFERROR(INDEX(V!$R:$R,MATCH(AH14,V!$L:$L,0)),"")</f>
        <v/>
      </c>
      <c r="AH14" s="407" t="str">
        <f t="shared" si="6"/>
        <v>Mait Metsla, Peep Peenema</v>
      </c>
      <c r="AI14" s="406">
        <f>IFERROR(INDEX(V!$R:$R,MATCH(AJ14,V!$L:$L,0)),"")</f>
        <v>178</v>
      </c>
      <c r="AJ14" s="407" t="str">
        <f t="shared" si="7"/>
        <v>Mait Metsla</v>
      </c>
      <c r="AK14" s="406">
        <f>IFERROR(INDEX(V!$R:$R,MATCH(AL14,V!$L:$L,0)),"")</f>
        <v>68</v>
      </c>
      <c r="AL14" s="407" t="str">
        <f t="shared" si="8"/>
        <v>Peep Peenema</v>
      </c>
      <c r="AM14" s="406" t="str">
        <f>IFERROR(INDEX(V!$R:$R,MATCH(AN14,V!$L:$L,0)),"")</f>
        <v/>
      </c>
      <c r="AN14" s="407" t="str">
        <f t="shared" si="9"/>
        <v/>
      </c>
      <c r="AO14" s="406" t="str">
        <f>IFERROR(INDEX(V!$R:$R,MATCH(AP14,V!$L:$L,0)),"")</f>
        <v/>
      </c>
      <c r="AP14" s="407" t="str">
        <f t="shared" si="10"/>
        <v/>
      </c>
    </row>
    <row r="15" spans="1:42" x14ac:dyDescent="0.2">
      <c r="A15" s="614">
        <v>9</v>
      </c>
      <c r="B15" s="623" t="s">
        <v>630</v>
      </c>
      <c r="C15" s="615"/>
      <c r="D15" s="616" t="s">
        <v>363</v>
      </c>
      <c r="E15" s="617"/>
      <c r="F15" s="618"/>
      <c r="G15" s="615"/>
      <c r="H15" s="616" t="s">
        <v>363</v>
      </c>
      <c r="I15" s="617"/>
      <c r="J15" s="618"/>
      <c r="K15" s="615"/>
      <c r="L15" s="616" t="s">
        <v>363</v>
      </c>
      <c r="M15" s="617"/>
      <c r="N15" s="618"/>
      <c r="O15" s="615"/>
      <c r="P15" s="616" t="s">
        <v>363</v>
      </c>
      <c r="Q15" s="617"/>
      <c r="R15" s="618"/>
      <c r="S15" s="615"/>
      <c r="T15" s="616" t="s">
        <v>363</v>
      </c>
      <c r="U15" s="617"/>
      <c r="V15" s="618"/>
      <c r="W15" s="619">
        <f t="shared" si="0"/>
        <v>0</v>
      </c>
      <c r="X15" s="620"/>
      <c r="Y15" s="615">
        <f t="shared" si="1"/>
        <v>0</v>
      </c>
      <c r="Z15" s="616" t="s">
        <v>363</v>
      </c>
      <c r="AA15" s="621">
        <f t="shared" si="2"/>
        <v>0</v>
      </c>
      <c r="AB15" s="622">
        <f t="shared" si="3"/>
        <v>0</v>
      </c>
      <c r="AC15" s="404"/>
      <c r="AD15" s="405">
        <f t="shared" si="4"/>
        <v>146</v>
      </c>
      <c r="AE15" s="406">
        <f>IFERROR(INDEX(V!$R:$R,MATCH(AF15,V!$L:$L,0)),"")</f>
        <v>65</v>
      </c>
      <c r="AF15" s="407" t="str">
        <f t="shared" si="5"/>
        <v>Illar Tõnurist</v>
      </c>
      <c r="AG15" s="406">
        <f>IFERROR(INDEX(V!$R:$R,MATCH(AH15,V!$L:$L,0)),"")</f>
        <v>81</v>
      </c>
      <c r="AH15" s="407" t="str">
        <f t="shared" si="6"/>
        <v>Jaan Saar</v>
      </c>
      <c r="AI15" s="406" t="str">
        <f>IFERROR(INDEX(V!$R:$R,MATCH(AJ15,V!$L:$L,0)),"")</f>
        <v/>
      </c>
      <c r="AJ15" s="407" t="str">
        <f t="shared" si="7"/>
        <v/>
      </c>
      <c r="AK15" s="406" t="str">
        <f>IFERROR(INDEX(V!$R:$R,MATCH(AL15,V!$L:$L,0)),"")</f>
        <v/>
      </c>
      <c r="AL15" s="407" t="str">
        <f t="shared" si="8"/>
        <v/>
      </c>
      <c r="AM15" s="406" t="str">
        <f>IFERROR(INDEX(V!$R:$R,MATCH(AN15,V!$L:$L,0)),"")</f>
        <v/>
      </c>
      <c r="AN15" s="407" t="str">
        <f t="shared" si="9"/>
        <v/>
      </c>
      <c r="AO15" s="406" t="str">
        <f>IFERROR(INDEX(V!$R:$R,MATCH(AP15,V!$L:$L,0)),"")</f>
        <v/>
      </c>
      <c r="AP15" s="407" t="str">
        <f t="shared" si="10"/>
        <v/>
      </c>
    </row>
    <row r="16" spans="1:42" ht="25.5" x14ac:dyDescent="0.2">
      <c r="A16" s="614">
        <v>10</v>
      </c>
      <c r="B16" s="479" t="s">
        <v>631</v>
      </c>
      <c r="C16" s="615"/>
      <c r="D16" s="616" t="s">
        <v>363</v>
      </c>
      <c r="E16" s="617"/>
      <c r="F16" s="618"/>
      <c r="G16" s="615"/>
      <c r="H16" s="616" t="s">
        <v>363</v>
      </c>
      <c r="I16" s="617"/>
      <c r="J16" s="618"/>
      <c r="K16" s="615"/>
      <c r="L16" s="616" t="s">
        <v>363</v>
      </c>
      <c r="M16" s="617"/>
      <c r="N16" s="618"/>
      <c r="O16" s="615"/>
      <c r="P16" s="616" t="s">
        <v>363</v>
      </c>
      <c r="Q16" s="617"/>
      <c r="R16" s="618"/>
      <c r="S16" s="615"/>
      <c r="T16" s="616" t="s">
        <v>363</v>
      </c>
      <c r="U16" s="617"/>
      <c r="V16" s="618"/>
      <c r="W16" s="619">
        <f t="shared" si="0"/>
        <v>0</v>
      </c>
      <c r="X16" s="620"/>
      <c r="Y16" s="615">
        <f t="shared" si="1"/>
        <v>0</v>
      </c>
      <c r="Z16" s="616" t="s">
        <v>363</v>
      </c>
      <c r="AA16" s="621">
        <f t="shared" si="2"/>
        <v>0</v>
      </c>
      <c r="AB16" s="622">
        <f t="shared" si="3"/>
        <v>0</v>
      </c>
      <c r="AC16" s="404"/>
      <c r="AD16" s="405">
        <f t="shared" si="4"/>
        <v>293</v>
      </c>
      <c r="AE16" s="406">
        <f>IFERROR(INDEX(V!$R:$R,MATCH(AF16,V!$L:$L,0)),"")</f>
        <v>104</v>
      </c>
      <c r="AF16" s="407" t="str">
        <f t="shared" si="5"/>
        <v>Andres Veski</v>
      </c>
      <c r="AG16" s="406" t="str">
        <f>IFERROR(INDEX(V!$R:$R,MATCH(AH16,V!$L:$L,0)),"")</f>
        <v/>
      </c>
      <c r="AH16" s="407" t="str">
        <f t="shared" si="6"/>
        <v>Johannes Neiland, Svetlana Veski</v>
      </c>
      <c r="AI16" s="406">
        <f>IFERROR(INDEX(V!$R:$R,MATCH(AJ16,V!$L:$L,0)),"")</f>
        <v>122</v>
      </c>
      <c r="AJ16" s="407" t="str">
        <f t="shared" si="7"/>
        <v>Johannes Neiland</v>
      </c>
      <c r="AK16" s="406">
        <f>IFERROR(INDEX(V!$R:$R,MATCH(AL16,V!$L:$L,0)),"")</f>
        <v>67</v>
      </c>
      <c r="AL16" s="407" t="str">
        <f t="shared" si="8"/>
        <v>Svetlana Veski</v>
      </c>
      <c r="AM16" s="406" t="str">
        <f>IFERROR(INDEX(V!$R:$R,MATCH(AN16,V!$L:$L,0)),"")</f>
        <v/>
      </c>
      <c r="AN16" s="407" t="str">
        <f t="shared" si="9"/>
        <v/>
      </c>
      <c r="AO16" s="406" t="str">
        <f>IFERROR(INDEX(V!$R:$R,MATCH(AP16,V!$L:$L,0)),"")</f>
        <v/>
      </c>
      <c r="AP16" s="407" t="str">
        <f t="shared" si="10"/>
        <v/>
      </c>
    </row>
    <row r="17" hidden="1" x14ac:dyDescent="0.2"/>
    <row r="18" hidden="1" x14ac:dyDescent="0.2"/>
    <row r="19" hidden="1" x14ac:dyDescent="0.2"/>
    <row r="20" hidden="1" x14ac:dyDescent="0.2"/>
    <row r="21" hidden="1" x14ac:dyDescent="0.2"/>
    <row r="22" hidden="1" x14ac:dyDescent="0.2"/>
    <row r="23" hidden="1" x14ac:dyDescent="0.2"/>
    <row r="24" hidden="1" x14ac:dyDescent="0.2"/>
    <row r="25" hidden="1" x14ac:dyDescent="0.2"/>
    <row r="26" hidden="1" x14ac:dyDescent="0.2"/>
    <row r="27" hidden="1" x14ac:dyDescent="0.2"/>
    <row r="28" hidden="1" x14ac:dyDescent="0.2"/>
    <row r="29" hidden="1" x14ac:dyDescent="0.2"/>
    <row r="30" hidden="1" x14ac:dyDescent="0.2"/>
    <row r="31" hidden="1" x14ac:dyDescent="0.2"/>
    <row r="32"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6" hidden="1" x14ac:dyDescent="0.2"/>
    <row r="290" spans="1:6" hidden="1" x14ac:dyDescent="0.2"/>
    <row r="291" spans="1:6" hidden="1" x14ac:dyDescent="0.2"/>
    <row r="292" spans="1:6" hidden="1" x14ac:dyDescent="0.2"/>
    <row r="293" spans="1:6" hidden="1" x14ac:dyDescent="0.2"/>
    <row r="294" spans="1:6" hidden="1" x14ac:dyDescent="0.2"/>
    <row r="295" spans="1:6" hidden="1" x14ac:dyDescent="0.2"/>
    <row r="296" spans="1:6" hidden="1" x14ac:dyDescent="0.2"/>
    <row r="297" spans="1:6" hidden="1" x14ac:dyDescent="0.2"/>
    <row r="299" spans="1:6" x14ac:dyDescent="0.2">
      <c r="A299" s="271"/>
      <c r="B299" s="271"/>
      <c r="C299" s="401" t="s">
        <v>248</v>
      </c>
      <c r="F299" s="2" t="s">
        <v>102</v>
      </c>
    </row>
    <row r="300" spans="1:6" x14ac:dyDescent="0.2">
      <c r="A300" s="530">
        <v>1</v>
      </c>
      <c r="B300" s="625" t="str">
        <f>IFERROR(INDEX(B$1:B$100,MATCH(A300,A$1:A$100,0)),"")</f>
        <v>Kaspar Mänd, Matti Vinni</v>
      </c>
      <c r="C300" s="499">
        <f>IF(21-A300&gt;0,21-A300,1)</f>
        <v>20</v>
      </c>
      <c r="F300" s="477">
        <v>4</v>
      </c>
    </row>
    <row r="301" spans="1:6" x14ac:dyDescent="0.2">
      <c r="A301" s="530">
        <v>2</v>
      </c>
      <c r="B301" s="625" t="str">
        <f t="shared" ref="B301:B309" si="11">IFERROR(INDEX(B$1:B$100,MATCH(A301,A$1:A$100,0)),"")</f>
        <v>Jaan Sepp, Oskar Sepp</v>
      </c>
      <c r="C301" s="499">
        <f t="shared" ref="C301:C309" si="12">IF(21-A301&gt;0,21-A301,1)</f>
        <v>19</v>
      </c>
      <c r="F301" s="477">
        <v>4</v>
      </c>
    </row>
    <row r="302" spans="1:6" x14ac:dyDescent="0.2">
      <c r="A302" s="530">
        <v>3</v>
      </c>
      <c r="B302" s="625" t="str">
        <f t="shared" si="11"/>
        <v>Karla Purgats, Lemmit Toomra</v>
      </c>
      <c r="C302" s="499">
        <f t="shared" si="12"/>
        <v>18</v>
      </c>
      <c r="F302" s="477">
        <v>4</v>
      </c>
    </row>
    <row r="303" spans="1:6" x14ac:dyDescent="0.2">
      <c r="A303" s="530">
        <v>4</v>
      </c>
      <c r="B303" s="625" t="str">
        <f t="shared" si="11"/>
        <v>Henri Mitt, Urmas Randlaine</v>
      </c>
      <c r="C303" s="499">
        <f t="shared" si="12"/>
        <v>17</v>
      </c>
      <c r="F303" s="477">
        <v>3</v>
      </c>
    </row>
    <row r="304" spans="1:6" x14ac:dyDescent="0.2">
      <c r="A304" s="530">
        <v>5</v>
      </c>
      <c r="B304" s="625" t="str">
        <f t="shared" si="11"/>
        <v>Ljudmila Varendi, Viktor Švarõgin</v>
      </c>
      <c r="C304" s="499">
        <f t="shared" si="12"/>
        <v>16</v>
      </c>
      <c r="F304" s="477">
        <v>3</v>
      </c>
    </row>
    <row r="305" spans="1:6" x14ac:dyDescent="0.2">
      <c r="A305" s="530">
        <v>6</v>
      </c>
      <c r="B305" s="625" t="str">
        <f t="shared" si="11"/>
        <v>Oleg Rõndenkov, Toomas Tedrekull</v>
      </c>
      <c r="C305" s="499">
        <f t="shared" si="12"/>
        <v>15</v>
      </c>
      <c r="F305" s="477">
        <v>2</v>
      </c>
    </row>
    <row r="306" spans="1:6" x14ac:dyDescent="0.2">
      <c r="A306" s="530">
        <v>7</v>
      </c>
      <c r="B306" s="625" t="str">
        <f t="shared" si="11"/>
        <v>Enn Tokman, Tarmo Bombe</v>
      </c>
      <c r="C306" s="499">
        <f t="shared" si="12"/>
        <v>14</v>
      </c>
      <c r="F306" s="477">
        <v>2</v>
      </c>
    </row>
    <row r="307" spans="1:6" ht="25.5" x14ac:dyDescent="0.2">
      <c r="A307" s="530">
        <v>8</v>
      </c>
      <c r="B307" s="625" t="str">
        <f t="shared" si="11"/>
        <v>Kenneth Muusikus, Mait Metsla, Peep Peenema</v>
      </c>
      <c r="C307" s="499">
        <f t="shared" si="12"/>
        <v>13</v>
      </c>
      <c r="F307" s="477">
        <v>2</v>
      </c>
    </row>
    <row r="308" spans="1:6" x14ac:dyDescent="0.2">
      <c r="A308" s="530">
        <v>9</v>
      </c>
      <c r="B308" s="625" t="str">
        <f t="shared" si="11"/>
        <v>Illar Tõnurist, Jaan Saar</v>
      </c>
      <c r="C308" s="499">
        <f t="shared" si="12"/>
        <v>12</v>
      </c>
      <c r="F308" s="477">
        <v>2</v>
      </c>
    </row>
    <row r="309" spans="1:6" ht="25.5" x14ac:dyDescent="0.2">
      <c r="A309" s="530">
        <v>10</v>
      </c>
      <c r="B309" s="625" t="str">
        <f t="shared" si="11"/>
        <v>Andres Veski, Johannes Neiland, Svetlana Veski</v>
      </c>
      <c r="C309" s="499">
        <f t="shared" si="12"/>
        <v>11</v>
      </c>
      <c r="F309" s="477">
        <v>2</v>
      </c>
    </row>
  </sheetData>
  <conditionalFormatting sqref="B300:B309">
    <cfRule type="expression" dxfId="913" priority="45">
      <formula>A300=3</formula>
    </cfRule>
    <cfRule type="expression" dxfId="912" priority="46">
      <formula>A300=2</formula>
    </cfRule>
    <cfRule type="expression" dxfId="911" priority="47">
      <formula>A300=1</formula>
    </cfRule>
    <cfRule type="containsBlanks" dxfId="910" priority="48">
      <formula>LEN(TRIM(B300))=0</formula>
    </cfRule>
    <cfRule type="duplicateValues" dxfId="909" priority="49"/>
  </conditionalFormatting>
  <conditionalFormatting sqref="C7:C16 G7:G16 K7:K16 O7:O16 S7:S16">
    <cfRule type="expression" dxfId="908" priority="12">
      <formula>AND(C7=0,E7=13)</formula>
    </cfRule>
  </conditionalFormatting>
  <conditionalFormatting sqref="C7:C16">
    <cfRule type="expression" dxfId="907" priority="26">
      <formula>IF($C7&gt;$E7,TRUE)</formula>
    </cfRule>
  </conditionalFormatting>
  <conditionalFormatting sqref="E7:E16">
    <cfRule type="expression" dxfId="906" priority="27">
      <formula>IF($C7&lt;$E7,TRUE)</formula>
    </cfRule>
  </conditionalFormatting>
  <conditionalFormatting sqref="K7:K16">
    <cfRule type="expression" dxfId="905" priority="34">
      <formula>IF($K7&gt;$M7,TRUE)</formula>
    </cfRule>
  </conditionalFormatting>
  <conditionalFormatting sqref="M7:M16">
    <cfRule type="expression" dxfId="904" priority="35">
      <formula>IF($K7&lt;$M7,TRUE)</formula>
    </cfRule>
  </conditionalFormatting>
  <conditionalFormatting sqref="O7:O16">
    <cfRule type="expression" dxfId="903" priority="38">
      <formula>IF($O7&gt;$Q7,TRUE)</formula>
    </cfRule>
  </conditionalFormatting>
  <conditionalFormatting sqref="Q7:Q16">
    <cfRule type="expression" dxfId="902" priority="39">
      <formula>IF($O7&lt;$Q7,TRUE)</formula>
    </cfRule>
  </conditionalFormatting>
  <conditionalFormatting sqref="S7:S16">
    <cfRule type="expression" dxfId="901" priority="42">
      <formula>IF($S7&gt;$U7,TRUE)</formula>
    </cfRule>
  </conditionalFormatting>
  <conditionalFormatting sqref="U7:U16">
    <cfRule type="expression" dxfId="900" priority="43">
      <formula>IF($S7&lt;$U7,TRUE)</formula>
    </cfRule>
  </conditionalFormatting>
  <conditionalFormatting sqref="G7:G16">
    <cfRule type="expression" dxfId="899" priority="30">
      <formula>IF($G7&gt;$I7,TRUE)</formula>
    </cfRule>
  </conditionalFormatting>
  <conditionalFormatting sqref="I7:I16">
    <cfRule type="expression" dxfId="898" priority="31">
      <formula>IF($G7&lt;$I7,TRUE)</formula>
    </cfRule>
  </conditionalFormatting>
  <conditionalFormatting sqref="F7:F16">
    <cfRule type="containsText" dxfId="897" priority="17" operator="containsText" text="vaba voor">
      <formula>NOT(ISERROR(SEARCH("vaba voor",F7)))</formula>
    </cfRule>
  </conditionalFormatting>
  <conditionalFormatting sqref="N7:N16">
    <cfRule type="containsText" dxfId="896" priority="15" operator="containsText" text="vaba voor">
      <formula>NOT(ISERROR(SEARCH("vaba voor",N7)))</formula>
    </cfRule>
  </conditionalFormatting>
  <conditionalFormatting sqref="R7:R16">
    <cfRule type="containsText" dxfId="895" priority="18" operator="containsText" text="vaba voor">
      <formula>NOT(ISERROR(SEARCH("vaba voor",R7)))</formula>
    </cfRule>
  </conditionalFormatting>
  <conditionalFormatting sqref="V7:V16">
    <cfRule type="containsText" dxfId="894" priority="14" operator="containsText" text="vaba voor">
      <formula>NOT(ISERROR(SEARCH("vaba voor",V7)))</formula>
    </cfRule>
  </conditionalFormatting>
  <conditionalFormatting sqref="J7:J16">
    <cfRule type="containsText" dxfId="893" priority="16" operator="containsText" text="vaba voor">
      <formula>NOT(ISERROR(SEARCH("vaba voor",J7)))</formula>
    </cfRule>
  </conditionalFormatting>
  <conditionalFormatting sqref="C7:F16">
    <cfRule type="expression" dxfId="892" priority="22">
      <formula>IF(AND(ISNUMBER($C7),$C7=$E7),TRUE)</formula>
    </cfRule>
    <cfRule type="expression" dxfId="891" priority="24">
      <formula>IF($C7&gt;$E7,TRUE)</formula>
    </cfRule>
    <cfRule type="expression" dxfId="890" priority="25">
      <formula>IF($C7&lt;$E7,TRUE)</formula>
    </cfRule>
  </conditionalFormatting>
  <conditionalFormatting sqref="G7:J16">
    <cfRule type="expression" dxfId="889" priority="23">
      <formula>IF(AND(ISNUMBER($G7),$G7=$I7),TRUE)</formula>
    </cfRule>
    <cfRule type="expression" dxfId="888" priority="28">
      <formula>IF($G7&gt;$I7,TRUE)</formula>
    </cfRule>
    <cfRule type="expression" dxfId="887" priority="29">
      <formula>IF($G7&lt;$I7,TRUE)</formula>
    </cfRule>
  </conditionalFormatting>
  <conditionalFormatting sqref="K7:N16">
    <cfRule type="expression" dxfId="886" priority="21">
      <formula>IF(AND(ISNUMBER($K7),$K7=$M7),TRUE)</formula>
    </cfRule>
    <cfRule type="expression" dxfId="885" priority="32">
      <formula>IF($K7&gt;$M7,TRUE)</formula>
    </cfRule>
    <cfRule type="expression" dxfId="884" priority="33">
      <formula>IF($K7&lt;$M7,TRUE)</formula>
    </cfRule>
  </conditionalFormatting>
  <conditionalFormatting sqref="O7:R16">
    <cfRule type="expression" dxfId="883" priority="20">
      <formula>IF(AND(ISNUMBER($O7),$O7=$Q7),TRUE)</formula>
    </cfRule>
    <cfRule type="expression" dxfId="882" priority="36">
      <formula>IF($O7&gt;$Q7,TRUE)</formula>
    </cfRule>
    <cfRule type="expression" dxfId="881" priority="37">
      <formula>IF($O7&lt;$Q7,TRUE)</formula>
    </cfRule>
  </conditionalFormatting>
  <conditionalFormatting sqref="S7:V16">
    <cfRule type="expression" dxfId="880" priority="19">
      <formula>IF(AND(ISNUMBER($S7),$S7=$U7),TRUE)</formula>
    </cfRule>
    <cfRule type="expression" dxfId="879" priority="40">
      <formula>IF($S7&gt;$U7,TRUE)</formula>
    </cfRule>
    <cfRule type="expression" dxfId="878" priority="41">
      <formula>IF($S7&lt;$U7,TRUE)</formula>
    </cfRule>
  </conditionalFormatting>
  <conditionalFormatting sqref="E7:E16 I7:I16 M7:M16 Q7:Q16 U7:U16">
    <cfRule type="expression" dxfId="877" priority="13">
      <formula>AND(E7=0,C7=13)</formula>
    </cfRule>
  </conditionalFormatting>
  <conditionalFormatting sqref="A7:A16">
    <cfRule type="duplicateValues" dxfId="876" priority="44"/>
  </conditionalFormatting>
  <conditionalFormatting sqref="AJ7:AJ16">
    <cfRule type="expression" dxfId="875" priority="5">
      <formula>AND(AI7="",FIND(",",AJ7))</formula>
    </cfRule>
    <cfRule type="expression" dxfId="874" priority="7">
      <formula>AND(AI7="",COUNTIF(AJ7,"*,*")=0)</formula>
    </cfRule>
  </conditionalFormatting>
  <conditionalFormatting sqref="AH7:AH16">
    <cfRule type="expression" dxfId="873" priority="8">
      <formula>AND(AG7="",FIND(",",AH7))</formula>
    </cfRule>
    <cfRule type="expression" dxfId="872" priority="9">
      <formula>AND(AG7="",COUNTIF(AH7,"*,*")=0)</formula>
    </cfRule>
  </conditionalFormatting>
  <conditionalFormatting sqref="AL7:AL16">
    <cfRule type="expression" dxfId="871" priority="10">
      <formula>AND(AK7="",FIND(",",AL7))</formula>
    </cfRule>
    <cfRule type="expression" dxfId="870" priority="11">
      <formula>AND(AK7="",COUNTIF(AL7,"*,*")=0)</formula>
    </cfRule>
  </conditionalFormatting>
  <conditionalFormatting sqref="AF7:AF16">
    <cfRule type="expression" dxfId="869" priority="6">
      <formula>AND(AE7="",COUNTIF(AF7,"*,*")=0)</formula>
    </cfRule>
  </conditionalFormatting>
  <conditionalFormatting sqref="AN7:AN16">
    <cfRule type="expression" dxfId="868" priority="2">
      <formula>AND(AM7="",COUNTIF(AN7,"*,*")=0)</formula>
    </cfRule>
    <cfRule type="expression" dxfId="867" priority="4">
      <formula>AND(AM7="",FIND(",",AN7))</formula>
    </cfRule>
  </conditionalFormatting>
  <conditionalFormatting sqref="AP7:AP16">
    <cfRule type="expression" dxfId="866" priority="1">
      <formula>AND(AO7="",COUNTIF(AP7,"*,*")=0)</formula>
    </cfRule>
    <cfRule type="expression" dxfId="865" priority="3">
      <formula>AND(AO7="",FIND(",",AP7))</formula>
    </cfRule>
  </conditionalFormatting>
  <pageMargins left="0.78740157480314965" right="0.39370078740157483" top="0.78740157480314965" bottom="0.39370078740157483" header="0.78740157480314965" footer="0"/>
  <pageSetup paperSize="9" fitToHeight="0" orientation="landscape" verticalDpi="1200" r:id="rId1"/>
  <headerFooter>
    <oddHeader>&amp;R&amp;P. leht &amp;N&amp; -st</oddHeader>
  </headerFooter>
  <rowBreaks count="1" manualBreakCount="1">
    <brk id="297"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44"/>
  <sheetViews>
    <sheetView showGridLines="0" showRowColHeaders="0" workbookViewId="0">
      <selection activeCell="B1" sqref="B1"/>
    </sheetView>
  </sheetViews>
  <sheetFormatPr defaultRowHeight="12.75" x14ac:dyDescent="0.2"/>
  <cols>
    <col min="1" max="1" width="86.140625" style="1" customWidth="1"/>
    <col min="2" max="16384" width="9.140625" style="1"/>
  </cols>
  <sheetData>
    <row r="1" spans="1:10" x14ac:dyDescent="0.2">
      <c r="A1" s="594" t="s">
        <v>337</v>
      </c>
      <c r="B1" s="591"/>
      <c r="C1" s="591"/>
      <c r="D1" s="591"/>
      <c r="E1" s="591"/>
      <c r="F1" s="591"/>
      <c r="G1" s="591"/>
      <c r="H1" s="591"/>
      <c r="I1" s="591"/>
      <c r="J1" s="591"/>
    </row>
    <row r="2" spans="1:10" x14ac:dyDescent="0.2">
      <c r="A2" s="595" t="s">
        <v>355</v>
      </c>
      <c r="B2" s="591"/>
      <c r="C2" s="591"/>
      <c r="D2" s="591"/>
      <c r="E2" s="591"/>
      <c r="F2" s="591"/>
      <c r="G2" s="591"/>
      <c r="H2" s="591"/>
      <c r="I2" s="591"/>
      <c r="J2" s="591"/>
    </row>
    <row r="3" spans="1:10" x14ac:dyDescent="0.2">
      <c r="A3" s="592"/>
      <c r="B3" s="591"/>
      <c r="C3" s="591"/>
      <c r="D3" s="591"/>
      <c r="E3" s="591"/>
      <c r="F3" s="591"/>
      <c r="G3" s="591"/>
      <c r="H3" s="591"/>
      <c r="I3" s="591"/>
      <c r="J3" s="591"/>
    </row>
    <row r="4" spans="1:10" x14ac:dyDescent="0.2">
      <c r="A4" s="592" t="s">
        <v>345</v>
      </c>
      <c r="B4" s="591"/>
      <c r="C4" s="591"/>
      <c r="D4" s="591"/>
      <c r="E4" s="591"/>
      <c r="F4" s="591"/>
      <c r="G4" s="591"/>
      <c r="H4" s="591"/>
      <c r="I4" s="591"/>
      <c r="J4" s="591"/>
    </row>
    <row r="5" spans="1:10" x14ac:dyDescent="0.2">
      <c r="A5" s="592" t="s">
        <v>339</v>
      </c>
      <c r="B5" s="591"/>
      <c r="C5" s="591"/>
      <c r="D5" s="591"/>
      <c r="E5" s="591"/>
      <c r="F5" s="591"/>
      <c r="G5" s="591"/>
      <c r="H5" s="591"/>
      <c r="I5" s="591"/>
      <c r="J5" s="591"/>
    </row>
    <row r="6" spans="1:10" x14ac:dyDescent="0.2">
      <c r="A6" s="592" t="s">
        <v>340</v>
      </c>
      <c r="B6" s="591"/>
      <c r="C6" s="591"/>
      <c r="D6" s="591"/>
      <c r="E6" s="591"/>
      <c r="F6" s="591"/>
      <c r="G6" s="591"/>
      <c r="H6" s="591"/>
      <c r="I6" s="591"/>
      <c r="J6" s="591"/>
    </row>
    <row r="7" spans="1:10" x14ac:dyDescent="0.2">
      <c r="A7" s="592" t="s">
        <v>341</v>
      </c>
      <c r="B7" s="591"/>
      <c r="C7" s="591"/>
      <c r="D7" s="591"/>
      <c r="E7" s="591"/>
      <c r="F7" s="591"/>
      <c r="G7" s="591"/>
      <c r="H7" s="591"/>
      <c r="I7" s="591"/>
      <c r="J7" s="591"/>
    </row>
    <row r="8" spans="1:10" x14ac:dyDescent="0.2">
      <c r="A8" s="592"/>
      <c r="B8" s="591"/>
      <c r="C8" s="591"/>
      <c r="D8" s="591"/>
      <c r="E8" s="591"/>
      <c r="F8" s="591"/>
      <c r="G8" s="591"/>
      <c r="H8" s="591"/>
      <c r="I8" s="591"/>
      <c r="J8" s="591"/>
    </row>
    <row r="9" spans="1:10" x14ac:dyDescent="0.2">
      <c r="A9" s="592" t="s">
        <v>346</v>
      </c>
      <c r="B9" s="591"/>
      <c r="C9" s="591"/>
      <c r="D9" s="591"/>
      <c r="E9" s="591"/>
      <c r="F9" s="591"/>
      <c r="G9" s="591"/>
      <c r="H9" s="591"/>
      <c r="I9" s="591"/>
      <c r="J9" s="591"/>
    </row>
    <row r="10" spans="1:10" x14ac:dyDescent="0.2">
      <c r="A10" s="592" t="s">
        <v>325</v>
      </c>
      <c r="B10" s="591"/>
      <c r="C10" s="591"/>
      <c r="D10" s="591"/>
      <c r="E10" s="591"/>
      <c r="F10" s="591"/>
      <c r="G10" s="591"/>
      <c r="H10" s="591"/>
      <c r="I10" s="591"/>
      <c r="J10" s="591"/>
    </row>
    <row r="11" spans="1:10" x14ac:dyDescent="0.2">
      <c r="A11" s="592"/>
      <c r="B11" s="591"/>
      <c r="C11" s="591"/>
      <c r="D11" s="591"/>
      <c r="E11" s="591"/>
      <c r="F11" s="591"/>
      <c r="G11" s="591"/>
      <c r="H11" s="591"/>
      <c r="I11" s="591"/>
      <c r="J11" s="591"/>
    </row>
    <row r="12" spans="1:10" x14ac:dyDescent="0.2">
      <c r="A12" s="592" t="s">
        <v>347</v>
      </c>
      <c r="B12" s="591"/>
      <c r="C12" s="591"/>
      <c r="D12" s="591"/>
      <c r="E12" s="591"/>
      <c r="F12" s="591"/>
      <c r="G12" s="591"/>
      <c r="H12" s="591"/>
      <c r="I12" s="591"/>
      <c r="J12" s="591"/>
    </row>
    <row r="13" spans="1:10" x14ac:dyDescent="0.2">
      <c r="A13" s="597" t="s">
        <v>354</v>
      </c>
      <c r="B13" s="591"/>
      <c r="C13" s="591"/>
      <c r="D13" s="591"/>
      <c r="E13" s="591"/>
      <c r="F13" s="591"/>
      <c r="G13" s="591"/>
      <c r="H13" s="591"/>
      <c r="I13" s="591"/>
      <c r="J13" s="591"/>
    </row>
    <row r="14" spans="1:10" x14ac:dyDescent="0.2">
      <c r="A14" s="592" t="s">
        <v>342</v>
      </c>
      <c r="B14" s="591"/>
      <c r="C14" s="591"/>
      <c r="D14" s="591"/>
      <c r="E14" s="591"/>
      <c r="F14" s="591"/>
      <c r="G14" s="591"/>
      <c r="H14" s="591"/>
      <c r="I14" s="591"/>
      <c r="J14" s="591"/>
    </row>
    <row r="15" spans="1:10" x14ac:dyDescent="0.2">
      <c r="A15" s="592"/>
      <c r="B15" s="591"/>
      <c r="C15" s="591"/>
      <c r="D15" s="591"/>
      <c r="E15" s="591"/>
      <c r="F15" s="591"/>
      <c r="G15" s="591"/>
      <c r="H15" s="591"/>
      <c r="I15" s="591"/>
      <c r="J15" s="591"/>
    </row>
    <row r="16" spans="1:10" x14ac:dyDescent="0.2">
      <c r="A16" s="592" t="s">
        <v>348</v>
      </c>
      <c r="B16" s="591"/>
      <c r="C16" s="591"/>
      <c r="D16" s="591"/>
      <c r="E16" s="591"/>
      <c r="F16" s="591"/>
      <c r="G16" s="591"/>
      <c r="H16" s="591"/>
      <c r="I16" s="591"/>
      <c r="J16" s="591"/>
    </row>
    <row r="17" spans="1:10" ht="38.25" x14ac:dyDescent="0.2">
      <c r="A17" s="592" t="s">
        <v>326</v>
      </c>
      <c r="B17" s="591"/>
      <c r="C17" s="591"/>
      <c r="D17" s="591"/>
      <c r="E17" s="591"/>
      <c r="F17" s="591"/>
      <c r="G17" s="591"/>
      <c r="H17" s="591"/>
      <c r="I17" s="591"/>
      <c r="J17" s="591"/>
    </row>
    <row r="18" spans="1:10" x14ac:dyDescent="0.2">
      <c r="A18" s="592"/>
      <c r="B18" s="591"/>
      <c r="C18" s="591"/>
      <c r="D18" s="591"/>
      <c r="E18" s="591"/>
      <c r="F18" s="591"/>
      <c r="G18" s="591"/>
      <c r="H18" s="591"/>
      <c r="I18" s="591"/>
      <c r="J18" s="591"/>
    </row>
    <row r="19" spans="1:10" x14ac:dyDescent="0.2">
      <c r="A19" s="592" t="s">
        <v>349</v>
      </c>
      <c r="B19" s="591"/>
      <c r="C19" s="591"/>
      <c r="D19" s="591"/>
      <c r="E19" s="591"/>
      <c r="F19" s="591"/>
      <c r="G19" s="591"/>
      <c r="H19" s="591"/>
      <c r="I19" s="591"/>
      <c r="J19" s="591"/>
    </row>
    <row r="20" spans="1:10" ht="38.25" x14ac:dyDescent="0.2">
      <c r="A20" s="592" t="s">
        <v>327</v>
      </c>
      <c r="B20" s="591"/>
      <c r="C20" s="591"/>
      <c r="D20" s="591"/>
      <c r="E20" s="591"/>
      <c r="F20" s="591"/>
      <c r="G20" s="591"/>
      <c r="H20" s="591"/>
      <c r="I20" s="591"/>
      <c r="J20" s="591"/>
    </row>
    <row r="21" spans="1:10" x14ac:dyDescent="0.2">
      <c r="A21" s="592" t="s">
        <v>343</v>
      </c>
      <c r="B21" s="591"/>
      <c r="C21" s="591"/>
      <c r="D21" s="591"/>
      <c r="E21" s="591"/>
      <c r="F21" s="591"/>
      <c r="G21" s="591"/>
      <c r="H21" s="591"/>
      <c r="I21" s="591"/>
      <c r="J21" s="591"/>
    </row>
    <row r="22" spans="1:10" x14ac:dyDescent="0.2">
      <c r="A22" s="597" t="s">
        <v>444</v>
      </c>
      <c r="B22" s="591"/>
      <c r="C22" s="591"/>
      <c r="D22" s="591"/>
      <c r="E22" s="591"/>
      <c r="F22" s="591"/>
      <c r="G22" s="591"/>
      <c r="H22" s="591"/>
      <c r="I22" s="591"/>
      <c r="J22" s="591"/>
    </row>
    <row r="23" spans="1:10" x14ac:dyDescent="0.2">
      <c r="A23" s="597" t="s">
        <v>445</v>
      </c>
      <c r="B23" s="591"/>
      <c r="C23" s="591"/>
      <c r="D23" s="591"/>
      <c r="E23" s="591"/>
      <c r="F23" s="591"/>
      <c r="G23" s="591"/>
      <c r="H23" s="591"/>
      <c r="I23" s="591"/>
      <c r="J23" s="591"/>
    </row>
    <row r="24" spans="1:10" x14ac:dyDescent="0.2">
      <c r="A24" s="592" t="s">
        <v>344</v>
      </c>
      <c r="B24" s="591"/>
      <c r="C24" s="591"/>
      <c r="D24" s="591"/>
      <c r="E24" s="591"/>
      <c r="F24" s="591"/>
      <c r="G24" s="591"/>
      <c r="H24" s="591"/>
      <c r="I24" s="591"/>
      <c r="J24" s="591"/>
    </row>
    <row r="25" spans="1:10" ht="25.5" x14ac:dyDescent="0.2">
      <c r="A25" s="592" t="s">
        <v>328</v>
      </c>
      <c r="B25" s="591"/>
      <c r="C25" s="591"/>
      <c r="D25" s="591"/>
      <c r="E25" s="591"/>
      <c r="F25" s="591"/>
      <c r="G25" s="591"/>
      <c r="H25" s="591"/>
      <c r="I25" s="591"/>
      <c r="J25" s="591"/>
    </row>
    <row r="26" spans="1:10" ht="38.25" x14ac:dyDescent="0.2">
      <c r="A26" s="592" t="s">
        <v>338</v>
      </c>
      <c r="B26" s="591"/>
      <c r="C26" s="591"/>
      <c r="D26" s="591"/>
      <c r="E26" s="591"/>
      <c r="F26" s="591"/>
      <c r="G26" s="591"/>
      <c r="H26" s="591"/>
      <c r="I26" s="591"/>
      <c r="J26" s="591"/>
    </row>
    <row r="27" spans="1:10" x14ac:dyDescent="0.2">
      <c r="A27" s="592"/>
      <c r="B27" s="591"/>
      <c r="C27" s="591"/>
      <c r="D27" s="591"/>
      <c r="E27" s="591"/>
      <c r="F27" s="591"/>
      <c r="G27" s="591"/>
      <c r="H27" s="591"/>
      <c r="I27" s="591"/>
      <c r="J27" s="591"/>
    </row>
    <row r="28" spans="1:10" x14ac:dyDescent="0.2">
      <c r="A28" s="592" t="s">
        <v>350</v>
      </c>
      <c r="B28" s="591"/>
      <c r="C28" s="591"/>
      <c r="D28" s="591"/>
      <c r="E28" s="591"/>
      <c r="F28" s="591"/>
      <c r="G28" s="591"/>
      <c r="H28" s="591"/>
      <c r="I28" s="591"/>
      <c r="J28" s="591"/>
    </row>
    <row r="29" spans="1:10" ht="76.5" x14ac:dyDescent="0.2">
      <c r="A29" s="592" t="s">
        <v>329</v>
      </c>
      <c r="B29" s="591"/>
      <c r="C29" s="591"/>
      <c r="D29" s="591"/>
      <c r="E29" s="591"/>
      <c r="F29" s="591"/>
      <c r="G29" s="591"/>
      <c r="H29" s="591"/>
      <c r="I29" s="591"/>
      <c r="J29" s="591"/>
    </row>
    <row r="30" spans="1:10" x14ac:dyDescent="0.2">
      <c r="A30" s="592"/>
      <c r="B30" s="591"/>
      <c r="C30" s="591"/>
      <c r="D30" s="591"/>
      <c r="E30" s="591"/>
      <c r="F30" s="591"/>
      <c r="G30" s="591"/>
      <c r="H30" s="591"/>
      <c r="I30" s="591"/>
      <c r="J30" s="591"/>
    </row>
    <row r="31" spans="1:10" x14ac:dyDescent="0.2">
      <c r="A31" s="592" t="s">
        <v>351</v>
      </c>
      <c r="B31" s="591"/>
      <c r="C31" s="591"/>
      <c r="D31" s="591"/>
      <c r="E31" s="591"/>
      <c r="F31" s="591"/>
      <c r="G31" s="591"/>
      <c r="H31" s="591"/>
      <c r="I31" s="591"/>
      <c r="J31" s="591"/>
    </row>
    <row r="32" spans="1:10" ht="25.5" x14ac:dyDescent="0.2">
      <c r="A32" s="592" t="s">
        <v>330</v>
      </c>
      <c r="B32" s="591"/>
      <c r="C32" s="591"/>
      <c r="D32" s="591"/>
      <c r="E32" s="591"/>
      <c r="F32" s="591"/>
      <c r="G32" s="591"/>
      <c r="H32" s="591"/>
      <c r="I32" s="591"/>
      <c r="J32" s="591"/>
    </row>
    <row r="33" spans="1:1" x14ac:dyDescent="0.2">
      <c r="A33" s="593" t="s">
        <v>331</v>
      </c>
    </row>
    <row r="34" spans="1:1" x14ac:dyDescent="0.2">
      <c r="A34" s="593"/>
    </row>
    <row r="35" spans="1:1" x14ac:dyDescent="0.2">
      <c r="A35" s="593" t="s">
        <v>352</v>
      </c>
    </row>
    <row r="36" spans="1:1" ht="25.5" x14ac:dyDescent="0.2">
      <c r="A36" s="593" t="s">
        <v>332</v>
      </c>
    </row>
    <row r="37" spans="1:1" x14ac:dyDescent="0.2">
      <c r="A37" s="593"/>
    </row>
    <row r="38" spans="1:1" x14ac:dyDescent="0.2">
      <c r="A38" s="593" t="s">
        <v>353</v>
      </c>
    </row>
    <row r="39" spans="1:1" ht="38.25" x14ac:dyDescent="0.2">
      <c r="A39" s="593" t="s">
        <v>333</v>
      </c>
    </row>
    <row r="40" spans="1:1" x14ac:dyDescent="0.2">
      <c r="A40" s="593"/>
    </row>
    <row r="41" spans="1:1" x14ac:dyDescent="0.2">
      <c r="A41" s="593" t="s">
        <v>336</v>
      </c>
    </row>
    <row r="42" spans="1:1" x14ac:dyDescent="0.2">
      <c r="A42" s="593" t="s">
        <v>334</v>
      </c>
    </row>
    <row r="43" spans="1:1" x14ac:dyDescent="0.2">
      <c r="A43" s="593"/>
    </row>
    <row r="44" spans="1:1" x14ac:dyDescent="0.2">
      <c r="A44" s="596" t="s">
        <v>335</v>
      </c>
    </row>
  </sheetData>
  <pageMargins left="0.78740157480314965" right="0.39370078740157483" top="0.78740157480314965" bottom="0.39370078740157483" header="0.78740157480314965" footer="0"/>
  <pageSetup paperSize="9" fitToHeight="0" orientation="portrait" verticalDpi="1200" r:id="rId1"/>
  <headerFooter>
    <oddHeader>&amp;R&amp;9&amp;P. leht &amp;N&amp; -st</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workbookViewId="0">
      <selection activeCell="H1" sqref="H1"/>
    </sheetView>
  </sheetViews>
  <sheetFormatPr defaultRowHeight="12.75" x14ac:dyDescent="0.2"/>
  <cols>
    <col min="1" max="16384" width="9.140625" style="1"/>
  </cols>
  <sheetData>
    <row r="1" spans="1:2" x14ac:dyDescent="0.2">
      <c r="A1" s="1">
        <v>0</v>
      </c>
      <c r="B1" s="2">
        <v>0</v>
      </c>
    </row>
    <row r="2" spans="1:2" x14ac:dyDescent="0.2">
      <c r="A2" s="1">
        <v>1</v>
      </c>
      <c r="B2" s="2" t="s">
        <v>0</v>
      </c>
    </row>
    <row r="3" spans="1:2" x14ac:dyDescent="0.2">
      <c r="A3" s="1">
        <v>2</v>
      </c>
      <c r="B3" s="2" t="s">
        <v>1</v>
      </c>
    </row>
    <row r="4" spans="1:2" x14ac:dyDescent="0.2">
      <c r="A4" s="1">
        <v>3</v>
      </c>
      <c r="B4" s="2" t="s">
        <v>2</v>
      </c>
    </row>
    <row r="5" spans="1:2" x14ac:dyDescent="0.2">
      <c r="A5" s="1">
        <v>4</v>
      </c>
      <c r="B5" s="2" t="s">
        <v>3</v>
      </c>
    </row>
    <row r="6" spans="1:2" x14ac:dyDescent="0.2">
      <c r="A6" s="1">
        <v>5</v>
      </c>
      <c r="B6" s="2" t="s">
        <v>4</v>
      </c>
    </row>
    <row r="7" spans="1:2" x14ac:dyDescent="0.2">
      <c r="A7" s="1">
        <v>6</v>
      </c>
      <c r="B7" s="2" t="s">
        <v>5</v>
      </c>
    </row>
    <row r="8" spans="1:2" x14ac:dyDescent="0.2">
      <c r="A8" s="1">
        <v>7</v>
      </c>
      <c r="B8" s="2" t="s">
        <v>6</v>
      </c>
    </row>
    <row r="9" spans="1:2" x14ac:dyDescent="0.2">
      <c r="A9" s="1">
        <v>8</v>
      </c>
      <c r="B9" s="2" t="s">
        <v>2</v>
      </c>
    </row>
    <row r="10" spans="1:2" x14ac:dyDescent="0.2">
      <c r="A10" s="1">
        <v>9</v>
      </c>
      <c r="B10" s="2" t="s">
        <v>3</v>
      </c>
    </row>
    <row r="11" spans="1:2" x14ac:dyDescent="0.2">
      <c r="A11" s="1">
        <v>10</v>
      </c>
      <c r="B11" s="2" t="s">
        <v>4</v>
      </c>
    </row>
    <row r="12" spans="1:2" x14ac:dyDescent="0.2">
      <c r="A12" s="1">
        <v>11</v>
      </c>
      <c r="B12" s="2" t="s">
        <v>5</v>
      </c>
    </row>
    <row r="13" spans="1:2" x14ac:dyDescent="0.2">
      <c r="A13" s="1">
        <v>12</v>
      </c>
      <c r="B13" s="2" t="s">
        <v>6</v>
      </c>
    </row>
    <row r="14" spans="1:2" x14ac:dyDescent="0.2">
      <c r="A14" s="1">
        <v>13</v>
      </c>
      <c r="B14" s="2" t="s">
        <v>7</v>
      </c>
    </row>
    <row r="15" spans="1:2" x14ac:dyDescent="0.2">
      <c r="A15" s="1">
        <v>14</v>
      </c>
      <c r="B15" s="2" t="s">
        <v>8</v>
      </c>
    </row>
    <row r="16" spans="1:2" x14ac:dyDescent="0.2">
      <c r="A16" s="1">
        <v>15</v>
      </c>
      <c r="B16" s="2" t="s">
        <v>9</v>
      </c>
    </row>
    <row r="17" spans="1:2" x14ac:dyDescent="0.2">
      <c r="A17" s="1">
        <v>16</v>
      </c>
      <c r="B17" s="2" t="s">
        <v>10</v>
      </c>
    </row>
    <row r="18" spans="1:2" x14ac:dyDescent="0.2">
      <c r="A18" s="1">
        <v>17</v>
      </c>
      <c r="B18" s="2" t="s">
        <v>11</v>
      </c>
    </row>
    <row r="19" spans="1:2" x14ac:dyDescent="0.2">
      <c r="A19" s="1">
        <v>18</v>
      </c>
      <c r="B19" s="2" t="s">
        <v>12</v>
      </c>
    </row>
    <row r="20" spans="1:2" x14ac:dyDescent="0.2">
      <c r="A20" s="1">
        <v>19</v>
      </c>
      <c r="B20" s="2" t="s">
        <v>13</v>
      </c>
    </row>
    <row r="21" spans="1:2" x14ac:dyDescent="0.2">
      <c r="A21" s="1">
        <v>20</v>
      </c>
      <c r="B21" s="2" t="s">
        <v>14</v>
      </c>
    </row>
    <row r="22" spans="1:2" x14ac:dyDescent="0.2">
      <c r="A22" s="1">
        <v>21</v>
      </c>
      <c r="B22" s="2" t="s">
        <v>15</v>
      </c>
    </row>
    <row r="23" spans="1:2" x14ac:dyDescent="0.2">
      <c r="A23" s="1">
        <v>22</v>
      </c>
      <c r="B23" s="2" t="s">
        <v>16</v>
      </c>
    </row>
    <row r="24" spans="1:2" x14ac:dyDescent="0.2">
      <c r="A24" s="1">
        <v>23</v>
      </c>
      <c r="B24" s="2" t="s">
        <v>17</v>
      </c>
    </row>
    <row r="25" spans="1:2" x14ac:dyDescent="0.2">
      <c r="A25" s="1">
        <v>24</v>
      </c>
      <c r="B25" s="2" t="s">
        <v>18</v>
      </c>
    </row>
    <row r="26" spans="1:2" x14ac:dyDescent="0.2">
      <c r="A26" s="1">
        <v>25</v>
      </c>
      <c r="B26" s="2" t="s">
        <v>19</v>
      </c>
    </row>
    <row r="27" spans="1:2" x14ac:dyDescent="0.2">
      <c r="A27" s="1">
        <v>26</v>
      </c>
      <c r="B27" s="2" t="s">
        <v>20</v>
      </c>
    </row>
    <row r="28" spans="1:2" x14ac:dyDescent="0.2">
      <c r="A28" s="1">
        <v>27</v>
      </c>
      <c r="B28" s="2" t="s">
        <v>21</v>
      </c>
    </row>
    <row r="29" spans="1:2" x14ac:dyDescent="0.2">
      <c r="A29" s="1">
        <v>28</v>
      </c>
      <c r="B29" s="2" t="s">
        <v>22</v>
      </c>
    </row>
    <row r="30" spans="1:2" x14ac:dyDescent="0.2">
      <c r="A30" s="1">
        <v>29</v>
      </c>
      <c r="B30" s="2" t="s">
        <v>23</v>
      </c>
    </row>
    <row r="31" spans="1:2" x14ac:dyDescent="0.2">
      <c r="A31" s="1">
        <v>30</v>
      </c>
      <c r="B31" s="2" t="s">
        <v>24</v>
      </c>
    </row>
    <row r="32" spans="1:2" x14ac:dyDescent="0.2">
      <c r="A32" s="1">
        <v>31</v>
      </c>
      <c r="B32" s="2" t="s">
        <v>25</v>
      </c>
    </row>
    <row r="33" spans="1:2" x14ac:dyDescent="0.2">
      <c r="B33" s="1" t="s">
        <v>26</v>
      </c>
    </row>
    <row r="34" spans="1:2" x14ac:dyDescent="0.2">
      <c r="A34" s="1" t="s">
        <v>27</v>
      </c>
    </row>
    <row r="36" spans="1:2" x14ac:dyDescent="0.2">
      <c r="A36" s="1" t="s">
        <v>28</v>
      </c>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H1" sqref="H1"/>
    </sheetView>
  </sheetViews>
  <sheetFormatPr defaultRowHeight="12.75" x14ac:dyDescent="0.2"/>
  <sheetData>
    <row r="1" spans="1:9" x14ac:dyDescent="0.2">
      <c r="A1" s="4">
        <v>40</v>
      </c>
      <c r="E1" t="s">
        <v>29</v>
      </c>
    </row>
    <row r="2" spans="1:9" x14ac:dyDescent="0.2">
      <c r="A2" s="4">
        <v>34</v>
      </c>
    </row>
    <row r="3" spans="1:9" x14ac:dyDescent="0.2">
      <c r="A3" s="4">
        <v>30</v>
      </c>
      <c r="E3" s="3" t="s">
        <v>30</v>
      </c>
      <c r="F3" s="3"/>
      <c r="G3" s="3"/>
      <c r="H3" s="3"/>
      <c r="I3" s="3"/>
    </row>
    <row r="4" spans="1:9" x14ac:dyDescent="0.2">
      <c r="A4" s="4">
        <v>26</v>
      </c>
    </row>
    <row r="5" spans="1:9" x14ac:dyDescent="0.2">
      <c r="A5" s="4">
        <v>24</v>
      </c>
    </row>
    <row r="6" spans="1:9" x14ac:dyDescent="0.2">
      <c r="A6" s="4">
        <v>22</v>
      </c>
    </row>
    <row r="7" spans="1:9" x14ac:dyDescent="0.2">
      <c r="A7" s="4">
        <v>20</v>
      </c>
    </row>
    <row r="8" spans="1:9" x14ac:dyDescent="0.2">
      <c r="A8" s="4">
        <v>18</v>
      </c>
    </row>
    <row r="9" spans="1:9" x14ac:dyDescent="0.2">
      <c r="A9" s="4">
        <v>16</v>
      </c>
    </row>
    <row r="10" spans="1:9" x14ac:dyDescent="0.2">
      <c r="A10" s="4">
        <v>14</v>
      </c>
    </row>
    <row r="11" spans="1:9" x14ac:dyDescent="0.2">
      <c r="A11" s="4">
        <v>12</v>
      </c>
    </row>
    <row r="12" spans="1:9" x14ac:dyDescent="0.2">
      <c r="A12" s="4">
        <v>10</v>
      </c>
    </row>
    <row r="13" spans="1:9" x14ac:dyDescent="0.2">
      <c r="A13" s="4">
        <v>8</v>
      </c>
    </row>
    <row r="14" spans="1:9" x14ac:dyDescent="0.2">
      <c r="A14" s="4">
        <v>6</v>
      </c>
    </row>
    <row r="15" spans="1:9" x14ac:dyDescent="0.2">
      <c r="A15" s="4">
        <v>4</v>
      </c>
    </row>
    <row r="16" spans="1:9" x14ac:dyDescent="0.2">
      <c r="A16" s="4">
        <v>2</v>
      </c>
    </row>
    <row r="17" spans="1:2" x14ac:dyDescent="0.2">
      <c r="A17" s="4">
        <v>1</v>
      </c>
    </row>
    <row r="18" spans="1:2" x14ac:dyDescent="0.2">
      <c r="A18" s="5">
        <v>0</v>
      </c>
      <c r="B18" t="s">
        <v>31</v>
      </c>
    </row>
    <row r="19" spans="1:2" x14ac:dyDescent="0.2">
      <c r="A19" s="5" t="s">
        <v>32</v>
      </c>
      <c r="B19" t="s">
        <v>33</v>
      </c>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H1" sqref="H1"/>
    </sheetView>
  </sheetViews>
  <sheetFormatPr defaultRowHeight="12.75" x14ac:dyDescent="0.2"/>
  <sheetData>
    <row r="1" spans="1:9" x14ac:dyDescent="0.2">
      <c r="A1" s="4">
        <v>20</v>
      </c>
      <c r="E1" t="s">
        <v>34</v>
      </c>
    </row>
    <row r="2" spans="1:9" x14ac:dyDescent="0.2">
      <c r="A2" s="4">
        <v>19</v>
      </c>
    </row>
    <row r="3" spans="1:9" x14ac:dyDescent="0.2">
      <c r="A3" s="4">
        <v>18</v>
      </c>
      <c r="E3" s="3" t="s">
        <v>30</v>
      </c>
      <c r="F3" s="3"/>
      <c r="G3" s="3"/>
      <c r="H3" s="3"/>
      <c r="I3" s="3"/>
    </row>
    <row r="4" spans="1:9" x14ac:dyDescent="0.2">
      <c r="A4" s="4">
        <v>17</v>
      </c>
    </row>
    <row r="5" spans="1:9" x14ac:dyDescent="0.2">
      <c r="A5" s="4">
        <v>16</v>
      </c>
    </row>
    <row r="6" spans="1:9" x14ac:dyDescent="0.2">
      <c r="A6" s="4">
        <v>15</v>
      </c>
    </row>
    <row r="7" spans="1:9" x14ac:dyDescent="0.2">
      <c r="A7" s="4">
        <v>14</v>
      </c>
    </row>
    <row r="8" spans="1:9" x14ac:dyDescent="0.2">
      <c r="A8" s="4">
        <v>13</v>
      </c>
    </row>
    <row r="9" spans="1:9" x14ac:dyDescent="0.2">
      <c r="A9" s="4">
        <v>12</v>
      </c>
    </row>
    <row r="10" spans="1:9" x14ac:dyDescent="0.2">
      <c r="A10" s="4">
        <v>11</v>
      </c>
    </row>
    <row r="11" spans="1:9" x14ac:dyDescent="0.2">
      <c r="A11" s="4">
        <v>10</v>
      </c>
    </row>
    <row r="12" spans="1:9" x14ac:dyDescent="0.2">
      <c r="A12" s="4">
        <v>9</v>
      </c>
    </row>
    <row r="13" spans="1:9" x14ac:dyDescent="0.2">
      <c r="A13" s="4">
        <v>8</v>
      </c>
    </row>
    <row r="14" spans="1:9" x14ac:dyDescent="0.2">
      <c r="A14" s="4">
        <v>7</v>
      </c>
    </row>
    <row r="15" spans="1:9" x14ac:dyDescent="0.2">
      <c r="A15" s="4">
        <v>6</v>
      </c>
    </row>
    <row r="16" spans="1:9" x14ac:dyDescent="0.2">
      <c r="A16" s="4">
        <v>5</v>
      </c>
    </row>
    <row r="17" spans="1:2" x14ac:dyDescent="0.2">
      <c r="A17" s="4">
        <v>4</v>
      </c>
    </row>
    <row r="18" spans="1:2" x14ac:dyDescent="0.2">
      <c r="A18" s="4">
        <v>3</v>
      </c>
    </row>
    <row r="19" spans="1:2" x14ac:dyDescent="0.2">
      <c r="A19" s="4">
        <v>2</v>
      </c>
    </row>
    <row r="20" spans="1:2" x14ac:dyDescent="0.2">
      <c r="A20" s="4">
        <v>1</v>
      </c>
    </row>
    <row r="21" spans="1:2" x14ac:dyDescent="0.2">
      <c r="A21" s="4">
        <v>0</v>
      </c>
      <c r="B21" t="s">
        <v>31</v>
      </c>
    </row>
    <row r="22" spans="1:2" x14ac:dyDescent="0.2">
      <c r="A22" s="4" t="s">
        <v>32</v>
      </c>
      <c r="B22" t="s">
        <v>33</v>
      </c>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12"/>
  <sheetViews>
    <sheetView showGridLines="0" topLeftCell="AC1" workbookViewId="0">
      <pane ySplit="1" topLeftCell="A2" activePane="bottomLeft" state="frozen"/>
      <selection pane="bottomLeft" activeCell="AH7" sqref="AH7:AH19"/>
    </sheetView>
  </sheetViews>
  <sheetFormatPr defaultRowHeight="12.75" x14ac:dyDescent="0.2"/>
  <cols>
    <col min="1" max="1" width="3.28515625" customWidth="1"/>
    <col min="2" max="2" width="33.28515625" customWidth="1"/>
    <col min="3" max="3" width="4.7109375" customWidth="1"/>
    <col min="4" max="4" width="1.140625" customWidth="1"/>
    <col min="5" max="5" width="2.7109375" customWidth="1"/>
    <col min="7" max="7" width="2.7109375" customWidth="1"/>
    <col min="8" max="8" width="1.140625" customWidth="1"/>
    <col min="9" max="9" width="2.7109375" customWidth="1"/>
    <col min="11" max="11" width="2.7109375" customWidth="1"/>
    <col min="12" max="12" width="1.140625" customWidth="1"/>
    <col min="13" max="13" width="2.7109375" customWidth="1"/>
    <col min="15" max="15" width="2.7109375" customWidth="1"/>
    <col min="16" max="16" width="1.140625" customWidth="1"/>
    <col min="17" max="17" width="2.7109375" customWidth="1"/>
    <col min="19" max="19" width="2.7109375" customWidth="1"/>
    <col min="20" max="20" width="1.140625" customWidth="1"/>
    <col min="21" max="21" width="2.7109375" customWidth="1"/>
    <col min="23" max="23" width="5.7109375" customWidth="1"/>
    <col min="24" max="24" width="5.5703125" bestFit="1" customWidth="1"/>
    <col min="25" max="25" width="2.7109375" customWidth="1"/>
    <col min="26" max="26" width="1.140625" customWidth="1"/>
    <col min="27" max="27" width="2.7109375" customWidth="1"/>
    <col min="28" max="28" width="4.7109375" customWidth="1"/>
    <col min="32" max="32" width="16.5703125" bestFit="1" customWidth="1"/>
    <col min="34" max="34" width="13.85546875" bestFit="1" customWidth="1"/>
    <col min="36" max="36" width="17.28515625" bestFit="1" customWidth="1"/>
    <col min="38" max="38" width="13.85546875" bestFit="1" customWidth="1"/>
    <col min="40" max="40" width="17.28515625" bestFit="1" customWidth="1"/>
    <col min="42" max="42" width="13.85546875" bestFit="1" customWidth="1"/>
  </cols>
  <sheetData>
    <row r="1" spans="1:42" x14ac:dyDescent="0.2">
      <c r="A1" s="400" t="str">
        <f>UPPER((Kalend!E9)&amp;" - "&amp;(Kalend!C9))&amp;" - "&amp;LOWER(Kalend!D9)&amp;" - "&amp;(Kalend!A9)&amp;" kell "&amp;(Kalend!B9)&amp;" - "&amp;(Kalend!F9)</f>
        <v>V3 - VOKA III SISE-KV 3. ETAPP - duo - P, 10.11.2019 kell 11:00 - Voka petangihall</v>
      </c>
      <c r="F1" s="409"/>
      <c r="G1" s="409"/>
      <c r="H1" s="409"/>
      <c r="I1" s="409"/>
      <c r="J1" s="409"/>
      <c r="K1" s="409"/>
      <c r="L1" s="70"/>
      <c r="M1" s="409"/>
      <c r="N1" s="409"/>
      <c r="O1" s="271"/>
      <c r="P1" s="271"/>
      <c r="Q1" s="312"/>
      <c r="R1" s="312"/>
      <c r="S1" s="312"/>
      <c r="T1" s="70"/>
      <c r="U1" s="70"/>
      <c r="V1" s="70"/>
      <c r="W1" s="271"/>
      <c r="X1" s="532"/>
      <c r="Y1" s="271"/>
      <c r="Z1" s="271"/>
      <c r="AC1" s="1"/>
      <c r="AD1" s="152" t="s">
        <v>94</v>
      </c>
      <c r="AE1" s="402"/>
      <c r="AF1" s="402"/>
      <c r="AG1" s="402"/>
      <c r="AH1" s="402"/>
      <c r="AI1" s="402"/>
      <c r="AJ1" s="402"/>
      <c r="AK1" s="402"/>
      <c r="AL1" s="402"/>
      <c r="AM1" s="402"/>
      <c r="AN1" s="402"/>
      <c r="AO1" s="532"/>
      <c r="AP1" s="532"/>
    </row>
    <row r="2" spans="1:42" x14ac:dyDescent="0.2">
      <c r="A2" s="1"/>
      <c r="B2" s="1"/>
      <c r="C2" s="1"/>
      <c r="D2" s="1"/>
      <c r="E2" s="1"/>
      <c r="F2" s="409"/>
      <c r="G2" s="409"/>
      <c r="H2" s="409"/>
      <c r="I2" s="409"/>
      <c r="J2" s="409"/>
      <c r="K2" s="409"/>
      <c r="L2" s="409"/>
      <c r="M2" s="409"/>
      <c r="N2" s="409"/>
      <c r="O2" s="271"/>
      <c r="P2" s="271"/>
      <c r="Q2" s="271"/>
      <c r="R2" s="271"/>
      <c r="S2" s="271"/>
      <c r="T2" s="409"/>
      <c r="U2" s="409"/>
      <c r="V2" s="410" t="s">
        <v>253</v>
      </c>
      <c r="W2" s="411">
        <v>1</v>
      </c>
      <c r="X2" s="1"/>
      <c r="Y2" s="412" t="s">
        <v>254</v>
      </c>
      <c r="Z2" s="271"/>
      <c r="AA2" s="1"/>
      <c r="AB2" s="1"/>
      <c r="AC2" s="1"/>
      <c r="AD2" s="271"/>
      <c r="AE2" s="271"/>
      <c r="AF2" s="271"/>
      <c r="AG2" s="271"/>
      <c r="AH2" s="271"/>
      <c r="AI2" s="271"/>
      <c r="AJ2" s="412"/>
      <c r="AK2" s="271"/>
      <c r="AL2" s="271"/>
      <c r="AM2" s="271"/>
      <c r="AN2" s="271"/>
      <c r="AO2" s="1"/>
      <c r="AP2" s="1"/>
    </row>
    <row r="3" spans="1:42" x14ac:dyDescent="0.2">
      <c r="A3" s="1"/>
      <c r="B3" s="1"/>
      <c r="C3" s="1"/>
      <c r="D3" s="1"/>
      <c r="E3" s="1"/>
      <c r="F3" s="271"/>
      <c r="G3" s="1"/>
      <c r="H3" s="1"/>
      <c r="I3" s="1"/>
      <c r="J3" s="1"/>
      <c r="K3" s="1"/>
      <c r="L3" s="409"/>
      <c r="M3" s="409"/>
      <c r="N3" s="409"/>
      <c r="O3" s="271"/>
      <c r="P3" s="271"/>
      <c r="Q3" s="271"/>
      <c r="R3" s="271"/>
      <c r="S3" s="271"/>
      <c r="T3" s="409"/>
      <c r="U3" s="409"/>
      <c r="V3" s="413" t="s">
        <v>255</v>
      </c>
      <c r="W3" s="411">
        <v>0.5</v>
      </c>
      <c r="X3" s="1"/>
      <c r="Y3" s="412" t="s">
        <v>254</v>
      </c>
      <c r="Z3" s="271"/>
      <c r="AA3" s="1"/>
      <c r="AB3" s="1"/>
      <c r="AC3" s="1"/>
      <c r="AD3" s="1"/>
      <c r="AE3" s="271"/>
      <c r="AF3" s="1"/>
      <c r="AG3" s="271"/>
      <c r="AH3" s="271"/>
      <c r="AI3" s="271"/>
      <c r="AJ3" s="271"/>
      <c r="AK3" s="271"/>
      <c r="AL3" s="271"/>
      <c r="AM3" s="271"/>
      <c r="AN3" s="271"/>
      <c r="AO3" s="1"/>
      <c r="AP3" s="1"/>
    </row>
    <row r="4" spans="1:42" x14ac:dyDescent="0.2">
      <c r="A4" s="1"/>
      <c r="B4" s="1"/>
      <c r="C4" s="1"/>
      <c r="D4" s="1"/>
      <c r="E4" s="1"/>
      <c r="F4" s="271"/>
      <c r="G4" s="1"/>
      <c r="H4" s="1"/>
      <c r="I4" s="1"/>
      <c r="J4" s="1"/>
      <c r="K4" s="1"/>
      <c r="L4" s="271"/>
      <c r="M4" s="271"/>
      <c r="N4" s="271"/>
      <c r="O4" s="271"/>
      <c r="P4" s="271"/>
      <c r="Q4" s="271"/>
      <c r="R4" s="271"/>
      <c r="S4" s="271"/>
      <c r="T4" s="271"/>
      <c r="U4" s="271"/>
      <c r="V4" s="414" t="s">
        <v>256</v>
      </c>
      <c r="W4" s="411">
        <v>0</v>
      </c>
      <c r="X4" s="1"/>
      <c r="Y4" s="412" t="s">
        <v>254</v>
      </c>
      <c r="Z4" s="271"/>
      <c r="AA4" s="271"/>
      <c r="AB4" s="1"/>
      <c r="AC4" s="1"/>
      <c r="AD4" s="1"/>
      <c r="AE4" s="409"/>
      <c r="AF4" s="409"/>
      <c r="AG4" s="409"/>
      <c r="AH4" s="376"/>
      <c r="AI4" s="409"/>
      <c r="AJ4" s="409"/>
      <c r="AK4" s="409"/>
      <c r="AL4" s="409"/>
      <c r="AM4" s="409"/>
      <c r="AN4" s="409"/>
      <c r="AO4" s="409"/>
      <c r="AP4" s="409"/>
    </row>
    <row r="5" spans="1:42" x14ac:dyDescent="0.2">
      <c r="A5" s="1"/>
      <c r="B5" s="1"/>
      <c r="C5" s="1"/>
      <c r="D5" s="1"/>
      <c r="E5" s="1"/>
      <c r="F5" s="271"/>
      <c r="G5" s="1"/>
      <c r="H5" s="1"/>
      <c r="I5" s="1"/>
      <c r="J5" s="1"/>
      <c r="K5" s="1"/>
      <c r="L5" s="271"/>
      <c r="M5" s="271"/>
      <c r="N5" s="271"/>
      <c r="O5" s="271"/>
      <c r="P5" s="271"/>
      <c r="Q5" s="271"/>
      <c r="R5" s="271"/>
      <c r="S5" s="271"/>
      <c r="T5" s="271"/>
      <c r="U5" s="271"/>
      <c r="V5" s="271"/>
      <c r="W5" s="271"/>
      <c r="X5" s="271"/>
      <c r="Y5" s="271"/>
      <c r="Z5" s="271"/>
      <c r="AA5" s="967" t="s">
        <v>476</v>
      </c>
      <c r="AB5" s="1"/>
      <c r="AC5" s="271"/>
      <c r="AD5" s="964" t="s">
        <v>214</v>
      </c>
      <c r="AE5" s="1"/>
      <c r="AF5" s="1"/>
      <c r="AG5" s="1"/>
      <c r="AH5" s="1"/>
      <c r="AI5" s="1"/>
      <c r="AJ5" s="1"/>
      <c r="AK5" s="1"/>
      <c r="AL5" s="1"/>
      <c r="AM5" s="1"/>
      <c r="AN5" s="1"/>
      <c r="AO5" s="1"/>
      <c r="AP5" s="1"/>
    </row>
    <row r="6" spans="1:42" x14ac:dyDescent="0.2">
      <c r="A6" s="607" t="s">
        <v>10</v>
      </c>
      <c r="B6" s="607" t="s">
        <v>79</v>
      </c>
      <c r="C6" s="608" t="s">
        <v>171</v>
      </c>
      <c r="D6" s="609"/>
      <c r="E6" s="609"/>
      <c r="F6" s="610"/>
      <c r="G6" s="608" t="s">
        <v>174</v>
      </c>
      <c r="H6" s="609"/>
      <c r="I6" s="609"/>
      <c r="J6" s="610"/>
      <c r="K6" s="608" t="s">
        <v>177</v>
      </c>
      <c r="L6" s="609"/>
      <c r="M6" s="609"/>
      <c r="N6" s="610"/>
      <c r="O6" s="608" t="s">
        <v>180</v>
      </c>
      <c r="P6" s="609"/>
      <c r="Q6" s="609"/>
      <c r="R6" s="610"/>
      <c r="S6" s="608" t="s">
        <v>182</v>
      </c>
      <c r="T6" s="609"/>
      <c r="U6" s="609"/>
      <c r="V6" s="610"/>
      <c r="W6" s="607" t="s">
        <v>102</v>
      </c>
      <c r="X6" s="611" t="s">
        <v>361</v>
      </c>
      <c r="Y6" s="611"/>
      <c r="Z6" s="612" t="s">
        <v>362</v>
      </c>
      <c r="AA6" s="613"/>
      <c r="AB6" s="271"/>
      <c r="AC6" s="271"/>
      <c r="AD6" s="272" t="s">
        <v>370</v>
      </c>
      <c r="AE6" s="273"/>
      <c r="AF6" s="273" t="s">
        <v>249</v>
      </c>
      <c r="AG6" s="273"/>
      <c r="AH6" s="403" t="s">
        <v>250</v>
      </c>
      <c r="AI6" s="273"/>
      <c r="AJ6" s="273" t="s">
        <v>251</v>
      </c>
      <c r="AK6" s="274"/>
      <c r="AL6" s="273" t="s">
        <v>252</v>
      </c>
      <c r="AM6" s="274"/>
      <c r="AN6" s="274" t="s">
        <v>472</v>
      </c>
      <c r="AO6" s="945"/>
      <c r="AP6" s="274" t="s">
        <v>473</v>
      </c>
    </row>
    <row r="7" spans="1:42" x14ac:dyDescent="0.2">
      <c r="A7" s="614">
        <v>1</v>
      </c>
      <c r="B7" s="542"/>
      <c r="C7" s="615"/>
      <c r="D7" s="616" t="s">
        <v>363</v>
      </c>
      <c r="E7" s="617"/>
      <c r="F7" s="618"/>
      <c r="G7" s="615"/>
      <c r="H7" s="616" t="s">
        <v>363</v>
      </c>
      <c r="I7" s="617"/>
      <c r="J7" s="618"/>
      <c r="K7" s="615"/>
      <c r="L7" s="616" t="s">
        <v>363</v>
      </c>
      <c r="M7" s="617"/>
      <c r="N7" s="618"/>
      <c r="O7" s="615"/>
      <c r="P7" s="616" t="s">
        <v>363</v>
      </c>
      <c r="Q7" s="617"/>
      <c r="R7" s="618"/>
      <c r="S7" s="615"/>
      <c r="T7" s="616" t="s">
        <v>363</v>
      </c>
      <c r="U7" s="617"/>
      <c r="V7" s="618"/>
      <c r="W7" s="619">
        <f t="shared" ref="W7:W19" si="0">IF(C7&gt;E7,W$2,IF(C7&lt;E7,W$4,IF(ISNUMBER(C7),W$3,0)))+IF(G7&gt;I7,W$2,IF(G7&lt;I7,W$4,IF(ISNUMBER(G7),W$3,0)))+IF(K7&gt;M7,W$2,IF(K7&lt;M7,W$4,IF(ISNUMBER(K7),W$3,0)))+IF(O7&gt;Q7,W$2,IF(O7&lt;Q7,W$4,IF(ISNUMBER(O7),W$3,0)))+IF(S7&gt;U7,W$2,IF(S7&lt;U7,W$4,IF(ISNUMBER(S7),W$3,0)))</f>
        <v>0</v>
      </c>
      <c r="X7" s="620"/>
      <c r="Y7" s="615">
        <f>C7+G7+K7+O7+S7</f>
        <v>0</v>
      </c>
      <c r="Z7" s="616" t="s">
        <v>363</v>
      </c>
      <c r="AA7" s="621">
        <f>E7+I7+M7+Q7+U7</f>
        <v>0</v>
      </c>
      <c r="AB7" s="622">
        <f>Y7-AA7</f>
        <v>0</v>
      </c>
      <c r="AC7" s="1"/>
      <c r="AD7" s="405">
        <f>SUM(AE7:AP7)</f>
        <v>0</v>
      </c>
      <c r="AE7" s="406" t="str">
        <f>IFERROR(INDEX(V!$R:$R,MATCH(AF7,V!$L:$L,0)),"")</f>
        <v/>
      </c>
      <c r="AF7" s="407" t="str">
        <f>IFERROR(LEFT($B7,(FIND(",",$B7,1)-1)),"")</f>
        <v/>
      </c>
      <c r="AG7" s="406" t="str">
        <f>IFERROR(INDEX(V!$R:$R,MATCH(AH7,V!$L:$L,0)),"")</f>
        <v/>
      </c>
      <c r="AH7" s="407" t="str">
        <f>IFERROR(MID($B7,FIND(", ",$B7)+2,256),"")</f>
        <v/>
      </c>
      <c r="AI7" s="406" t="str">
        <f>IFERROR(INDEX(V!$R:$R,MATCH(AJ7,V!$L:$L,0)),"")</f>
        <v/>
      </c>
      <c r="AJ7" s="407" t="str">
        <f>IFERROR(MID($B7,FIND("^",SUBSTITUTE($B7,", ","^",1))+2,FIND("^",SUBSTITUTE($B7,", ","^",2))-FIND("^",SUBSTITUTE($B7,", ","^",1))-2),"")</f>
        <v/>
      </c>
      <c r="AK7" s="406" t="str">
        <f>IFERROR(INDEX(V!$R:$R,MATCH(AL7,V!$L:$L,0)),"")</f>
        <v/>
      </c>
      <c r="AL7" s="407" t="str">
        <f>IFERROR(MID($B7,FIND(", ",$B7,FIND(", ",$B7,FIND(", ",$B7))+1)+2,30000),"")</f>
        <v/>
      </c>
      <c r="AM7" s="406" t="str">
        <f>IFERROR(INDEX(V!$R:$R,MATCH(AN7,V!$L:$L,0)),"")</f>
        <v/>
      </c>
      <c r="AN7" s="407" t="str">
        <f>IFERROR(MID($B7,FIND(", ",$B7,FIND(", ",$B7)+1)+2,FIND(", ",$B7,FIND(", ",$B7,FIND(", ",$B7)+1)+1)-FIND(", ",$B7,FIND(", ",$B7)+1)-2),"")</f>
        <v/>
      </c>
      <c r="AO7" s="406" t="str">
        <f>IFERROR(INDEX(V!$R:$R,MATCH(AP7,V!$L:$L,0)),"")</f>
        <v/>
      </c>
      <c r="AP7" s="407" t="str">
        <f>IFERROR(MID($B7,FIND(", ",$B7,FIND(", ",$B7,FIND(", ",$B7)+1)+1)+2,30000),"")</f>
        <v/>
      </c>
    </row>
    <row r="8" spans="1:42" x14ac:dyDescent="0.2">
      <c r="A8" s="614">
        <v>2</v>
      </c>
      <c r="B8" s="542"/>
      <c r="C8" s="615"/>
      <c r="D8" s="616" t="s">
        <v>363</v>
      </c>
      <c r="E8" s="617"/>
      <c r="F8" s="618"/>
      <c r="G8" s="615"/>
      <c r="H8" s="616" t="s">
        <v>363</v>
      </c>
      <c r="I8" s="617"/>
      <c r="J8" s="618"/>
      <c r="K8" s="615"/>
      <c r="L8" s="616" t="s">
        <v>363</v>
      </c>
      <c r="M8" s="617"/>
      <c r="N8" s="618"/>
      <c r="O8" s="615"/>
      <c r="P8" s="616" t="s">
        <v>363</v>
      </c>
      <c r="Q8" s="617"/>
      <c r="R8" s="618"/>
      <c r="S8" s="615"/>
      <c r="T8" s="616" t="s">
        <v>363</v>
      </c>
      <c r="U8" s="617"/>
      <c r="V8" s="618"/>
      <c r="W8" s="619">
        <f t="shared" si="0"/>
        <v>0</v>
      </c>
      <c r="X8" s="620"/>
      <c r="Y8" s="615">
        <f t="shared" ref="Y8:Y19" si="1">C8+G8+K8+O8+S8</f>
        <v>0</v>
      </c>
      <c r="Z8" s="616" t="s">
        <v>363</v>
      </c>
      <c r="AA8" s="621">
        <f t="shared" ref="AA8:AA19" si="2">E8+I8+M8+Q8+U8</f>
        <v>0</v>
      </c>
      <c r="AB8" s="622">
        <f t="shared" ref="AB8:AB19" si="3">Y8-AA8</f>
        <v>0</v>
      </c>
      <c r="AC8" s="404"/>
      <c r="AD8" s="405">
        <f t="shared" ref="AD8:AD19" si="4">SUM(AE8:AL8)</f>
        <v>0</v>
      </c>
      <c r="AE8" s="406" t="str">
        <f>IFERROR(INDEX(V!$R:$R,MATCH(AF8,V!$L:$L,0)),"")</f>
        <v/>
      </c>
      <c r="AF8" s="407" t="str">
        <f t="shared" ref="AF8:AF19" si="5">IFERROR(LEFT($B8,(FIND(",",$B8,1)-1)),"")</f>
        <v/>
      </c>
      <c r="AG8" s="406" t="str">
        <f>IFERROR(INDEX(V!$R:$R,MATCH(AH8,V!$L:$L,0)),"")</f>
        <v/>
      </c>
      <c r="AH8" s="407" t="str">
        <f t="shared" ref="AH8:AH19" si="6">IFERROR(MID($B8,FIND(", ",$B8)+2,256),"")</f>
        <v/>
      </c>
      <c r="AI8" s="406" t="str">
        <f>IFERROR(INDEX(V!$R:$R,MATCH(AJ8,V!$L:$L,0)),"")</f>
        <v/>
      </c>
      <c r="AJ8" s="407" t="str">
        <f t="shared" ref="AJ8:AJ19" si="7">IFERROR(MID($B8,FIND("^",SUBSTITUTE($B8,", ","^",1))+2,FIND("^",SUBSTITUTE($B8,", ","^",2))-FIND("^",SUBSTITUTE($B8,", ","^",1))-2),"")</f>
        <v/>
      </c>
      <c r="AK8" s="406" t="str">
        <f>IFERROR(INDEX(V!$R:$R,MATCH(AL8,V!$L:$L,0)),"")</f>
        <v/>
      </c>
      <c r="AL8" s="407" t="str">
        <f t="shared" ref="AL8:AL19" si="8">IFERROR(MID($B8,FIND(", ",$B8,FIND(", ",$B8,FIND(", ",$B8))+1)+2,30000),"")</f>
        <v/>
      </c>
      <c r="AM8" s="406" t="str">
        <f>IFERROR(INDEX(V!$R:$R,MATCH(AN8,V!$L:$L,0)),"")</f>
        <v/>
      </c>
      <c r="AN8" s="407" t="str">
        <f t="shared" ref="AN8:AN19" si="9">IFERROR(MID($B8,FIND(", ",$B8,FIND(", ",$B8)+1)+2,FIND(", ",$B8,FIND(", ",$B8,FIND(", ",$B8)+1)+1)-FIND(", ",$B8,FIND(", ",$B8)+1)-2),"")</f>
        <v/>
      </c>
      <c r="AO8" s="406" t="str">
        <f>IFERROR(INDEX(V!$R:$R,MATCH(AP8,V!$L:$L,0)),"")</f>
        <v/>
      </c>
      <c r="AP8" s="407" t="str">
        <f t="shared" ref="AP8:AP19" si="10">IFERROR(MID($B8,FIND(", ",$B8,FIND(", ",$B8,FIND(", ",$B8)+1)+1)+2,30000),"")</f>
        <v/>
      </c>
    </row>
    <row r="9" spans="1:42" x14ac:dyDescent="0.2">
      <c r="A9" s="614">
        <v>3</v>
      </c>
      <c r="B9" s="479"/>
      <c r="C9" s="615"/>
      <c r="D9" s="616" t="s">
        <v>363</v>
      </c>
      <c r="E9" s="617"/>
      <c r="F9" s="618"/>
      <c r="G9" s="615"/>
      <c r="H9" s="616" t="s">
        <v>363</v>
      </c>
      <c r="I9" s="617"/>
      <c r="J9" s="618"/>
      <c r="K9" s="615"/>
      <c r="L9" s="616" t="s">
        <v>363</v>
      </c>
      <c r="M9" s="617"/>
      <c r="N9" s="618"/>
      <c r="O9" s="615"/>
      <c r="P9" s="616" t="s">
        <v>363</v>
      </c>
      <c r="Q9" s="617"/>
      <c r="R9" s="618"/>
      <c r="S9" s="615"/>
      <c r="T9" s="616" t="s">
        <v>363</v>
      </c>
      <c r="U9" s="617"/>
      <c r="V9" s="618"/>
      <c r="W9" s="619">
        <f t="shared" si="0"/>
        <v>0</v>
      </c>
      <c r="X9" s="620"/>
      <c r="Y9" s="615">
        <f t="shared" si="1"/>
        <v>0</v>
      </c>
      <c r="Z9" s="616" t="s">
        <v>363</v>
      </c>
      <c r="AA9" s="621">
        <f t="shared" si="2"/>
        <v>0</v>
      </c>
      <c r="AB9" s="622">
        <f t="shared" si="3"/>
        <v>0</v>
      </c>
      <c r="AC9" s="404"/>
      <c r="AD9" s="405">
        <f t="shared" si="4"/>
        <v>0</v>
      </c>
      <c r="AE9" s="406" t="str">
        <f>IFERROR(INDEX(V!$R:$R,MATCH(AF9,V!$L:$L,0)),"")</f>
        <v/>
      </c>
      <c r="AF9" s="407" t="str">
        <f t="shared" si="5"/>
        <v/>
      </c>
      <c r="AG9" s="406" t="str">
        <f>IFERROR(INDEX(V!$R:$R,MATCH(AH9,V!$L:$L,0)),"")</f>
        <v/>
      </c>
      <c r="AH9" s="407" t="str">
        <f t="shared" si="6"/>
        <v/>
      </c>
      <c r="AI9" s="406" t="str">
        <f>IFERROR(INDEX(V!$R:$R,MATCH(AJ9,V!$L:$L,0)),"")</f>
        <v/>
      </c>
      <c r="AJ9" s="407" t="str">
        <f t="shared" si="7"/>
        <v/>
      </c>
      <c r="AK9" s="406" t="str">
        <f>IFERROR(INDEX(V!$R:$R,MATCH(AL9,V!$L:$L,0)),"")</f>
        <v/>
      </c>
      <c r="AL9" s="407" t="str">
        <f t="shared" si="8"/>
        <v/>
      </c>
      <c r="AM9" s="406" t="str">
        <f>IFERROR(INDEX(V!$R:$R,MATCH(AN9,V!$L:$L,0)),"")</f>
        <v/>
      </c>
      <c r="AN9" s="407" t="str">
        <f t="shared" si="9"/>
        <v/>
      </c>
      <c r="AO9" s="406" t="str">
        <f>IFERROR(INDEX(V!$R:$R,MATCH(AP9,V!$L:$L,0)),"")</f>
        <v/>
      </c>
      <c r="AP9" s="407" t="str">
        <f t="shared" si="10"/>
        <v/>
      </c>
    </row>
    <row r="10" spans="1:42" x14ac:dyDescent="0.2">
      <c r="A10" s="614">
        <v>4</v>
      </c>
      <c r="B10" s="479"/>
      <c r="C10" s="615"/>
      <c r="D10" s="616" t="s">
        <v>363</v>
      </c>
      <c r="E10" s="617"/>
      <c r="F10" s="618"/>
      <c r="G10" s="615"/>
      <c r="H10" s="616" t="s">
        <v>363</v>
      </c>
      <c r="I10" s="617"/>
      <c r="J10" s="618"/>
      <c r="K10" s="615"/>
      <c r="L10" s="616" t="s">
        <v>363</v>
      </c>
      <c r="M10" s="617"/>
      <c r="N10" s="618"/>
      <c r="O10" s="615"/>
      <c r="P10" s="616" t="s">
        <v>363</v>
      </c>
      <c r="Q10" s="617"/>
      <c r="R10" s="618"/>
      <c r="S10" s="615"/>
      <c r="T10" s="616" t="s">
        <v>363</v>
      </c>
      <c r="U10" s="617"/>
      <c r="V10" s="618"/>
      <c r="W10" s="619">
        <f t="shared" si="0"/>
        <v>0</v>
      </c>
      <c r="X10" s="620"/>
      <c r="Y10" s="615">
        <f t="shared" si="1"/>
        <v>0</v>
      </c>
      <c r="Z10" s="616" t="s">
        <v>363</v>
      </c>
      <c r="AA10" s="621">
        <f t="shared" si="2"/>
        <v>0</v>
      </c>
      <c r="AB10" s="622">
        <f t="shared" si="3"/>
        <v>0</v>
      </c>
      <c r="AC10" s="404"/>
      <c r="AD10" s="405">
        <f t="shared" si="4"/>
        <v>0</v>
      </c>
      <c r="AE10" s="406" t="str">
        <f>IFERROR(INDEX(V!$R:$R,MATCH(AF10,V!$L:$L,0)),"")</f>
        <v/>
      </c>
      <c r="AF10" s="407" t="str">
        <f t="shared" si="5"/>
        <v/>
      </c>
      <c r="AG10" s="406" t="str">
        <f>IFERROR(INDEX(V!$R:$R,MATCH(AH10,V!$L:$L,0)),"")</f>
        <v/>
      </c>
      <c r="AH10" s="407" t="str">
        <f t="shared" si="6"/>
        <v/>
      </c>
      <c r="AI10" s="406" t="str">
        <f>IFERROR(INDEX(V!$R:$R,MATCH(AJ10,V!$L:$L,0)),"")</f>
        <v/>
      </c>
      <c r="AJ10" s="407" t="str">
        <f t="shared" si="7"/>
        <v/>
      </c>
      <c r="AK10" s="406" t="str">
        <f>IFERROR(INDEX(V!$R:$R,MATCH(AL10,V!$L:$L,0)),"")</f>
        <v/>
      </c>
      <c r="AL10" s="407" t="str">
        <f t="shared" si="8"/>
        <v/>
      </c>
      <c r="AM10" s="406" t="str">
        <f>IFERROR(INDEX(V!$R:$R,MATCH(AN10,V!$L:$L,0)),"")</f>
        <v/>
      </c>
      <c r="AN10" s="407" t="str">
        <f t="shared" si="9"/>
        <v/>
      </c>
      <c r="AO10" s="406" t="str">
        <f>IFERROR(INDEX(V!$R:$R,MATCH(AP10,V!$L:$L,0)),"")</f>
        <v/>
      </c>
      <c r="AP10" s="407" t="str">
        <f t="shared" si="10"/>
        <v/>
      </c>
    </row>
    <row r="11" spans="1:42" x14ac:dyDescent="0.2">
      <c r="A11" s="614">
        <v>5</v>
      </c>
      <c r="B11" s="542"/>
      <c r="C11" s="615"/>
      <c r="D11" s="616" t="s">
        <v>363</v>
      </c>
      <c r="E11" s="617"/>
      <c r="F11" s="618"/>
      <c r="G11" s="615"/>
      <c r="H11" s="616" t="s">
        <v>363</v>
      </c>
      <c r="I11" s="617"/>
      <c r="J11" s="618"/>
      <c r="K11" s="615"/>
      <c r="L11" s="616" t="s">
        <v>363</v>
      </c>
      <c r="M11" s="617"/>
      <c r="N11" s="618"/>
      <c r="O11" s="615"/>
      <c r="P11" s="616" t="s">
        <v>363</v>
      </c>
      <c r="Q11" s="617"/>
      <c r="R11" s="618"/>
      <c r="S11" s="615"/>
      <c r="T11" s="616" t="s">
        <v>363</v>
      </c>
      <c r="U11" s="617"/>
      <c r="V11" s="618"/>
      <c r="W11" s="619">
        <f t="shared" si="0"/>
        <v>0</v>
      </c>
      <c r="X11" s="620"/>
      <c r="Y11" s="615">
        <f t="shared" si="1"/>
        <v>0</v>
      </c>
      <c r="Z11" s="616" t="s">
        <v>363</v>
      </c>
      <c r="AA11" s="621">
        <f t="shared" si="2"/>
        <v>0</v>
      </c>
      <c r="AB11" s="622">
        <f t="shared" si="3"/>
        <v>0</v>
      </c>
      <c r="AC11" s="404"/>
      <c r="AD11" s="405">
        <f t="shared" si="4"/>
        <v>0</v>
      </c>
      <c r="AE11" s="406" t="str">
        <f>IFERROR(INDEX(V!$R:$R,MATCH(AF11,V!$L:$L,0)),"")</f>
        <v/>
      </c>
      <c r="AF11" s="407" t="str">
        <f t="shared" si="5"/>
        <v/>
      </c>
      <c r="AG11" s="406" t="str">
        <f>IFERROR(INDEX(V!$R:$R,MATCH(AH11,V!$L:$L,0)),"")</f>
        <v/>
      </c>
      <c r="AH11" s="407" t="str">
        <f t="shared" si="6"/>
        <v/>
      </c>
      <c r="AI11" s="406" t="str">
        <f>IFERROR(INDEX(V!$R:$R,MATCH(AJ11,V!$L:$L,0)),"")</f>
        <v/>
      </c>
      <c r="AJ11" s="407" t="str">
        <f t="shared" si="7"/>
        <v/>
      </c>
      <c r="AK11" s="406" t="str">
        <f>IFERROR(INDEX(V!$R:$R,MATCH(AL11,V!$L:$L,0)),"")</f>
        <v/>
      </c>
      <c r="AL11" s="407" t="str">
        <f t="shared" si="8"/>
        <v/>
      </c>
      <c r="AM11" s="406" t="str">
        <f>IFERROR(INDEX(V!$R:$R,MATCH(AN11,V!$L:$L,0)),"")</f>
        <v/>
      </c>
      <c r="AN11" s="407" t="str">
        <f t="shared" si="9"/>
        <v/>
      </c>
      <c r="AO11" s="406" t="str">
        <f>IFERROR(INDEX(V!$R:$R,MATCH(AP11,V!$L:$L,0)),"")</f>
        <v/>
      </c>
      <c r="AP11" s="407" t="str">
        <f t="shared" si="10"/>
        <v/>
      </c>
    </row>
    <row r="12" spans="1:42" x14ac:dyDescent="0.2">
      <c r="A12" s="614">
        <v>6</v>
      </c>
      <c r="B12" s="479"/>
      <c r="C12" s="615"/>
      <c r="D12" s="616" t="s">
        <v>363</v>
      </c>
      <c r="E12" s="617"/>
      <c r="F12" s="618"/>
      <c r="G12" s="615"/>
      <c r="H12" s="616" t="s">
        <v>363</v>
      </c>
      <c r="I12" s="617"/>
      <c r="J12" s="618"/>
      <c r="K12" s="615"/>
      <c r="L12" s="616" t="s">
        <v>363</v>
      </c>
      <c r="M12" s="617"/>
      <c r="N12" s="618"/>
      <c r="O12" s="615"/>
      <c r="P12" s="616" t="s">
        <v>363</v>
      </c>
      <c r="Q12" s="617"/>
      <c r="R12" s="618"/>
      <c r="S12" s="615"/>
      <c r="T12" s="616" t="s">
        <v>363</v>
      </c>
      <c r="U12" s="617"/>
      <c r="V12" s="618"/>
      <c r="W12" s="619">
        <f t="shared" si="0"/>
        <v>0</v>
      </c>
      <c r="X12" s="620"/>
      <c r="Y12" s="615">
        <f t="shared" si="1"/>
        <v>0</v>
      </c>
      <c r="Z12" s="616" t="s">
        <v>363</v>
      </c>
      <c r="AA12" s="621">
        <f t="shared" si="2"/>
        <v>0</v>
      </c>
      <c r="AB12" s="622">
        <f t="shared" si="3"/>
        <v>0</v>
      </c>
      <c r="AC12" s="404"/>
      <c r="AD12" s="405">
        <f t="shared" si="4"/>
        <v>0</v>
      </c>
      <c r="AE12" s="406" t="str">
        <f>IFERROR(INDEX(V!$R:$R,MATCH(AF12,V!$L:$L,0)),"")</f>
        <v/>
      </c>
      <c r="AF12" s="407" t="str">
        <f t="shared" si="5"/>
        <v/>
      </c>
      <c r="AG12" s="406" t="str">
        <f>IFERROR(INDEX(V!$R:$R,MATCH(AH12,V!$L:$L,0)),"")</f>
        <v/>
      </c>
      <c r="AH12" s="407" t="str">
        <f t="shared" si="6"/>
        <v/>
      </c>
      <c r="AI12" s="406" t="str">
        <f>IFERROR(INDEX(V!$R:$R,MATCH(AJ12,V!$L:$L,0)),"")</f>
        <v/>
      </c>
      <c r="AJ12" s="407" t="str">
        <f t="shared" si="7"/>
        <v/>
      </c>
      <c r="AK12" s="406" t="str">
        <f>IFERROR(INDEX(V!$R:$R,MATCH(AL12,V!$L:$L,0)),"")</f>
        <v/>
      </c>
      <c r="AL12" s="407" t="str">
        <f t="shared" si="8"/>
        <v/>
      </c>
      <c r="AM12" s="406" t="str">
        <f>IFERROR(INDEX(V!$R:$R,MATCH(AN12,V!$L:$L,0)),"")</f>
        <v/>
      </c>
      <c r="AN12" s="407" t="str">
        <f t="shared" si="9"/>
        <v/>
      </c>
      <c r="AO12" s="406" t="str">
        <f>IFERROR(INDEX(V!$R:$R,MATCH(AP12,V!$L:$L,0)),"")</f>
        <v/>
      </c>
      <c r="AP12" s="407" t="str">
        <f t="shared" si="10"/>
        <v/>
      </c>
    </row>
    <row r="13" spans="1:42" x14ac:dyDescent="0.2">
      <c r="A13" s="614">
        <v>7</v>
      </c>
      <c r="B13" s="623"/>
      <c r="C13" s="615"/>
      <c r="D13" s="616" t="s">
        <v>363</v>
      </c>
      <c r="E13" s="617"/>
      <c r="F13" s="618"/>
      <c r="G13" s="615"/>
      <c r="H13" s="616" t="s">
        <v>363</v>
      </c>
      <c r="I13" s="617"/>
      <c r="J13" s="618"/>
      <c r="K13" s="615"/>
      <c r="L13" s="616" t="s">
        <v>363</v>
      </c>
      <c r="M13" s="617"/>
      <c r="N13" s="618"/>
      <c r="O13" s="615"/>
      <c r="P13" s="616" t="s">
        <v>363</v>
      </c>
      <c r="Q13" s="617"/>
      <c r="R13" s="618"/>
      <c r="S13" s="615"/>
      <c r="T13" s="616" t="s">
        <v>363</v>
      </c>
      <c r="U13" s="617"/>
      <c r="V13" s="618"/>
      <c r="W13" s="619">
        <f t="shared" si="0"/>
        <v>0</v>
      </c>
      <c r="X13" s="620"/>
      <c r="Y13" s="615">
        <f t="shared" si="1"/>
        <v>0</v>
      </c>
      <c r="Z13" s="616" t="s">
        <v>363</v>
      </c>
      <c r="AA13" s="621">
        <f t="shared" si="2"/>
        <v>0</v>
      </c>
      <c r="AB13" s="622">
        <f t="shared" si="3"/>
        <v>0</v>
      </c>
      <c r="AC13" s="404"/>
      <c r="AD13" s="405">
        <f t="shared" si="4"/>
        <v>0</v>
      </c>
      <c r="AE13" s="406" t="str">
        <f>IFERROR(INDEX(V!$R:$R,MATCH(AF13,V!$L:$L,0)),"")</f>
        <v/>
      </c>
      <c r="AF13" s="407" t="str">
        <f t="shared" si="5"/>
        <v/>
      </c>
      <c r="AG13" s="406" t="str">
        <f>IFERROR(INDEX(V!$R:$R,MATCH(AH13,V!$L:$L,0)),"")</f>
        <v/>
      </c>
      <c r="AH13" s="407" t="str">
        <f t="shared" si="6"/>
        <v/>
      </c>
      <c r="AI13" s="406" t="str">
        <f>IFERROR(INDEX(V!$R:$R,MATCH(AJ13,V!$L:$L,0)),"")</f>
        <v/>
      </c>
      <c r="AJ13" s="407" t="str">
        <f t="shared" si="7"/>
        <v/>
      </c>
      <c r="AK13" s="406" t="str">
        <f>IFERROR(INDEX(V!$R:$R,MATCH(AL13,V!$L:$L,0)),"")</f>
        <v/>
      </c>
      <c r="AL13" s="407" t="str">
        <f t="shared" si="8"/>
        <v/>
      </c>
      <c r="AM13" s="406" t="str">
        <f>IFERROR(INDEX(V!$R:$R,MATCH(AN13,V!$L:$L,0)),"")</f>
        <v/>
      </c>
      <c r="AN13" s="407" t="str">
        <f t="shared" si="9"/>
        <v/>
      </c>
      <c r="AO13" s="406" t="str">
        <f>IFERROR(INDEX(V!$R:$R,MATCH(AP13,V!$L:$L,0)),"")</f>
        <v/>
      </c>
      <c r="AP13" s="407" t="str">
        <f t="shared" si="10"/>
        <v/>
      </c>
    </row>
    <row r="14" spans="1:42" x14ac:dyDescent="0.2">
      <c r="A14" s="614">
        <v>8</v>
      </c>
      <c r="B14" s="623"/>
      <c r="C14" s="615"/>
      <c r="D14" s="616" t="s">
        <v>363</v>
      </c>
      <c r="E14" s="617"/>
      <c r="F14" s="618"/>
      <c r="G14" s="615"/>
      <c r="H14" s="616" t="s">
        <v>363</v>
      </c>
      <c r="I14" s="617"/>
      <c r="J14" s="618"/>
      <c r="K14" s="615"/>
      <c r="L14" s="616" t="s">
        <v>363</v>
      </c>
      <c r="M14" s="617"/>
      <c r="N14" s="618"/>
      <c r="O14" s="615"/>
      <c r="P14" s="616" t="s">
        <v>363</v>
      </c>
      <c r="Q14" s="617"/>
      <c r="R14" s="618"/>
      <c r="S14" s="615"/>
      <c r="T14" s="616" t="s">
        <v>363</v>
      </c>
      <c r="U14" s="617"/>
      <c r="V14" s="618"/>
      <c r="W14" s="619">
        <f t="shared" si="0"/>
        <v>0</v>
      </c>
      <c r="X14" s="620"/>
      <c r="Y14" s="615">
        <f t="shared" si="1"/>
        <v>0</v>
      </c>
      <c r="Z14" s="616" t="s">
        <v>363</v>
      </c>
      <c r="AA14" s="621">
        <f t="shared" si="2"/>
        <v>0</v>
      </c>
      <c r="AB14" s="622">
        <f t="shared" si="3"/>
        <v>0</v>
      </c>
      <c r="AC14" s="404"/>
      <c r="AD14" s="405">
        <f t="shared" si="4"/>
        <v>0</v>
      </c>
      <c r="AE14" s="406" t="str">
        <f>IFERROR(INDEX(V!$R:$R,MATCH(AF14,V!$L:$L,0)),"")</f>
        <v/>
      </c>
      <c r="AF14" s="407" t="str">
        <f t="shared" si="5"/>
        <v/>
      </c>
      <c r="AG14" s="406" t="str">
        <f>IFERROR(INDEX(V!$R:$R,MATCH(AH14,V!$L:$L,0)),"")</f>
        <v/>
      </c>
      <c r="AH14" s="407" t="str">
        <f t="shared" si="6"/>
        <v/>
      </c>
      <c r="AI14" s="406" t="str">
        <f>IFERROR(INDEX(V!$R:$R,MATCH(AJ14,V!$L:$L,0)),"")</f>
        <v/>
      </c>
      <c r="AJ14" s="407" t="str">
        <f t="shared" si="7"/>
        <v/>
      </c>
      <c r="AK14" s="406" t="str">
        <f>IFERROR(INDEX(V!$R:$R,MATCH(AL14,V!$L:$L,0)),"")</f>
        <v/>
      </c>
      <c r="AL14" s="407" t="str">
        <f t="shared" si="8"/>
        <v/>
      </c>
      <c r="AM14" s="406" t="str">
        <f>IFERROR(INDEX(V!$R:$R,MATCH(AN14,V!$L:$L,0)),"")</f>
        <v/>
      </c>
      <c r="AN14" s="407" t="str">
        <f t="shared" si="9"/>
        <v/>
      </c>
      <c r="AO14" s="406" t="str">
        <f>IFERROR(INDEX(V!$R:$R,MATCH(AP14,V!$L:$L,0)),"")</f>
        <v/>
      </c>
      <c r="AP14" s="407" t="str">
        <f t="shared" si="10"/>
        <v/>
      </c>
    </row>
    <row r="15" spans="1:42" x14ac:dyDescent="0.2">
      <c r="A15" s="614">
        <v>9</v>
      </c>
      <c r="B15" s="479"/>
      <c r="C15" s="615"/>
      <c r="D15" s="616" t="s">
        <v>363</v>
      </c>
      <c r="E15" s="617"/>
      <c r="F15" s="618"/>
      <c r="G15" s="615"/>
      <c r="H15" s="616" t="s">
        <v>363</v>
      </c>
      <c r="I15" s="617"/>
      <c r="J15" s="618"/>
      <c r="K15" s="615"/>
      <c r="L15" s="616" t="s">
        <v>363</v>
      </c>
      <c r="M15" s="617"/>
      <c r="N15" s="618"/>
      <c r="O15" s="615"/>
      <c r="P15" s="616" t="s">
        <v>363</v>
      </c>
      <c r="Q15" s="617"/>
      <c r="R15" s="618"/>
      <c r="S15" s="615"/>
      <c r="T15" s="616" t="s">
        <v>363</v>
      </c>
      <c r="U15" s="617"/>
      <c r="V15" s="618"/>
      <c r="W15" s="619">
        <f t="shared" si="0"/>
        <v>0</v>
      </c>
      <c r="X15" s="620"/>
      <c r="Y15" s="615">
        <f t="shared" si="1"/>
        <v>0</v>
      </c>
      <c r="Z15" s="616" t="s">
        <v>363</v>
      </c>
      <c r="AA15" s="621">
        <f t="shared" si="2"/>
        <v>0</v>
      </c>
      <c r="AB15" s="622">
        <f t="shared" si="3"/>
        <v>0</v>
      </c>
      <c r="AC15" s="404"/>
      <c r="AD15" s="405">
        <f t="shared" si="4"/>
        <v>0</v>
      </c>
      <c r="AE15" s="406" t="str">
        <f>IFERROR(INDEX(V!$R:$R,MATCH(AF15,V!$L:$L,0)),"")</f>
        <v/>
      </c>
      <c r="AF15" s="407" t="str">
        <f t="shared" si="5"/>
        <v/>
      </c>
      <c r="AG15" s="406" t="str">
        <f>IFERROR(INDEX(V!$R:$R,MATCH(AH15,V!$L:$L,0)),"")</f>
        <v/>
      </c>
      <c r="AH15" s="407" t="str">
        <f t="shared" si="6"/>
        <v/>
      </c>
      <c r="AI15" s="406" t="str">
        <f>IFERROR(INDEX(V!$R:$R,MATCH(AJ15,V!$L:$L,0)),"")</f>
        <v/>
      </c>
      <c r="AJ15" s="407" t="str">
        <f t="shared" si="7"/>
        <v/>
      </c>
      <c r="AK15" s="406" t="str">
        <f>IFERROR(INDEX(V!$R:$R,MATCH(AL15,V!$L:$L,0)),"")</f>
        <v/>
      </c>
      <c r="AL15" s="407" t="str">
        <f t="shared" si="8"/>
        <v/>
      </c>
      <c r="AM15" s="406" t="str">
        <f>IFERROR(INDEX(V!$R:$R,MATCH(AN15,V!$L:$L,0)),"")</f>
        <v/>
      </c>
      <c r="AN15" s="407" t="str">
        <f t="shared" si="9"/>
        <v/>
      </c>
      <c r="AO15" s="406" t="str">
        <f>IFERROR(INDEX(V!$R:$R,MATCH(AP15,V!$L:$L,0)),"")</f>
        <v/>
      </c>
      <c r="AP15" s="407" t="str">
        <f t="shared" si="10"/>
        <v/>
      </c>
    </row>
    <row r="16" spans="1:42" x14ac:dyDescent="0.2">
      <c r="A16" s="614">
        <v>10</v>
      </c>
      <c r="B16" s="542"/>
      <c r="C16" s="615"/>
      <c r="D16" s="616" t="s">
        <v>363</v>
      </c>
      <c r="E16" s="617"/>
      <c r="F16" s="618"/>
      <c r="G16" s="615"/>
      <c r="H16" s="616" t="s">
        <v>363</v>
      </c>
      <c r="I16" s="617"/>
      <c r="J16" s="618"/>
      <c r="K16" s="615"/>
      <c r="L16" s="616" t="s">
        <v>363</v>
      </c>
      <c r="M16" s="617"/>
      <c r="N16" s="618"/>
      <c r="O16" s="615"/>
      <c r="P16" s="616" t="s">
        <v>363</v>
      </c>
      <c r="Q16" s="617"/>
      <c r="R16" s="618"/>
      <c r="S16" s="615"/>
      <c r="T16" s="616" t="s">
        <v>363</v>
      </c>
      <c r="U16" s="617"/>
      <c r="V16" s="618"/>
      <c r="W16" s="619">
        <f t="shared" si="0"/>
        <v>0</v>
      </c>
      <c r="X16" s="620"/>
      <c r="Y16" s="615">
        <f t="shared" si="1"/>
        <v>0</v>
      </c>
      <c r="Z16" s="616" t="s">
        <v>363</v>
      </c>
      <c r="AA16" s="621">
        <f t="shared" si="2"/>
        <v>0</v>
      </c>
      <c r="AB16" s="622">
        <f t="shared" si="3"/>
        <v>0</v>
      </c>
      <c r="AC16" s="404"/>
      <c r="AD16" s="405">
        <f t="shared" si="4"/>
        <v>0</v>
      </c>
      <c r="AE16" s="406" t="str">
        <f>IFERROR(INDEX(V!$R:$R,MATCH(AF16,V!$L:$L,0)),"")</f>
        <v/>
      </c>
      <c r="AF16" s="407" t="str">
        <f t="shared" si="5"/>
        <v/>
      </c>
      <c r="AG16" s="406" t="str">
        <f>IFERROR(INDEX(V!$R:$R,MATCH(AH16,V!$L:$L,0)),"")</f>
        <v/>
      </c>
      <c r="AH16" s="407" t="str">
        <f t="shared" si="6"/>
        <v/>
      </c>
      <c r="AI16" s="406" t="str">
        <f>IFERROR(INDEX(V!$R:$R,MATCH(AJ16,V!$L:$L,0)),"")</f>
        <v/>
      </c>
      <c r="AJ16" s="407" t="str">
        <f t="shared" si="7"/>
        <v/>
      </c>
      <c r="AK16" s="406" t="str">
        <f>IFERROR(INDEX(V!$R:$R,MATCH(AL16,V!$L:$L,0)),"")</f>
        <v/>
      </c>
      <c r="AL16" s="407" t="str">
        <f t="shared" si="8"/>
        <v/>
      </c>
      <c r="AM16" s="406" t="str">
        <f>IFERROR(INDEX(V!$R:$R,MATCH(AN16,V!$L:$L,0)),"")</f>
        <v/>
      </c>
      <c r="AN16" s="407" t="str">
        <f t="shared" si="9"/>
        <v/>
      </c>
      <c r="AO16" s="406" t="str">
        <f>IFERROR(INDEX(V!$R:$R,MATCH(AP16,V!$L:$L,0)),"")</f>
        <v/>
      </c>
      <c r="AP16" s="407" t="str">
        <f t="shared" si="10"/>
        <v/>
      </c>
    </row>
    <row r="17" spans="1:42" x14ac:dyDescent="0.2">
      <c r="A17" s="614">
        <v>11</v>
      </c>
      <c r="B17" s="623"/>
      <c r="C17" s="615"/>
      <c r="D17" s="616" t="s">
        <v>363</v>
      </c>
      <c r="E17" s="617"/>
      <c r="F17" s="618"/>
      <c r="G17" s="615"/>
      <c r="H17" s="616" t="s">
        <v>363</v>
      </c>
      <c r="I17" s="617"/>
      <c r="J17" s="618"/>
      <c r="K17" s="615"/>
      <c r="L17" s="616" t="s">
        <v>363</v>
      </c>
      <c r="M17" s="617"/>
      <c r="N17" s="618"/>
      <c r="O17" s="615"/>
      <c r="P17" s="616" t="s">
        <v>363</v>
      </c>
      <c r="Q17" s="617"/>
      <c r="R17" s="618"/>
      <c r="S17" s="615"/>
      <c r="T17" s="616" t="s">
        <v>363</v>
      </c>
      <c r="U17" s="617"/>
      <c r="V17" s="618"/>
      <c r="W17" s="619">
        <f t="shared" si="0"/>
        <v>0</v>
      </c>
      <c r="X17" s="620"/>
      <c r="Y17" s="615">
        <f t="shared" si="1"/>
        <v>0</v>
      </c>
      <c r="Z17" s="616" t="s">
        <v>363</v>
      </c>
      <c r="AA17" s="621">
        <f t="shared" si="2"/>
        <v>0</v>
      </c>
      <c r="AB17" s="622">
        <f t="shared" si="3"/>
        <v>0</v>
      </c>
      <c r="AC17" s="404"/>
      <c r="AD17" s="405">
        <f t="shared" si="4"/>
        <v>0</v>
      </c>
      <c r="AE17" s="406" t="str">
        <f>IFERROR(INDEX(V!$R:$R,MATCH(AF17,V!$L:$L,0)),"")</f>
        <v/>
      </c>
      <c r="AF17" s="407" t="str">
        <f t="shared" si="5"/>
        <v/>
      </c>
      <c r="AG17" s="406" t="str">
        <f>IFERROR(INDEX(V!$R:$R,MATCH(AH17,V!$L:$L,0)),"")</f>
        <v/>
      </c>
      <c r="AH17" s="407" t="str">
        <f t="shared" si="6"/>
        <v/>
      </c>
      <c r="AI17" s="406" t="str">
        <f>IFERROR(INDEX(V!$R:$R,MATCH(AJ17,V!$L:$L,0)),"")</f>
        <v/>
      </c>
      <c r="AJ17" s="407" t="str">
        <f t="shared" si="7"/>
        <v/>
      </c>
      <c r="AK17" s="406" t="str">
        <f>IFERROR(INDEX(V!$R:$R,MATCH(AL17,V!$L:$L,0)),"")</f>
        <v/>
      </c>
      <c r="AL17" s="407" t="str">
        <f t="shared" si="8"/>
        <v/>
      </c>
      <c r="AM17" s="406" t="str">
        <f>IFERROR(INDEX(V!$R:$R,MATCH(AN17,V!$L:$L,0)),"")</f>
        <v/>
      </c>
      <c r="AN17" s="407" t="str">
        <f t="shared" si="9"/>
        <v/>
      </c>
      <c r="AO17" s="406" t="str">
        <f>IFERROR(INDEX(V!$R:$R,MATCH(AP17,V!$L:$L,0)),"")</f>
        <v/>
      </c>
      <c r="AP17" s="407" t="str">
        <f t="shared" si="10"/>
        <v/>
      </c>
    </row>
    <row r="18" spans="1:42" x14ac:dyDescent="0.2">
      <c r="A18" s="614">
        <v>12</v>
      </c>
      <c r="B18" s="542"/>
      <c r="C18" s="615"/>
      <c r="D18" s="616" t="s">
        <v>363</v>
      </c>
      <c r="E18" s="617"/>
      <c r="F18" s="618"/>
      <c r="G18" s="615"/>
      <c r="H18" s="616" t="s">
        <v>363</v>
      </c>
      <c r="I18" s="617"/>
      <c r="J18" s="618"/>
      <c r="K18" s="615"/>
      <c r="L18" s="616" t="s">
        <v>363</v>
      </c>
      <c r="M18" s="617"/>
      <c r="N18" s="618"/>
      <c r="O18" s="615"/>
      <c r="P18" s="616" t="s">
        <v>363</v>
      </c>
      <c r="Q18" s="617"/>
      <c r="R18" s="618"/>
      <c r="S18" s="615"/>
      <c r="T18" s="616" t="s">
        <v>363</v>
      </c>
      <c r="U18" s="617"/>
      <c r="V18" s="618"/>
      <c r="W18" s="619">
        <f t="shared" si="0"/>
        <v>0</v>
      </c>
      <c r="X18" s="620"/>
      <c r="Y18" s="615">
        <f t="shared" si="1"/>
        <v>0</v>
      </c>
      <c r="Z18" s="616" t="s">
        <v>363</v>
      </c>
      <c r="AA18" s="621">
        <f t="shared" si="2"/>
        <v>0</v>
      </c>
      <c r="AB18" s="622">
        <f t="shared" si="3"/>
        <v>0</v>
      </c>
      <c r="AC18" s="404"/>
      <c r="AD18" s="405">
        <f t="shared" si="4"/>
        <v>0</v>
      </c>
      <c r="AE18" s="406" t="str">
        <f>IFERROR(INDEX(V!$R:$R,MATCH(AF18,V!$L:$L,0)),"")</f>
        <v/>
      </c>
      <c r="AF18" s="407" t="str">
        <f t="shared" si="5"/>
        <v/>
      </c>
      <c r="AG18" s="406" t="str">
        <f>IFERROR(INDEX(V!$R:$R,MATCH(AH18,V!$L:$L,0)),"")</f>
        <v/>
      </c>
      <c r="AH18" s="407" t="str">
        <f t="shared" si="6"/>
        <v/>
      </c>
      <c r="AI18" s="406" t="str">
        <f>IFERROR(INDEX(V!$R:$R,MATCH(AJ18,V!$L:$L,0)),"")</f>
        <v/>
      </c>
      <c r="AJ18" s="407" t="str">
        <f t="shared" si="7"/>
        <v/>
      </c>
      <c r="AK18" s="406" t="str">
        <f>IFERROR(INDEX(V!$R:$R,MATCH(AL18,V!$L:$L,0)),"")</f>
        <v/>
      </c>
      <c r="AL18" s="407" t="str">
        <f t="shared" si="8"/>
        <v/>
      </c>
      <c r="AM18" s="406" t="str">
        <f>IFERROR(INDEX(V!$R:$R,MATCH(AN18,V!$L:$L,0)),"")</f>
        <v/>
      </c>
      <c r="AN18" s="407" t="str">
        <f t="shared" si="9"/>
        <v/>
      </c>
      <c r="AO18" s="406" t="str">
        <f>IFERROR(INDEX(V!$R:$R,MATCH(AP18,V!$L:$L,0)),"")</f>
        <v/>
      </c>
      <c r="AP18" s="407" t="str">
        <f t="shared" si="10"/>
        <v/>
      </c>
    </row>
    <row r="19" spans="1:42" x14ac:dyDescent="0.2">
      <c r="A19" s="614">
        <v>13</v>
      </c>
      <c r="B19" s="623"/>
      <c r="C19" s="615"/>
      <c r="D19" s="616" t="s">
        <v>363</v>
      </c>
      <c r="E19" s="617"/>
      <c r="F19" s="618"/>
      <c r="G19" s="615"/>
      <c r="H19" s="616" t="s">
        <v>363</v>
      </c>
      <c r="I19" s="617"/>
      <c r="J19" s="618"/>
      <c r="K19" s="615"/>
      <c r="L19" s="616" t="s">
        <v>363</v>
      </c>
      <c r="M19" s="617"/>
      <c r="N19" s="618"/>
      <c r="O19" s="615"/>
      <c r="P19" s="616" t="s">
        <v>363</v>
      </c>
      <c r="Q19" s="617"/>
      <c r="R19" s="618"/>
      <c r="S19" s="615"/>
      <c r="T19" s="616" t="s">
        <v>363</v>
      </c>
      <c r="U19" s="617"/>
      <c r="V19" s="618"/>
      <c r="W19" s="619">
        <f t="shared" si="0"/>
        <v>0</v>
      </c>
      <c r="X19" s="620"/>
      <c r="Y19" s="615">
        <f t="shared" si="1"/>
        <v>0</v>
      </c>
      <c r="Z19" s="616" t="s">
        <v>363</v>
      </c>
      <c r="AA19" s="621">
        <f t="shared" si="2"/>
        <v>0</v>
      </c>
      <c r="AB19" s="622">
        <f t="shared" si="3"/>
        <v>0</v>
      </c>
      <c r="AC19" s="404"/>
      <c r="AD19" s="405">
        <f t="shared" si="4"/>
        <v>0</v>
      </c>
      <c r="AE19" s="406" t="str">
        <f>IFERROR(INDEX(V!$R:$R,MATCH(AF19,V!$L:$L,0)),"")</f>
        <v/>
      </c>
      <c r="AF19" s="407" t="str">
        <f t="shared" si="5"/>
        <v/>
      </c>
      <c r="AG19" s="406" t="str">
        <f>IFERROR(INDEX(V!$R:$R,MATCH(AH19,V!$L:$L,0)),"")</f>
        <v/>
      </c>
      <c r="AH19" s="407" t="str">
        <f t="shared" si="6"/>
        <v/>
      </c>
      <c r="AI19" s="406" t="str">
        <f>IFERROR(INDEX(V!$R:$R,MATCH(AJ19,V!$L:$L,0)),"")</f>
        <v/>
      </c>
      <c r="AJ19" s="407" t="str">
        <f t="shared" si="7"/>
        <v/>
      </c>
      <c r="AK19" s="406" t="str">
        <f>IFERROR(INDEX(V!$R:$R,MATCH(AL19,V!$L:$L,0)),"")</f>
        <v/>
      </c>
      <c r="AL19" s="407" t="str">
        <f t="shared" si="8"/>
        <v/>
      </c>
      <c r="AM19" s="406" t="str">
        <f>IFERROR(INDEX(V!$R:$R,MATCH(AN19,V!$L:$L,0)),"")</f>
        <v/>
      </c>
      <c r="AN19" s="407" t="str">
        <f t="shared" si="9"/>
        <v/>
      </c>
      <c r="AO19" s="406" t="str">
        <f>IFERROR(INDEX(V!$R:$R,MATCH(AP19,V!$L:$L,0)),"")</f>
        <v/>
      </c>
      <c r="AP19" s="407" t="str">
        <f t="shared" si="10"/>
        <v/>
      </c>
    </row>
    <row r="299" spans="1:3" x14ac:dyDescent="0.2">
      <c r="A299" s="271"/>
      <c r="B299" s="271"/>
      <c r="C299" s="401" t="s">
        <v>248</v>
      </c>
    </row>
    <row r="300" spans="1:3" x14ac:dyDescent="0.2">
      <c r="A300" s="530">
        <v>1</v>
      </c>
      <c r="B300" s="625">
        <f>IFERROR(INDEX(B$1:B$100,MATCH(A300,A$1:A$100,0)),"")</f>
        <v>0</v>
      </c>
      <c r="C300" s="499">
        <f>IF(21-A300&gt;0,21-A300,1)</f>
        <v>20</v>
      </c>
    </row>
    <row r="301" spans="1:3" x14ac:dyDescent="0.2">
      <c r="A301" s="530">
        <v>2</v>
      </c>
      <c r="B301" s="625">
        <f t="shared" ref="B301:B312" si="11">IFERROR(INDEX(B$1:B$100,MATCH(A301,A$1:A$100,0)),"")</f>
        <v>0</v>
      </c>
      <c r="C301" s="499">
        <f t="shared" ref="C301:C312" si="12">IF(21-A301&gt;0,21-A301,1)</f>
        <v>19</v>
      </c>
    </row>
    <row r="302" spans="1:3" x14ac:dyDescent="0.2">
      <c r="A302" s="530">
        <v>3</v>
      </c>
      <c r="B302" s="625">
        <f t="shared" si="11"/>
        <v>0</v>
      </c>
      <c r="C302" s="499">
        <f t="shared" si="12"/>
        <v>18</v>
      </c>
    </row>
    <row r="303" spans="1:3" x14ac:dyDescent="0.2">
      <c r="A303" s="530">
        <v>4</v>
      </c>
      <c r="B303" s="625">
        <f t="shared" si="11"/>
        <v>0</v>
      </c>
      <c r="C303" s="499">
        <f t="shared" si="12"/>
        <v>17</v>
      </c>
    </row>
    <row r="304" spans="1:3" x14ac:dyDescent="0.2">
      <c r="A304" s="530">
        <v>5</v>
      </c>
      <c r="B304" s="625">
        <f t="shared" si="11"/>
        <v>0</v>
      </c>
      <c r="C304" s="499">
        <f t="shared" si="12"/>
        <v>16</v>
      </c>
    </row>
    <row r="305" spans="1:3" x14ac:dyDescent="0.2">
      <c r="A305" s="530">
        <v>6</v>
      </c>
      <c r="B305" s="625">
        <f t="shared" si="11"/>
        <v>0</v>
      </c>
      <c r="C305" s="499">
        <f t="shared" si="12"/>
        <v>15</v>
      </c>
    </row>
    <row r="306" spans="1:3" x14ac:dyDescent="0.2">
      <c r="A306" s="530">
        <v>7</v>
      </c>
      <c r="B306" s="625">
        <f t="shared" si="11"/>
        <v>0</v>
      </c>
      <c r="C306" s="499">
        <f t="shared" si="12"/>
        <v>14</v>
      </c>
    </row>
    <row r="307" spans="1:3" x14ac:dyDescent="0.2">
      <c r="A307" s="530">
        <v>8</v>
      </c>
      <c r="B307" s="625">
        <f t="shared" si="11"/>
        <v>0</v>
      </c>
      <c r="C307" s="499">
        <f t="shared" si="12"/>
        <v>13</v>
      </c>
    </row>
    <row r="308" spans="1:3" x14ac:dyDescent="0.2">
      <c r="A308" s="530">
        <v>9</v>
      </c>
      <c r="B308" s="625">
        <f t="shared" si="11"/>
        <v>0</v>
      </c>
      <c r="C308" s="499">
        <f t="shared" si="12"/>
        <v>12</v>
      </c>
    </row>
    <row r="309" spans="1:3" x14ac:dyDescent="0.2">
      <c r="A309" s="530">
        <v>10</v>
      </c>
      <c r="B309" s="625">
        <f t="shared" si="11"/>
        <v>0</v>
      </c>
      <c r="C309" s="499">
        <f t="shared" si="12"/>
        <v>11</v>
      </c>
    </row>
    <row r="310" spans="1:3" x14ac:dyDescent="0.2">
      <c r="A310" s="530">
        <v>11</v>
      </c>
      <c r="B310" s="625">
        <f t="shared" si="11"/>
        <v>0</v>
      </c>
      <c r="C310" s="499">
        <f t="shared" si="12"/>
        <v>10</v>
      </c>
    </row>
    <row r="311" spans="1:3" x14ac:dyDescent="0.2">
      <c r="A311" s="530">
        <v>12</v>
      </c>
      <c r="B311" s="625">
        <f t="shared" si="11"/>
        <v>0</v>
      </c>
      <c r="C311" s="499">
        <f t="shared" si="12"/>
        <v>9</v>
      </c>
    </row>
    <row r="312" spans="1:3" x14ac:dyDescent="0.2">
      <c r="A312" s="530">
        <v>13</v>
      </c>
      <c r="B312" s="625">
        <f t="shared" si="11"/>
        <v>0</v>
      </c>
      <c r="C312" s="499">
        <f t="shared" si="12"/>
        <v>8</v>
      </c>
    </row>
  </sheetData>
  <conditionalFormatting sqref="AJ7:AJ19">
    <cfRule type="expression" dxfId="864" priority="43">
      <formula>AND(AI7="",FIND(",",AJ7))</formula>
    </cfRule>
    <cfRule type="expression" dxfId="863" priority="45">
      <formula>AND(AI7="",COUNTIF(AJ7,"*,*")=0)</formula>
    </cfRule>
  </conditionalFormatting>
  <conditionalFormatting sqref="AH7:AH19">
    <cfRule type="expression" dxfId="862" priority="46">
      <formula>AND(AG7="",FIND(",",AH7))</formula>
    </cfRule>
    <cfRule type="expression" dxfId="861" priority="47">
      <formula>AND(AG7="",COUNTIF(AH7,"*,*")=0)</formula>
    </cfRule>
  </conditionalFormatting>
  <conditionalFormatting sqref="AL7:AL19">
    <cfRule type="expression" dxfId="860" priority="48">
      <formula>AND(AK7="",FIND(",",AL7))</formula>
    </cfRule>
    <cfRule type="expression" dxfId="859" priority="49">
      <formula>AND(AK7="",COUNTIF(AL7,"*,*")=0)</formula>
    </cfRule>
  </conditionalFormatting>
  <conditionalFormatting sqref="AF7:AF19">
    <cfRule type="expression" dxfId="858" priority="44">
      <formula>AND(AE7="",COUNTIF(AF7,"*,*")=0)</formula>
    </cfRule>
  </conditionalFormatting>
  <conditionalFormatting sqref="AN7:AN19">
    <cfRule type="expression" dxfId="857" priority="40">
      <formula>AND(AM7="",COUNTIF(AN7,"*,*")=0)</formula>
    </cfRule>
    <cfRule type="expression" dxfId="856" priority="42">
      <formula>AND(AM7="",FIND(",",AN7))</formula>
    </cfRule>
  </conditionalFormatting>
  <conditionalFormatting sqref="AP7:AP19">
    <cfRule type="expression" dxfId="855" priority="39">
      <formula>AND(AO7="",COUNTIF(AP7,"*,*")=0)</formula>
    </cfRule>
    <cfRule type="expression" dxfId="854" priority="41">
      <formula>AND(AO7="",FIND(",",AP7))</formula>
    </cfRule>
  </conditionalFormatting>
  <conditionalFormatting sqref="C7:C19 G7:G19 K7:K19 O7:O19 S7:S19">
    <cfRule type="expression" dxfId="853" priority="6">
      <formula>AND(C7=0,E7=13)</formula>
    </cfRule>
  </conditionalFormatting>
  <conditionalFormatting sqref="C7:C19">
    <cfRule type="expression" dxfId="852" priority="20">
      <formula>IF($C7&gt;$E7,TRUE)</formula>
    </cfRule>
  </conditionalFormatting>
  <conditionalFormatting sqref="E7:E19">
    <cfRule type="expression" dxfId="851" priority="21">
      <formula>IF($C7&lt;$E7,TRUE)</formula>
    </cfRule>
  </conditionalFormatting>
  <conditionalFormatting sqref="K7:K19">
    <cfRule type="expression" dxfId="850" priority="28">
      <formula>IF($K7&gt;$M7,TRUE)</formula>
    </cfRule>
  </conditionalFormatting>
  <conditionalFormatting sqref="M7:M19">
    <cfRule type="expression" dxfId="849" priority="29">
      <formula>IF($K7&lt;$M7,TRUE)</formula>
    </cfRule>
  </conditionalFormatting>
  <conditionalFormatting sqref="O7:O19">
    <cfRule type="expression" dxfId="848" priority="32">
      <formula>IF($O7&gt;$Q7,TRUE)</formula>
    </cfRule>
  </conditionalFormatting>
  <conditionalFormatting sqref="Q7:Q19">
    <cfRule type="expression" dxfId="847" priority="33">
      <formula>IF($O7&lt;$Q7,TRUE)</formula>
    </cfRule>
  </conditionalFormatting>
  <conditionalFormatting sqref="S7:S19">
    <cfRule type="expression" dxfId="846" priority="36">
      <formula>IF($S7&gt;$U7,TRUE)</formula>
    </cfRule>
  </conditionalFormatting>
  <conditionalFormatting sqref="U7:U19">
    <cfRule type="expression" dxfId="845" priority="37">
      <formula>IF($S7&lt;$U7,TRUE)</formula>
    </cfRule>
  </conditionalFormatting>
  <conditionalFormatting sqref="G7:G19">
    <cfRule type="expression" dxfId="844" priority="24">
      <formula>IF($G7&gt;$I7,TRUE)</formula>
    </cfRule>
  </conditionalFormatting>
  <conditionalFormatting sqref="I7:I19">
    <cfRule type="expression" dxfId="843" priority="25">
      <formula>IF($G7&lt;$I7,TRUE)</formula>
    </cfRule>
  </conditionalFormatting>
  <conditionalFormatting sqref="F7:F19">
    <cfRule type="containsText" dxfId="842" priority="11" operator="containsText" text="vaba voor">
      <formula>NOT(ISERROR(SEARCH("vaba voor",F7)))</formula>
    </cfRule>
  </conditionalFormatting>
  <conditionalFormatting sqref="N7:N19">
    <cfRule type="containsText" dxfId="841" priority="9" operator="containsText" text="vaba voor">
      <formula>NOT(ISERROR(SEARCH("vaba voor",N7)))</formula>
    </cfRule>
  </conditionalFormatting>
  <conditionalFormatting sqref="R7:R19">
    <cfRule type="containsText" dxfId="840" priority="12" operator="containsText" text="vaba voor">
      <formula>NOT(ISERROR(SEARCH("vaba voor",R7)))</formula>
    </cfRule>
  </conditionalFormatting>
  <conditionalFormatting sqref="V7:V19">
    <cfRule type="containsText" dxfId="839" priority="8" operator="containsText" text="vaba voor">
      <formula>NOT(ISERROR(SEARCH("vaba voor",V7)))</formula>
    </cfRule>
  </conditionalFormatting>
  <conditionalFormatting sqref="J7:J19">
    <cfRule type="containsText" dxfId="838" priority="10" operator="containsText" text="vaba voor">
      <formula>NOT(ISERROR(SEARCH("vaba voor",J7)))</formula>
    </cfRule>
  </conditionalFormatting>
  <conditionalFormatting sqref="C7:F19">
    <cfRule type="expression" dxfId="837" priority="16">
      <formula>IF(AND(ISNUMBER($C7),$C7=$E7),TRUE)</formula>
    </cfRule>
    <cfRule type="expression" dxfId="836" priority="18">
      <formula>IF($C7&gt;$E7,TRUE)</formula>
    </cfRule>
    <cfRule type="expression" dxfId="835" priority="19">
      <formula>IF($C7&lt;$E7,TRUE)</formula>
    </cfRule>
  </conditionalFormatting>
  <conditionalFormatting sqref="G7:J19">
    <cfRule type="expression" dxfId="834" priority="17">
      <formula>IF(AND(ISNUMBER($G7),$G7=$I7),TRUE)</formula>
    </cfRule>
    <cfRule type="expression" dxfId="833" priority="22">
      <formula>IF($G7&gt;$I7,TRUE)</formula>
    </cfRule>
    <cfRule type="expression" dxfId="832" priority="23">
      <formula>IF($G7&lt;$I7,TRUE)</formula>
    </cfRule>
  </conditionalFormatting>
  <conditionalFormatting sqref="K7:N19">
    <cfRule type="expression" dxfId="831" priority="15">
      <formula>IF(AND(ISNUMBER($K7),$K7=$M7),TRUE)</formula>
    </cfRule>
    <cfRule type="expression" dxfId="830" priority="26">
      <formula>IF($K7&gt;$M7,TRUE)</formula>
    </cfRule>
    <cfRule type="expression" dxfId="829" priority="27">
      <formula>IF($K7&lt;$M7,TRUE)</formula>
    </cfRule>
  </conditionalFormatting>
  <conditionalFormatting sqref="O7:R19">
    <cfRule type="expression" dxfId="828" priority="14">
      <formula>IF(AND(ISNUMBER($O7),$O7=$Q7),TRUE)</formula>
    </cfRule>
    <cfRule type="expression" dxfId="827" priority="30">
      <formula>IF($O7&gt;$Q7,TRUE)</formula>
    </cfRule>
    <cfRule type="expression" dxfId="826" priority="31">
      <formula>IF($O7&lt;$Q7,TRUE)</formula>
    </cfRule>
  </conditionalFormatting>
  <conditionalFormatting sqref="S7:V19">
    <cfRule type="expression" dxfId="825" priority="13">
      <formula>IF(AND(ISNUMBER($S7),$S7=$U7),TRUE)</formula>
    </cfRule>
    <cfRule type="expression" dxfId="824" priority="34">
      <formula>IF($S7&gt;$U7,TRUE)</formula>
    </cfRule>
    <cfRule type="expression" dxfId="823" priority="35">
      <formula>IF($S7&lt;$U7,TRUE)</formula>
    </cfRule>
  </conditionalFormatting>
  <conditionalFormatting sqref="E7:E19 I7:I19 M7:M19 Q7:Q19 U7:U19">
    <cfRule type="expression" dxfId="822" priority="7">
      <formula>AND(E7=0,C7=13)</formula>
    </cfRule>
  </conditionalFormatting>
  <conditionalFormatting sqref="A7:A19">
    <cfRule type="duplicateValues" dxfId="821" priority="38"/>
  </conditionalFormatting>
  <conditionalFormatting sqref="B300:B312">
    <cfRule type="expression" dxfId="820" priority="1">
      <formula>A300=3</formula>
    </cfRule>
    <cfRule type="expression" dxfId="819" priority="2">
      <formula>A300=2</formula>
    </cfRule>
    <cfRule type="expression" dxfId="818" priority="3">
      <formula>A300=1</formula>
    </cfRule>
    <cfRule type="containsBlanks" dxfId="817" priority="4">
      <formula>LEN(TRIM(B300))=0</formula>
    </cfRule>
    <cfRule type="duplicateValues" dxfId="816" priority="5"/>
  </conditionalFormatting>
  <pageMargins left="0.78740157480314965" right="0.39370078740157483" top="0.78740157480314965" bottom="0.39370078740157483" header="0.78740157480314965" footer="0"/>
  <pageSetup paperSize="9" scale="29" fitToHeight="0" orientation="portrait" verticalDpi="1200" r:id="rId1"/>
  <headerFooter>
    <oddHeader>&amp;R&amp;P. leht &amp;N&amp; -st</oddHead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316"/>
  <sheetViews>
    <sheetView showGridLines="0" workbookViewId="0">
      <pane ySplit="1" topLeftCell="A53" activePane="bottomLeft" state="frozen"/>
      <selection pane="bottomLeft" activeCell="N65" sqref="N65"/>
    </sheetView>
  </sheetViews>
  <sheetFormatPr defaultRowHeight="12.75" x14ac:dyDescent="0.2"/>
  <cols>
    <col min="1" max="1" width="3.28515625" style="1" customWidth="1"/>
    <col min="2" max="2" width="33.28515625" style="1" customWidth="1"/>
    <col min="3" max="31" width="9.140625" style="1"/>
    <col min="32" max="32" width="12.7109375" style="1" bestFit="1" customWidth="1"/>
    <col min="33" max="33" width="9.140625" style="1"/>
    <col min="34" max="34" width="13.85546875" style="1" bestFit="1" customWidth="1"/>
    <col min="35" max="35" width="9.140625" style="1"/>
    <col min="36" max="36" width="17.28515625" style="1" bestFit="1" customWidth="1"/>
    <col min="37" max="37" width="9.140625" style="1"/>
    <col min="38" max="38" width="13.85546875" style="1" bestFit="1" customWidth="1"/>
    <col min="39" max="39" width="9.140625" style="1"/>
    <col min="40" max="40" width="17.28515625" style="1" bestFit="1" customWidth="1"/>
    <col min="41" max="41" width="9.140625" style="1"/>
    <col min="42" max="42" width="13.85546875" style="1" bestFit="1" customWidth="1"/>
    <col min="43" max="16384" width="9.140625" style="1"/>
  </cols>
  <sheetData>
    <row r="1" spans="1:42" x14ac:dyDescent="0.2">
      <c r="A1" s="400" t="str">
        <f>UPPER((Kalend!E7)&amp;" - "&amp;(Kalend!C7))&amp;" - "&amp;LOWER(Kalend!D7)&amp;" - "&amp;(Kalend!A7)&amp;" kell "&amp;(Kalend!B7)&amp;" - "&amp;(Kalend!F7)</f>
        <v>V2 - VOKA III SISE-KV 2. ETAPP - duo - P, 27.10.2019 kell 11:30 - Voka petangihall</v>
      </c>
      <c r="C1" s="477"/>
      <c r="D1" s="477"/>
      <c r="E1" s="477"/>
      <c r="F1" s="477"/>
      <c r="G1" s="477"/>
      <c r="H1" s="477"/>
      <c r="I1" s="477"/>
      <c r="J1" s="477"/>
      <c r="K1" s="477"/>
      <c r="L1" s="477"/>
      <c r="M1" s="477"/>
      <c r="N1" s="477"/>
      <c r="O1" s="270" t="s">
        <v>476</v>
      </c>
      <c r="P1" s="447" t="s">
        <v>94</v>
      </c>
      <c r="Q1" s="448"/>
      <c r="R1" s="448"/>
      <c r="S1" s="448"/>
      <c r="T1" s="448"/>
      <c r="U1" s="70"/>
      <c r="V1" s="70"/>
      <c r="W1" s="271"/>
      <c r="X1" s="291"/>
      <c r="Y1" s="271"/>
      <c r="Z1" s="271"/>
      <c r="AA1" s="271"/>
      <c r="AD1" s="152" t="s">
        <v>94</v>
      </c>
      <c r="AE1" s="402"/>
      <c r="AF1" s="402"/>
      <c r="AG1" s="402"/>
      <c r="AH1" s="402"/>
      <c r="AI1" s="402"/>
      <c r="AJ1" s="402"/>
      <c r="AK1" s="402"/>
      <c r="AL1" s="402"/>
      <c r="AM1" s="402"/>
      <c r="AN1" s="402"/>
      <c r="AO1" s="532"/>
      <c r="AP1" s="532"/>
    </row>
    <row r="2" spans="1:42" x14ac:dyDescent="0.2">
      <c r="A2" s="477"/>
      <c r="C2" s="477"/>
      <c r="D2" s="477"/>
      <c r="E2" s="477"/>
      <c r="F2" s="477"/>
      <c r="G2" s="477"/>
      <c r="H2" s="477"/>
      <c r="I2" s="477"/>
      <c r="J2" s="477"/>
      <c r="K2" s="477"/>
      <c r="L2" s="477"/>
      <c r="M2" s="477"/>
      <c r="N2" s="477"/>
      <c r="O2" s="477"/>
      <c r="P2" s="271"/>
      <c r="Q2" s="271"/>
      <c r="R2" s="271"/>
      <c r="S2" s="271"/>
      <c r="T2" s="409"/>
      <c r="U2" s="409"/>
      <c r="V2" s="409"/>
      <c r="W2" s="271"/>
      <c r="X2" s="271"/>
      <c r="Y2" s="271"/>
      <c r="Z2" s="271"/>
      <c r="AD2" s="271"/>
      <c r="AE2" s="271"/>
      <c r="AF2" s="271"/>
      <c r="AG2" s="271"/>
      <c r="AH2" s="271"/>
      <c r="AI2" s="271"/>
      <c r="AJ2" s="412"/>
      <c r="AK2" s="271"/>
      <c r="AL2" s="271"/>
      <c r="AM2" s="271"/>
      <c r="AN2" s="271"/>
    </row>
    <row r="3" spans="1:42" x14ac:dyDescent="0.2">
      <c r="A3" s="477"/>
      <c r="C3" s="477"/>
      <c r="D3" s="477"/>
      <c r="E3" s="477"/>
      <c r="F3" s="477"/>
      <c r="G3" s="477"/>
      <c r="H3" s="477"/>
      <c r="I3" s="477"/>
      <c r="J3" s="477"/>
      <c r="K3" s="477"/>
      <c r="L3" s="477"/>
      <c r="M3" s="477"/>
      <c r="N3" s="477"/>
      <c r="O3" s="477"/>
      <c r="P3" s="271"/>
      <c r="Q3" s="271"/>
      <c r="R3" s="271"/>
      <c r="S3" s="271"/>
      <c r="T3" s="409"/>
      <c r="U3" s="409"/>
      <c r="V3" s="409"/>
      <c r="W3" s="271"/>
      <c r="X3" s="271"/>
      <c r="Y3" s="271"/>
      <c r="Z3" s="271"/>
      <c r="AA3" s="271"/>
      <c r="AE3" s="271"/>
      <c r="AG3" s="271"/>
      <c r="AH3" s="271"/>
      <c r="AI3" s="271"/>
      <c r="AJ3" s="271"/>
      <c r="AK3" s="271"/>
      <c r="AL3" s="271"/>
      <c r="AM3" s="271"/>
      <c r="AN3" s="271"/>
    </row>
    <row r="4" spans="1:42" x14ac:dyDescent="0.2">
      <c r="A4" s="477"/>
      <c r="C4" s="477"/>
      <c r="D4" s="477"/>
      <c r="E4" s="477"/>
      <c r="F4" s="477"/>
      <c r="G4" s="477"/>
      <c r="H4" s="477"/>
      <c r="I4" s="477"/>
      <c r="J4" s="477"/>
      <c r="K4" s="477"/>
      <c r="L4" s="477"/>
      <c r="M4" s="477"/>
      <c r="N4" s="477"/>
      <c r="O4" s="477"/>
      <c r="P4" s="271"/>
      <c r="Q4" s="271"/>
      <c r="R4" s="271"/>
      <c r="S4" s="271"/>
      <c r="T4" s="271"/>
      <c r="U4" s="271"/>
      <c r="V4" s="271"/>
      <c r="W4" s="271"/>
      <c r="X4" s="271"/>
      <c r="Y4" s="271"/>
      <c r="Z4" s="271"/>
      <c r="AA4" s="271"/>
      <c r="AE4" s="409"/>
      <c r="AF4" s="409"/>
      <c r="AG4" s="409"/>
      <c r="AH4" s="376"/>
      <c r="AI4" s="409"/>
      <c r="AJ4" s="409"/>
      <c r="AK4" s="409"/>
      <c r="AL4" s="409"/>
      <c r="AM4" s="409"/>
      <c r="AN4" s="409"/>
      <c r="AO4" s="409"/>
      <c r="AP4" s="409"/>
    </row>
    <row r="5" spans="1:42" x14ac:dyDescent="0.2">
      <c r="C5" s="477"/>
      <c r="D5" s="477"/>
      <c r="E5" s="477"/>
      <c r="F5" s="477"/>
      <c r="G5" s="477"/>
      <c r="H5" s="477"/>
      <c r="I5" s="477"/>
      <c r="J5" s="477"/>
      <c r="K5" s="477"/>
      <c r="L5" s="477"/>
      <c r="M5" s="477"/>
      <c r="N5" s="477"/>
      <c r="O5" s="477"/>
      <c r="P5" s="271"/>
      <c r="Q5" s="271"/>
      <c r="R5" s="271"/>
      <c r="S5" s="271"/>
      <c r="T5" s="271"/>
      <c r="U5" s="271"/>
      <c r="V5" s="271"/>
      <c r="W5" s="271"/>
      <c r="X5" s="271"/>
      <c r="Y5" s="271"/>
      <c r="Z5" s="271"/>
      <c r="AA5" s="271"/>
      <c r="AC5" s="271"/>
      <c r="AD5" s="964" t="s">
        <v>214</v>
      </c>
    </row>
    <row r="6" spans="1:42" x14ac:dyDescent="0.2">
      <c r="A6" s="311" t="s">
        <v>0</v>
      </c>
      <c r="B6" s="416"/>
      <c r="C6" s="276">
        <v>1</v>
      </c>
      <c r="D6" s="276">
        <v>2</v>
      </c>
      <c r="E6" s="276">
        <v>3</v>
      </c>
      <c r="F6" s="276">
        <v>4</v>
      </c>
      <c r="G6" s="276">
        <v>5</v>
      </c>
      <c r="H6" s="276" t="s">
        <v>168</v>
      </c>
      <c r="I6" s="275" t="s">
        <v>169</v>
      </c>
      <c r="J6" s="417" t="s">
        <v>257</v>
      </c>
      <c r="K6" s="418" t="s">
        <v>258</v>
      </c>
      <c r="L6" s="419" t="s">
        <v>259</v>
      </c>
      <c r="M6" s="419" t="s">
        <v>260</v>
      </c>
      <c r="N6" s="420" t="s">
        <v>170</v>
      </c>
      <c r="O6" s="420" t="s">
        <v>170</v>
      </c>
      <c r="P6" s="421" t="s">
        <v>261</v>
      </c>
      <c r="Q6" s="422" t="s">
        <v>21</v>
      </c>
      <c r="R6" s="422" t="b">
        <f>OR(AND(COUNTA(B7:B11)=3,COUNTA(C7:G11)=6),AND(COUNTA(B7:B11)=4,COUNTA(C7:G11)=12),AND(COUNTA(B7:B11)=5,COUNTA(C7:G11)=20))</f>
        <v>0</v>
      </c>
      <c r="S6" s="423" t="s">
        <v>262</v>
      </c>
      <c r="T6" s="424" t="s">
        <v>263</v>
      </c>
      <c r="U6" s="62"/>
      <c r="AC6" s="271"/>
      <c r="AD6" s="272" t="s">
        <v>370</v>
      </c>
      <c r="AE6" s="273"/>
      <c r="AF6" s="273" t="s">
        <v>249</v>
      </c>
      <c r="AG6" s="273"/>
      <c r="AH6" s="403" t="s">
        <v>250</v>
      </c>
      <c r="AI6" s="273"/>
      <c r="AJ6" s="273" t="s">
        <v>251</v>
      </c>
      <c r="AK6" s="274"/>
      <c r="AL6" s="273" t="s">
        <v>252</v>
      </c>
      <c r="AM6" s="274"/>
      <c r="AN6" s="274" t="s">
        <v>472</v>
      </c>
      <c r="AO6" s="945"/>
      <c r="AP6" s="274" t="s">
        <v>473</v>
      </c>
    </row>
    <row r="7" spans="1:42" x14ac:dyDescent="0.2">
      <c r="A7" s="316">
        <v>1</v>
      </c>
      <c r="B7" s="479"/>
      <c r="C7" s="319"/>
      <c r="D7" s="318"/>
      <c r="E7" s="318"/>
      <c r="F7" s="318"/>
      <c r="G7" s="318"/>
      <c r="H7" s="317" t="str">
        <f>(IF(D7-C8&gt;0,1)+IF(E7-C9&gt;0,1)+IF(F7-C10&gt;0,1)+IF(G7-C11&gt;0,1))&amp;"-"&amp;(IF(D7-C8&lt;0,1)+IF(E7-C9&lt;0,1)+IF(F7-C10&lt;0,1)+IF(G7-C11&lt;0,1))</f>
        <v>0-0</v>
      </c>
      <c r="I7" s="318" t="str">
        <f>IF(AND(B7&lt;&gt;"",R$6=TRUE),A$6&amp;RANK(S7,S$7:S$11,0)," ")</f>
        <v xml:space="preserve"> </v>
      </c>
      <c r="J7" s="480">
        <f>IF(AND(Q7=1,Q8=1,D7&gt;C8),1)+IF(AND(Q7=1,Q9=1,E7&gt;C9),1)+IF(AND(Q7=1,Q10=1,F7&gt;C10),1)+IF(AND(Q7=1,Q11=1,G7&gt;C11),1)+IF(AND(Q7=2,Q8=2,D7&gt;C8),1)+IF(AND(Q7=2,Q9=2,E7&gt;C9),1)+IF(AND(Q7=2,Q10=2,F7&gt;C10),1)+IF(AND(Q7=2,Q11=2,G7&gt;C11),1)+IF(AND(Q7=3,Q8=3,D7&gt;C8),1)+IF(AND(Q7=3,Q9=3,E7&gt;C9),1)+IF(AND(Q7=3,Q10=3,F7&gt;C10),1)+IF(AND(Q7=3,Q11=3,G7&gt;C11),1)</f>
        <v>0</v>
      </c>
      <c r="K7" s="481">
        <f>SUM(AND(T7=T8,D7&gt;C8),AND(T7=T9,E7&gt;C9),AND(T7=T10,F7&gt;C10),AND(T7=T11,G7&gt;C11))</f>
        <v>0</v>
      </c>
      <c r="L7" s="482">
        <f>IF(AND(Q7=1,Q8=1),D7-C8)+IF(AND(Q7=1,Q9=1),E7-C9)+IF(AND(Q7=1,Q10=1),F7-C10)+IF(AND(Q7=1,Q11=1),G7-C11)+IF(AND(Q7=2,Q8=2),D7-C8)+IF(AND(Q7=2,Q9=2),E7-C9)+IF(AND(Q7=2,Q10=2),F7-C10)+IF(AND(Q7=2,Q11=2),G7-C11)+IF(AND(Q7=3,Q8=3),D7-C8)+IF(AND(Q7=3,Q9=3),E7-C9)+IF(AND(Q7=3,Q10=3),F7-C10)+IF(AND(Q7=3,Q11=3),G7-C11)+IF(AND(Q7=4,Q8=4),D7-C8)+IF(AND(Q7=4,Q9=4),E7-C9)+IF(AND(Q7=4,Q10=4),F7-C10)+IF(AND(Q7=4,Q11=4),G7-C11)</f>
        <v>0</v>
      </c>
      <c r="M7" s="483">
        <f>SUM(AND(R7=R8,D7&gt;C8),AND(R7=R9,E7&gt;C9),AND(R7=R10,F7&gt;C10),AND(R7=R11,G7&gt;C11))</f>
        <v>0</v>
      </c>
      <c r="N7" s="968" t="str">
        <f>SUM(C7:G7)&amp;"-"&amp;SUM(C7:C11)</f>
        <v>0-0</v>
      </c>
      <c r="O7" s="533">
        <f>D7+E7+F7+G7-C8-C9-C10-C11</f>
        <v>0</v>
      </c>
      <c r="P7" s="485" t="e">
        <f>SUM(C7:G7,C7:C11)/SUM(C7:C11)</f>
        <v>#DIV/0!</v>
      </c>
      <c r="Q7" s="320">
        <f>VALUE(LEFT(H7,1))</f>
        <v>0</v>
      </c>
      <c r="R7" s="321">
        <f>Q7*100000+J7*10000+K7*1000+100*L7</f>
        <v>0</v>
      </c>
      <c r="S7" s="486">
        <f>R7+M7*0.1+IF(ISNONTEXT(B7),0,0.01)+0.0001*O7</f>
        <v>0</v>
      </c>
      <c r="T7" s="487" t="str">
        <f>Q7&amp;J7</f>
        <v>00</v>
      </c>
      <c r="U7" s="477"/>
      <c r="V7" s="477"/>
      <c r="W7" s="477"/>
      <c r="X7" s="477"/>
      <c r="Y7" s="477"/>
      <c r="Z7" s="477"/>
      <c r="AA7" s="477"/>
      <c r="AB7" s="477"/>
      <c r="AC7" s="477"/>
      <c r="AD7" s="405">
        <f>SUM(AE7:AP7)</f>
        <v>0</v>
      </c>
      <c r="AE7" s="406" t="str">
        <f>IFERROR(INDEX(V!$R:$R,MATCH(AF7,V!$L:$L,0)),"")</f>
        <v/>
      </c>
      <c r="AF7" s="407" t="str">
        <f>IFERROR(LEFT($B7,(FIND(",",$B7,1)-1)),"")</f>
        <v/>
      </c>
      <c r="AG7" s="406" t="str">
        <f>IFERROR(INDEX(V!$R:$R,MATCH(AH7,V!$L:$L,0)),"")</f>
        <v/>
      </c>
      <c r="AH7" s="407" t="str">
        <f>IFERROR(MID($B7,FIND(", ",$B7)+2,256),"")</f>
        <v/>
      </c>
      <c r="AI7" s="406" t="str">
        <f>IFERROR(INDEX(V!$R:$R,MATCH(AJ7,V!$L:$L,0)),"")</f>
        <v/>
      </c>
      <c r="AJ7" s="407" t="str">
        <f>IFERROR(MID($B7,FIND("^",SUBSTITUTE($B7,", ","^",1))+2,FIND("^",SUBSTITUTE($B7,", ","^",2))-FIND("^",SUBSTITUTE($B7,", ","^",1))-2),"")</f>
        <v/>
      </c>
      <c r="AK7" s="406" t="str">
        <f>IFERROR(INDEX(V!$R:$R,MATCH(AL7,V!$L:$L,0)),"")</f>
        <v/>
      </c>
      <c r="AL7" s="407" t="str">
        <f>IFERROR(MID($B7,FIND(", ",$B7,FIND(", ",$B7,FIND(", ",$B7))+1)+2,30000),"")</f>
        <v/>
      </c>
      <c r="AM7" s="406" t="str">
        <f>IFERROR(INDEX(V!$R:$R,MATCH(AN7,V!$L:$L,0)),"")</f>
        <v/>
      </c>
      <c r="AN7" s="407" t="str">
        <f>IFERROR(MID($B7,FIND(", ",$B7,FIND(", ",$B7)+1)+2,FIND(", ",$B7,FIND(", ",$B7,FIND(", ",$B7)+1)+1)-FIND(", ",$B7,FIND(", ",$B7)+1)-2),"")</f>
        <v/>
      </c>
      <c r="AO7" s="406" t="str">
        <f>IFERROR(INDEX(V!$R:$R,MATCH(AP7,V!$L:$L,0)),"")</f>
        <v/>
      </c>
      <c r="AP7" s="407" t="str">
        <f>IFERROR(MID($B7,FIND(", ",$B7,FIND(", ",$B7,FIND(", ",$B7)+1)+1)+2,30000),"")</f>
        <v/>
      </c>
    </row>
    <row r="8" spans="1:42" x14ac:dyDescent="0.2">
      <c r="A8" s="316">
        <v>2</v>
      </c>
      <c r="B8" s="488"/>
      <c r="C8" s="318"/>
      <c r="D8" s="319"/>
      <c r="E8" s="318"/>
      <c r="F8" s="318"/>
      <c r="G8" s="318"/>
      <c r="H8" s="317" t="str">
        <f>(IF(C8-D7&gt;0,1)+IF(E8-D9&gt;0,1)+IF(F8-D10&gt;0,1)+IF(G8-D11&gt;0,1))&amp;"-"&amp;(IF(C8-D7&lt;0,1)+IF(E8-D9&lt;0,1)+IF(F8-D10&lt;0,1)+IF(G8-D11&lt;0,1))</f>
        <v>0-0</v>
      </c>
      <c r="I8" s="318" t="str">
        <f>IF(AND(B8&lt;&gt;"",R$6=TRUE),A$6&amp;RANK(S8,S$7:S$11,0)," ")</f>
        <v xml:space="preserve"> </v>
      </c>
      <c r="J8" s="489">
        <f>IF(AND(Q8=1,Q7=1,C8&gt;D7),1)+IF(AND(Q8=1,Q9=1,E8&gt;D9),1)+IF(AND(Q8=1,Q10=1,F8&gt;D10),1)+IF(AND(Q8=1,Q11=1,G8&gt;D11),1)+IF(AND(Q8=2,Q7=2,C8&gt;D7),1)+IF(AND(Q8=2,Q9=2,E8&gt;D9),1)+IF(AND(Q8=2,Q10=2,F8&gt;D10),1)+IF(AND(Q8=2,Q11=2,G8&gt;D11),1)+IF(AND(Q8=3,Q7=3,C8&gt;D7),1)+IF(AND(Q8=3,Q9=3,E8&gt;D9),1)+IF(AND(Q8=3,Q10=3,F8&gt;D10),1)+IF(AND(Q8=3,Q11=3,G8&gt;D11),1)</f>
        <v>0</v>
      </c>
      <c r="K8" s="483">
        <f>SUM(AND(T8=T7,C8&gt;D7),AND(T8=T9,E8&gt;D9),AND(T8=T10,F8&gt;D10),AND(T8=T11,G8&gt;D11))</f>
        <v>0</v>
      </c>
      <c r="L8" s="490">
        <f>IF(AND(Q8=1,Q7=1),C8-D7)+IF(AND(Q8=1,Q9=1),E8-D9)+IF(AND(Q8=1,Q10=1),F8-D10)+IF(AND(Q8=1,Q11=1),G8-D11)+IF(AND(Q8=2,Q7=2),C8-D7)+IF(AND(Q8=2,Q9=2),E8-D9)+IF(AND(Q8=2,Q10=2),F8-D10)+IF(AND(Q8=2,Q11=2),G8-D11)+IF(AND(Q8=3,Q7=3),C8-D7)+IF(AND(Q8=3,Q9=3),E8-D9)+IF(AND(Q8=3,Q10=3),F8-D10)+IF(AND(Q8=3,Q11=3),G8-D11)+IF(AND(Q8=4,Q7=4),C8-D7)+IF(AND(Q8=4,Q9=4),E8-D9)+IF(AND(Q8=4,Q10=4),F8-D10)+IF(AND(Q8=4,Q11=4),G8-D11)</f>
        <v>0</v>
      </c>
      <c r="M8" s="483">
        <f>SUM(AND(R8=R7,C8&gt;D7),AND(R8=R9,E8&gt;D9),AND(R8=R10,F8&gt;D10),AND(R8=R11,G8&gt;D11))</f>
        <v>0</v>
      </c>
      <c r="N8" s="968" t="str">
        <f>SUM(C8:G8)&amp;"-"&amp;SUM(D7:D11)</f>
        <v>0-0</v>
      </c>
      <c r="O8" s="533">
        <f>C8+E8+F8+G8-D7-D9-D10-D11</f>
        <v>0</v>
      </c>
      <c r="P8" s="485" t="e">
        <f>SUM(C8:G8,D7:D11)/SUM(D7:D11)</f>
        <v>#DIV/0!</v>
      </c>
      <c r="Q8" s="491">
        <f>VALUE(LEFT(H8,1))</f>
        <v>0</v>
      </c>
      <c r="R8" s="321">
        <f>Q8*100000+J8*10000+K8*1000+100*L8</f>
        <v>0</v>
      </c>
      <c r="S8" s="486">
        <f>R8+M8*0.1+IF(ISNONTEXT(B8),0,0.01)+0.0001*O8</f>
        <v>0</v>
      </c>
      <c r="T8" s="487" t="str">
        <f>Q8&amp;J8</f>
        <v>00</v>
      </c>
      <c r="U8" s="477"/>
      <c r="V8" s="477"/>
      <c r="W8" s="477"/>
      <c r="X8" s="477"/>
      <c r="Y8" s="477"/>
      <c r="Z8" s="477"/>
      <c r="AA8" s="477"/>
      <c r="AB8" s="477"/>
      <c r="AC8" s="485"/>
      <c r="AD8" s="405">
        <f t="shared" ref="AD8:AD19" si="0">SUM(AE8:AL8)</f>
        <v>0</v>
      </c>
      <c r="AE8" s="406" t="str">
        <f>IFERROR(INDEX(V!$R:$R,MATCH(AF8,V!$L:$L,0)),"")</f>
        <v/>
      </c>
      <c r="AF8" s="407" t="str">
        <f t="shared" ref="AF8:AF31" si="1">IFERROR(LEFT($B8,(FIND(",",$B8,1)-1)),"")</f>
        <v/>
      </c>
      <c r="AG8" s="406" t="str">
        <f>IFERROR(INDEX(V!$R:$R,MATCH(AH8,V!$L:$L,0)),"")</f>
        <v/>
      </c>
      <c r="AH8" s="407" t="str">
        <f t="shared" ref="AH8:AH31" si="2">IFERROR(MID($B8,FIND(", ",$B8)+2,256),"")</f>
        <v/>
      </c>
      <c r="AI8" s="406" t="str">
        <f>IFERROR(INDEX(V!$R:$R,MATCH(AJ8,V!$L:$L,0)),"")</f>
        <v/>
      </c>
      <c r="AJ8" s="407" t="str">
        <f t="shared" ref="AJ8:AJ31" si="3">IFERROR(MID($B8,FIND("^",SUBSTITUTE($B8,", ","^",1))+2,FIND("^",SUBSTITUTE($B8,", ","^",2))-FIND("^",SUBSTITUTE($B8,", ","^",1))-2),"")</f>
        <v/>
      </c>
      <c r="AK8" s="406" t="str">
        <f>IFERROR(INDEX(V!$R:$R,MATCH(AL8,V!$L:$L,0)),"")</f>
        <v/>
      </c>
      <c r="AL8" s="407" t="str">
        <f t="shared" ref="AL8:AL31" si="4">IFERROR(MID($B8,FIND(", ",$B8,FIND(", ",$B8,FIND(", ",$B8))+1)+2,30000),"")</f>
        <v/>
      </c>
      <c r="AM8" s="406" t="str">
        <f>IFERROR(INDEX(V!$R:$R,MATCH(AN8,V!$L:$L,0)),"")</f>
        <v/>
      </c>
      <c r="AN8" s="407" t="str">
        <f t="shared" ref="AN8:AN31" si="5">IFERROR(MID($B8,FIND(", ",$B8,FIND(", ",$B8)+1)+2,FIND(", ",$B8,FIND(", ",$B8,FIND(", ",$B8)+1)+1)-FIND(", ",$B8,FIND(", ",$B8)+1)-2),"")</f>
        <v/>
      </c>
      <c r="AO8" s="406" t="str">
        <f>IFERROR(INDEX(V!$R:$R,MATCH(AP8,V!$L:$L,0)),"")</f>
        <v/>
      </c>
      <c r="AP8" s="407" t="str">
        <f t="shared" ref="AP8:AP31" si="6">IFERROR(MID($B8,FIND(", ",$B8,FIND(", ",$B8,FIND(", ",$B8)+1)+1)+2,30000),"")</f>
        <v/>
      </c>
    </row>
    <row r="9" spans="1:42" x14ac:dyDescent="0.2">
      <c r="A9" s="316">
        <v>3</v>
      </c>
      <c r="B9" s="488"/>
      <c r="C9" s="318"/>
      <c r="D9" s="492"/>
      <c r="E9" s="319"/>
      <c r="F9" s="318"/>
      <c r="G9" s="318"/>
      <c r="H9" s="317" t="str">
        <f>(IF(C9-E7&gt;0,1)+IF(D9-E8&gt;0,1)+IF(F9-E10&gt;0,1)+IF(G9-E11&gt;0,1))&amp;"-"&amp;(IF(C9-E7&lt;0,1)+IF(D9-E8&lt;0,1)+IF(F9-E10&lt;0,1)+IF(G9-E11&lt;0,1))</f>
        <v>0-0</v>
      </c>
      <c r="I9" s="318" t="str">
        <f>IF(AND(B9&lt;&gt;"",R$6=TRUE),A$6&amp;RANK(S9,S$7:S$11,0)," ")</f>
        <v xml:space="preserve"> </v>
      </c>
      <c r="J9" s="489">
        <f>IF(AND(Q9=1,Q7=1,C9&gt;E7),1)+IF(AND(Q9=1,Q8=1,D9&gt;E8),1)+IF(AND(Q9=1,Q10=1,F9&gt;E10),1)+IF(AND(Q9=1,Q11=1,G9&gt;E11),1)+IF(AND(Q9=2,Q7=2,C9&gt;E7),1)+IF(AND(Q9=2,Q8=2,D9&gt;E8),1)+IF(AND(Q9=2,Q10=2,F9&gt;E10),1)+IF(AND(Q9=2,Q11=2,G9&gt;E11),1)+IF(AND(Q9=3,Q7=3,C9&gt;E7),1)+IF(AND(Q9=3,Q8=3,D9&gt;E8),1)+IF(AND(Q9=3,Q10=3,F9&gt;E10),1)+IF(AND(Q9=3,Q11=3,G9&gt;E11),1)</f>
        <v>0</v>
      </c>
      <c r="K9" s="483">
        <f>SUM(AND(T9=T7,C9&gt;E7),AND(T9=T8,D9&gt;E8),AND(T9=T10,F9&gt;E10),AND(T9=T11,G9&gt;E11))</f>
        <v>0</v>
      </c>
      <c r="L9" s="490">
        <f>IF(AND(Q9=1,Q7=1),C9-E7)+IF(AND(Q9=1,Q8=1),D9-E8)+IF(AND(Q9=1,Q10=1),F9-E10)+IF(AND(Q9=1,Q11=1),G9-E11)+IF(AND(Q9=2,Q7=2),C9-E7)+IF(AND(Q9=2,Q8=2),D9-E8)+IF(AND(Q9=2,Q10=2),F9-E10)+IF(AND(Q9=2,Q11=2),G9-E11)+IF(AND(Q9=3,Q7=3),C9-E7)+IF(AND(Q9=3,Q8=3),D9-E8)+IF(AND(Q9=3,Q10=3),F9-E10)+IF(AND(Q9=3,Q11=3),G9-E11)+IF(AND(Q9=4,Q7=4),C9-E7)+IF(AND(Q9=4,Q8=4),D9-E8)+IF(AND(Q9=4,Q10=4),F9-E10)+IF(AND(Q9=4,Q11=4),G9-E11)</f>
        <v>0</v>
      </c>
      <c r="M9" s="483">
        <f>SUM(AND(R9=R7,C9&gt;E7),AND(R9=R8,D9&gt;E8),AND(R9=R10,F9&gt;E10),AND(R9=R11,G9&gt;E11))</f>
        <v>0</v>
      </c>
      <c r="N9" s="968" t="str">
        <f>SUM(C9:G9)&amp;"-"&amp;SUM(E7:E11)</f>
        <v>0-0</v>
      </c>
      <c r="O9" s="533">
        <f>C9+D9+F9+G9-E7-E8-E10-E11</f>
        <v>0</v>
      </c>
      <c r="P9" s="485" t="e">
        <f>SUM(C9:G9,E7:E11)/SUM(E7:E11)</f>
        <v>#DIV/0!</v>
      </c>
      <c r="Q9" s="491">
        <f>VALUE(LEFT(H9,1))</f>
        <v>0</v>
      </c>
      <c r="R9" s="321">
        <f>Q9*100000+J9*10000+K9*1000+100*L9</f>
        <v>0</v>
      </c>
      <c r="S9" s="486">
        <f>R9+M9*0.1+IF(ISNONTEXT(B9),0,0.01)+0.0001*O9</f>
        <v>0</v>
      </c>
      <c r="T9" s="487" t="str">
        <f>Q9&amp;J9</f>
        <v>00</v>
      </c>
      <c r="U9" s="477"/>
      <c r="V9" s="477"/>
      <c r="W9" s="477"/>
      <c r="X9" s="477"/>
      <c r="Y9" s="477"/>
      <c r="Z9" s="477"/>
      <c r="AA9" s="477"/>
      <c r="AB9" s="477"/>
      <c r="AC9" s="485"/>
      <c r="AD9" s="405">
        <f t="shared" si="0"/>
        <v>0</v>
      </c>
      <c r="AE9" s="406" t="str">
        <f>IFERROR(INDEX(V!$R:$R,MATCH(AF9,V!$L:$L,0)),"")</f>
        <v/>
      </c>
      <c r="AF9" s="407" t="str">
        <f t="shared" si="1"/>
        <v/>
      </c>
      <c r="AG9" s="406" t="str">
        <f>IFERROR(INDEX(V!$R:$R,MATCH(AH9,V!$L:$L,0)),"")</f>
        <v/>
      </c>
      <c r="AH9" s="407" t="str">
        <f t="shared" si="2"/>
        <v/>
      </c>
      <c r="AI9" s="406" t="str">
        <f>IFERROR(INDEX(V!$R:$R,MATCH(AJ9,V!$L:$L,0)),"")</f>
        <v/>
      </c>
      <c r="AJ9" s="407" t="str">
        <f t="shared" si="3"/>
        <v/>
      </c>
      <c r="AK9" s="406" t="str">
        <f>IFERROR(INDEX(V!$R:$R,MATCH(AL9,V!$L:$L,0)),"")</f>
        <v/>
      </c>
      <c r="AL9" s="407" t="str">
        <f t="shared" si="4"/>
        <v/>
      </c>
      <c r="AM9" s="406" t="str">
        <f>IFERROR(INDEX(V!$R:$R,MATCH(AN9,V!$L:$L,0)),"")</f>
        <v/>
      </c>
      <c r="AN9" s="407" t="str">
        <f t="shared" si="5"/>
        <v/>
      </c>
      <c r="AO9" s="406" t="str">
        <f>IFERROR(INDEX(V!$R:$R,MATCH(AP9,V!$L:$L,0)),"")</f>
        <v/>
      </c>
      <c r="AP9" s="407" t="str">
        <f t="shared" si="6"/>
        <v/>
      </c>
    </row>
    <row r="10" spans="1:42" x14ac:dyDescent="0.2">
      <c r="A10" s="316">
        <v>4</v>
      </c>
      <c r="B10" s="493"/>
      <c r="C10" s="318"/>
      <c r="D10" s="492"/>
      <c r="E10" s="318"/>
      <c r="F10" s="319"/>
      <c r="G10" s="318"/>
      <c r="H10" s="317" t="str">
        <f>(IF(C10-F7&gt;0,1)+IF(D10-F8&gt;0,1)+IF(E10-F9&gt;0,1)+IF(G10-F11&gt;0,1))&amp;"-"&amp;(IF(C10-F7&lt;0,1)+IF(D10-F8&lt;0,1)+IF(E10-F9&lt;0,1)+IF(G10-F11&lt;0,1))</f>
        <v>0-0</v>
      </c>
      <c r="I10" s="318" t="str">
        <f>IF(AND(B10&lt;&gt;"",R$6=TRUE),A$6&amp;RANK(S10,S$7:S$11,0)," ")</f>
        <v xml:space="preserve"> </v>
      </c>
      <c r="J10" s="489">
        <f>IF(AND(Q10=1,Q7=1,C10&gt;F7),1)+IF(AND(Q10=1,Q8=1,D10&gt;F8),1)+IF(AND(Q10=1,Q9=1,E10&gt;F9),1)+IF(AND(Q10=1,Q11=1,G10&gt;F11),1)+IF(AND(Q10=2,Q7=2,C10&gt;F7),1)+IF(AND(Q10=2,Q8=2,D10&gt;F8),1)+IF(AND(Q10=2,Q9=2,E10&gt;F9),1)+IF(AND(Q10=2,Q11=2,G10&gt;F11),1)+IF(AND(Q10=3,Q7=3,C10&gt;F7),1)+IF(AND(Q10=3,Q8=3,D10&gt;F8),1)+IF(AND(Q10=3,Q9=3,E10&gt;F9),1)+IF(AND(Q10=3,Q11=3,G10&gt;F11),1)</f>
        <v>0</v>
      </c>
      <c r="K10" s="483">
        <f>SUM(AND(T10=T7,C10&gt;F7),AND(T10=T8,D10&gt;F8),AND(T10=T9,E10&gt;F9),AND(T10=T11,G10&gt;F11))</f>
        <v>0</v>
      </c>
      <c r="L10" s="490">
        <f>IF(AND(Q10=1,Q7=1),C10-F7)+IF(AND(Q10=1,Q8=1),D10-F8)+IF(AND(Q10=1,Q9=1),E10-F9)+IF(AND(Q10=1,Q11=1),G10-F11)+IF(AND(Q10=2,Q7=2),C10-F7)+IF(AND(Q10=2,Q8=2),D10-F8)+IF(AND(Q10=2,Q9=2),E10-F9)+IF(AND(Q10=2,Q11=2),G10-F11)+IF(AND(Q10=3,Q7=3),C10-F7)+IF(AND(Q10=3,Q8=3),D10-F8)+IF(AND(Q10=3,Q9=3),E10-F9)+IF(AND(Q10=3,Q11=3),G10-F11)+IF(AND(Q10=4,Q7=4),C10-F7)+IF(AND(Q10=4,Q8=4),D10-F8)+IF(AND(Q10=4,Q9=4),E10-F9)+IF(AND(Q10=4,Q11=4),G10-F11)</f>
        <v>0</v>
      </c>
      <c r="M10" s="483">
        <f>SUM(AND(R10=R7,C10&gt;F7),AND(R10=R8,D10&gt;F8),AND(R10=R9,E10&gt;F9),AND(R10=R11,G10&gt;F11))</f>
        <v>0</v>
      </c>
      <c r="N10" s="968" t="str">
        <f>SUM(C10:G10)&amp;"-"&amp;SUM(F7:F11)</f>
        <v>0-0</v>
      </c>
      <c r="O10" s="533">
        <f>C10+D10+E10+G10-F7-F8-F9-F11</f>
        <v>0</v>
      </c>
      <c r="P10" s="485" t="e">
        <f>SUM(C10:G10,F7:F11)/SUM(F7:F11)</f>
        <v>#DIV/0!</v>
      </c>
      <c r="Q10" s="491">
        <f>VALUE(LEFT(H10,1))</f>
        <v>0</v>
      </c>
      <c r="R10" s="321">
        <f>Q10*100000+J10*10000+K10*1000+100*L10</f>
        <v>0</v>
      </c>
      <c r="S10" s="486">
        <f>R10+M10*0.1+IF(ISNONTEXT(B10),0,0.01)+0.0001*O10</f>
        <v>0</v>
      </c>
      <c r="T10" s="487" t="str">
        <f>Q10&amp;J10</f>
        <v>00</v>
      </c>
      <c r="U10" s="477"/>
      <c r="V10" s="477"/>
      <c r="W10" s="477"/>
      <c r="X10" s="477"/>
      <c r="Y10" s="477"/>
      <c r="Z10" s="477"/>
      <c r="AA10" s="477"/>
      <c r="AB10" s="477"/>
      <c r="AC10" s="485"/>
      <c r="AD10" s="405">
        <f t="shared" si="0"/>
        <v>0</v>
      </c>
      <c r="AE10" s="406" t="str">
        <f>IFERROR(INDEX(V!$R:$R,MATCH(AF10,V!$L:$L,0)),"")</f>
        <v/>
      </c>
      <c r="AF10" s="407" t="str">
        <f t="shared" si="1"/>
        <v/>
      </c>
      <c r="AG10" s="406" t="str">
        <f>IFERROR(INDEX(V!$R:$R,MATCH(AH10,V!$L:$L,0)),"")</f>
        <v/>
      </c>
      <c r="AH10" s="407" t="str">
        <f t="shared" si="2"/>
        <v/>
      </c>
      <c r="AI10" s="406" t="str">
        <f>IFERROR(INDEX(V!$R:$R,MATCH(AJ10,V!$L:$L,0)),"")</f>
        <v/>
      </c>
      <c r="AJ10" s="407" t="str">
        <f t="shared" si="3"/>
        <v/>
      </c>
      <c r="AK10" s="406" t="str">
        <f>IFERROR(INDEX(V!$R:$R,MATCH(AL10,V!$L:$L,0)),"")</f>
        <v/>
      </c>
      <c r="AL10" s="407" t="str">
        <f t="shared" si="4"/>
        <v/>
      </c>
      <c r="AM10" s="406" t="str">
        <f>IFERROR(INDEX(V!$R:$R,MATCH(AN10,V!$L:$L,0)),"")</f>
        <v/>
      </c>
      <c r="AN10" s="407" t="str">
        <f t="shared" si="5"/>
        <v/>
      </c>
      <c r="AO10" s="406" t="str">
        <f>IFERROR(INDEX(V!$R:$R,MATCH(AP10,V!$L:$L,0)),"")</f>
        <v/>
      </c>
      <c r="AP10" s="407" t="str">
        <f t="shared" si="6"/>
        <v/>
      </c>
    </row>
    <row r="11" spans="1:42" x14ac:dyDescent="0.2">
      <c r="A11" s="316">
        <v>5</v>
      </c>
      <c r="B11" s="493"/>
      <c r="C11" s="318"/>
      <c r="D11" s="318"/>
      <c r="E11" s="318"/>
      <c r="F11" s="318"/>
      <c r="G11" s="319"/>
      <c r="H11" s="317" t="str">
        <f>(IF(C11-G7&gt;0,1)+IF(D11-G8&gt;0,1)+IF(E11-G9&gt;0,1)+IF(F11-G10&gt;0,1))&amp;"-"&amp;(IF(C11-G7&lt;0,1)+IF(D11-G8&lt;0,1)+IF(E11-G9&lt;0,1)+IF(F11-G10&lt;0,1))</f>
        <v>0-0</v>
      </c>
      <c r="I11" s="318" t="str">
        <f>IF(AND(B11&lt;&gt;"",R$6=TRUE),A$6&amp;RANK(S11,S$7:S$11,0)," ")</f>
        <v xml:space="preserve"> </v>
      </c>
      <c r="J11" s="489">
        <f>IF(AND(Q11=1,Q7=1,C11&gt;G7),1)+IF(AND(Q11=1,Q8=1,D11&gt;G8),1)+IF(AND(Q11=1,Q9=1,E11&gt;G9),1)+IF(AND(Q11=1,Q10=1,F11&gt;G10),1)+IF(AND(Q11=2,Q7=2,C11&gt;G7),1)+IF(AND(Q11=2,Q8=2,D11&gt;G8),1)+IF(AND(Q11=2,Q9=2,E11&gt;G9),1)+IF(AND(Q11=2,Q10=2,F11&gt;G10),1)+IF(AND(Q11=3,Q7=3,C11&gt;G7),1)+IF(AND(Q11=3,Q8=3,D11&gt;G8),1)+IF(AND(Q11=3,Q9=3,E11&gt;G9),1)+IF(AND(Q11=3,Q10=3,F11&gt;G10),1)</f>
        <v>0</v>
      </c>
      <c r="K11" s="483">
        <f>SUM(AND(T11=T7,C11&gt;G7),AND(T11=T8,D11&gt;G8),AND(T11=T9,E11&gt;G9),AND(T11=T10,F11&gt;G10))</f>
        <v>0</v>
      </c>
      <c r="L11" s="490">
        <f>IF(AND(Q11=1,Q7=1),C11-G7)+IF(AND(Q11=1,Q8=1),D11-G8)+IF(AND(Q11=1,Q9=1),E11-G9)+IF(AND(Q11=1,Q10=1),F11-G10)+IF(AND(Q11=2,Q7=2),C11-G7)+IF(AND(Q11=2,Q8=2),D11-G8)+IF(AND(Q11=2,Q9=2),E11-G9)+IF(AND(Q11=2,Q10=2),F11-G10)+IF(AND(Q11=3,Q7=3),C11-G7)+IF(AND(Q11=3,Q8=3),D11-G8)+IF(AND(Q11=3,Q9=3),E11-G9)+IF(AND(Q11=3,Q10=3),F11-G10)+IF(AND(Q11=4,Q7=4),C11-G7)+IF(AND(Q11=4,Q8=4),D11-G8)+IF(AND(Q11=4,Q9=4),E11-G9)+IF(AND(Q11=4,Q10=4),F11-G10)</f>
        <v>0</v>
      </c>
      <c r="M11" s="483">
        <f>SUM(AND(R11=R7,C11&gt;G7),AND(R11=R8,D11&gt;G8),AND(R11=R9,E11&gt;G9),AND(R11=R10,F11&gt;G10))</f>
        <v>0</v>
      </c>
      <c r="N11" s="968" t="str">
        <f>SUM(C11:G11)&amp;"-"&amp;SUM(G7:G11)</f>
        <v>0-0</v>
      </c>
      <c r="O11" s="533">
        <f>C11+D11+E11+F11-G7-G8-G9-G10</f>
        <v>0</v>
      </c>
      <c r="P11" s="485" t="e">
        <f>SUM(C11:G11,G7:G11)/SUM(G7:G11)</f>
        <v>#DIV/0!</v>
      </c>
      <c r="Q11" s="491">
        <f>VALUE(LEFT(H11,1))</f>
        <v>0</v>
      </c>
      <c r="R11" s="321">
        <f>Q11*100000+J11*10000+K11*1000+100*L11</f>
        <v>0</v>
      </c>
      <c r="S11" s="486">
        <f>R11+M11*0.1+IF(ISNONTEXT(B11),0,0.01)+0.0001*O11</f>
        <v>0</v>
      </c>
      <c r="T11" s="487" t="str">
        <f>Q11&amp;J11</f>
        <v>00</v>
      </c>
      <c r="U11" s="477"/>
      <c r="V11" s="477"/>
      <c r="W11" s="477"/>
      <c r="X11" s="477"/>
      <c r="Y11" s="477"/>
      <c r="Z11" s="477"/>
      <c r="AA11" s="477"/>
      <c r="AB11" s="477"/>
      <c r="AC11" s="485"/>
      <c r="AD11" s="405">
        <f t="shared" si="0"/>
        <v>0</v>
      </c>
      <c r="AE11" s="406" t="str">
        <f>IFERROR(INDEX(V!$R:$R,MATCH(AF11,V!$L:$L,0)),"")</f>
        <v/>
      </c>
      <c r="AF11" s="407" t="str">
        <f t="shared" si="1"/>
        <v/>
      </c>
      <c r="AG11" s="406" t="str">
        <f>IFERROR(INDEX(V!$R:$R,MATCH(AH11,V!$L:$L,0)),"")</f>
        <v/>
      </c>
      <c r="AH11" s="407" t="str">
        <f t="shared" si="2"/>
        <v/>
      </c>
      <c r="AI11" s="406" t="str">
        <f>IFERROR(INDEX(V!$R:$R,MATCH(AJ11,V!$L:$L,0)),"")</f>
        <v/>
      </c>
      <c r="AJ11" s="407" t="str">
        <f t="shared" si="3"/>
        <v/>
      </c>
      <c r="AK11" s="406" t="str">
        <f>IFERROR(INDEX(V!$R:$R,MATCH(AL11,V!$L:$L,0)),"")</f>
        <v/>
      </c>
      <c r="AL11" s="407" t="str">
        <f t="shared" si="4"/>
        <v/>
      </c>
      <c r="AM11" s="406" t="str">
        <f>IFERROR(INDEX(V!$R:$R,MATCH(AN11,V!$L:$L,0)),"")</f>
        <v/>
      </c>
      <c r="AN11" s="407" t="str">
        <f t="shared" si="5"/>
        <v/>
      </c>
      <c r="AO11" s="406" t="str">
        <f>IFERROR(INDEX(V!$R:$R,MATCH(AP11,V!$L:$L,0)),"")</f>
        <v/>
      </c>
      <c r="AP11" s="407" t="str">
        <f t="shared" si="6"/>
        <v/>
      </c>
    </row>
    <row r="12" spans="1:42" x14ac:dyDescent="0.2">
      <c r="A12" s="494"/>
      <c r="B12" s="495"/>
      <c r="C12" s="496"/>
      <c r="D12" s="497"/>
      <c r="E12" s="498"/>
      <c r="F12" s="498"/>
      <c r="G12" s="499"/>
      <c r="H12" s="500"/>
      <c r="I12" s="501"/>
      <c r="J12" s="477"/>
      <c r="K12" s="477"/>
      <c r="L12" s="477"/>
      <c r="M12" s="477"/>
      <c r="N12" s="477"/>
      <c r="O12" s="477"/>
      <c r="P12" s="477"/>
      <c r="Q12" s="477"/>
      <c r="R12" s="502" t="s">
        <v>264</v>
      </c>
      <c r="S12" s="477"/>
      <c r="T12" s="477"/>
      <c r="U12" s="477"/>
      <c r="V12" s="477"/>
      <c r="W12" s="477"/>
      <c r="X12" s="477"/>
      <c r="Y12" s="477"/>
      <c r="Z12" s="477"/>
      <c r="AA12" s="477"/>
      <c r="AB12" s="477"/>
      <c r="AC12" s="485"/>
      <c r="AD12" s="405">
        <f t="shared" si="0"/>
        <v>0</v>
      </c>
      <c r="AE12" s="406" t="str">
        <f>IFERROR(INDEX(V!$R:$R,MATCH(AF12,V!$L:$L,0)),"")</f>
        <v/>
      </c>
      <c r="AF12" s="407" t="str">
        <f t="shared" si="1"/>
        <v/>
      </c>
      <c r="AG12" s="406" t="str">
        <f>IFERROR(INDEX(V!$R:$R,MATCH(AH12,V!$L:$L,0)),"")</f>
        <v/>
      </c>
      <c r="AH12" s="407" t="str">
        <f t="shared" si="2"/>
        <v/>
      </c>
      <c r="AI12" s="406" t="str">
        <f>IFERROR(INDEX(V!$R:$R,MATCH(AJ12,V!$L:$L,0)),"")</f>
        <v/>
      </c>
      <c r="AJ12" s="407" t="str">
        <f t="shared" si="3"/>
        <v/>
      </c>
      <c r="AK12" s="406" t="str">
        <f>IFERROR(INDEX(V!$R:$R,MATCH(AL12,V!$L:$L,0)),"")</f>
        <v/>
      </c>
      <c r="AL12" s="407" t="str">
        <f t="shared" si="4"/>
        <v/>
      </c>
      <c r="AM12" s="406" t="str">
        <f>IFERROR(INDEX(V!$R:$R,MATCH(AN12,V!$L:$L,0)),"")</f>
        <v/>
      </c>
      <c r="AN12" s="407" t="str">
        <f t="shared" si="5"/>
        <v/>
      </c>
      <c r="AO12" s="406" t="str">
        <f>IFERROR(INDEX(V!$R:$R,MATCH(AP12,V!$L:$L,0)),"")</f>
        <v/>
      </c>
      <c r="AP12" s="407" t="str">
        <f t="shared" si="6"/>
        <v/>
      </c>
    </row>
    <row r="13" spans="1:42" x14ac:dyDescent="0.2">
      <c r="A13" s="316" t="s">
        <v>1</v>
      </c>
      <c r="B13" s="503"/>
      <c r="C13" s="467">
        <v>1</v>
      </c>
      <c r="D13" s="467">
        <v>2</v>
      </c>
      <c r="E13" s="467">
        <v>3</v>
      </c>
      <c r="F13" s="467">
        <v>4</v>
      </c>
      <c r="G13" s="467">
        <v>5</v>
      </c>
      <c r="H13" s="468" t="s">
        <v>168</v>
      </c>
      <c r="I13" s="468" t="s">
        <v>169</v>
      </c>
      <c r="J13" s="504" t="s">
        <v>257</v>
      </c>
      <c r="K13" s="505" t="s">
        <v>258</v>
      </c>
      <c r="L13" s="506" t="s">
        <v>259</v>
      </c>
      <c r="M13" s="506" t="s">
        <v>260</v>
      </c>
      <c r="N13" s="472" t="s">
        <v>170</v>
      </c>
      <c r="O13" s="472" t="s">
        <v>170</v>
      </c>
      <c r="P13" s="473" t="s">
        <v>261</v>
      </c>
      <c r="Q13" s="507" t="s">
        <v>21</v>
      </c>
      <c r="R13" s="507" t="b">
        <f>OR(AND(COUNTA(B14:B18)=3,COUNTA(C14:G18)=6),AND(COUNTA(B14:B18)=4,COUNTA(C14:G18)=12),AND(COUNTA(B14:B18)=5,COUNTA(C14:G18)=20))</f>
        <v>0</v>
      </c>
      <c r="S13" s="508" t="s">
        <v>262</v>
      </c>
      <c r="T13" s="509" t="s">
        <v>263</v>
      </c>
      <c r="U13" s="477"/>
      <c r="V13" s="477"/>
      <c r="W13" s="477"/>
      <c r="X13" s="477"/>
      <c r="Y13" s="477"/>
      <c r="Z13" s="477"/>
      <c r="AA13" s="477"/>
      <c r="AB13" s="477"/>
      <c r="AC13" s="485"/>
      <c r="AD13" s="405">
        <f t="shared" si="0"/>
        <v>0</v>
      </c>
      <c r="AE13" s="406" t="str">
        <f>IFERROR(INDEX(V!$R:$R,MATCH(AF13,V!$L:$L,0)),"")</f>
        <v/>
      </c>
      <c r="AF13" s="407" t="str">
        <f t="shared" si="1"/>
        <v/>
      </c>
      <c r="AG13" s="406" t="str">
        <f>IFERROR(INDEX(V!$R:$R,MATCH(AH13,V!$L:$L,0)),"")</f>
        <v/>
      </c>
      <c r="AH13" s="407" t="str">
        <f t="shared" si="2"/>
        <v/>
      </c>
      <c r="AI13" s="406" t="str">
        <f>IFERROR(INDEX(V!$R:$R,MATCH(AJ13,V!$L:$L,0)),"")</f>
        <v/>
      </c>
      <c r="AJ13" s="407" t="str">
        <f t="shared" si="3"/>
        <v/>
      </c>
      <c r="AK13" s="406" t="str">
        <f>IFERROR(INDEX(V!$R:$R,MATCH(AL13,V!$L:$L,0)),"")</f>
        <v/>
      </c>
      <c r="AL13" s="407" t="str">
        <f t="shared" si="4"/>
        <v/>
      </c>
      <c r="AM13" s="406" t="str">
        <f>IFERROR(INDEX(V!$R:$R,MATCH(AN13,V!$L:$L,0)),"")</f>
        <v/>
      </c>
      <c r="AN13" s="407" t="str">
        <f t="shared" si="5"/>
        <v/>
      </c>
      <c r="AO13" s="406" t="str">
        <f>IFERROR(INDEX(V!$R:$R,MATCH(AP13,V!$L:$L,0)),"")</f>
        <v/>
      </c>
      <c r="AP13" s="407" t="str">
        <f t="shared" si="6"/>
        <v/>
      </c>
    </row>
    <row r="14" spans="1:42" x14ac:dyDescent="0.2">
      <c r="A14" s="316">
        <v>1</v>
      </c>
      <c r="B14" s="510"/>
      <c r="C14" s="319"/>
      <c r="D14" s="318"/>
      <c r="E14" s="318"/>
      <c r="F14" s="318"/>
      <c r="G14" s="318"/>
      <c r="H14" s="317" t="str">
        <f>(IF(D14-C15&gt;0,1)+IF(E14-C16&gt;0,1)+IF(F14-C17&gt;0,1)+IF(G14-C18&gt;0,1))&amp;"-"&amp;(IF(D14-C15&lt;0,1)+IF(E14-C16&lt;0,1)+IF(F14-C17&lt;0,1)+IF(G14-C18&lt;0,1))</f>
        <v>0-0</v>
      </c>
      <c r="I14" s="318" t="str">
        <f>IF(AND(B14&lt;&gt;"",R$6=TRUE),A$13&amp;RANK(S14,S$14:S$18,0)," ")</f>
        <v xml:space="preserve"> </v>
      </c>
      <c r="J14" s="480">
        <f>IF(AND(Q14=1,Q15=1,D14&gt;C15),1)+IF(AND(Q14=1,Q16=1,E14&gt;C16),1)+IF(AND(Q14=1,Q17=1,F14&gt;C17),1)+IF(AND(Q14=1,Q18=1,G14&gt;C18),1)+IF(AND(Q14=2,Q15=2,D14&gt;C15),1)+IF(AND(Q14=2,Q16=2,E14&gt;C16),1)+IF(AND(Q14=2,Q17=2,F14&gt;C17),1)+IF(AND(Q14=2,Q18=2,G14&gt;C18),1)+IF(AND(Q14=3,Q15=3,D14&gt;C15),1)+IF(AND(Q14=3,Q16=3,E14&gt;C16),1)+IF(AND(Q14=3,Q17=3,F14&gt;C17),1)+IF(AND(Q14=3,Q18=3,G14&gt;C18),1)</f>
        <v>0</v>
      </c>
      <c r="K14" s="481">
        <f>SUM(AND(T14=T15,D14&gt;C15),AND(T14=T16,E14&gt;C16),AND(T14=T17,F14&gt;C17),AND(T14=T18,G14&gt;C18))</f>
        <v>0</v>
      </c>
      <c r="L14" s="482">
        <f>IF(AND(Q14=1,Q15=1),D14-C15)+IF(AND(Q14=1,Q16=1),E14-C16)+IF(AND(Q14=1,Q17=1),F14-C17)+IF(AND(Q14=1,Q18=1),G14-C18)+IF(AND(Q14=2,Q15=2),D14-C15)+IF(AND(Q14=2,Q16=2),E14-C16)+IF(AND(Q14=2,Q17=2),F14-C17)+IF(AND(Q14=2,Q18=2),G14-C18)+IF(AND(Q14=3,Q15=3),D14-C15)+IF(AND(Q14=3,Q16=3),E14-C16)+IF(AND(Q14=3,Q17=3),F14-C17)+IF(AND(Q14=3,Q18=3),G14-C18)+IF(AND(Q14=4,Q15=4),D14-C15)+IF(AND(Q14=4,Q16=4),E14-C16)+IF(AND(Q14=4,Q17=4),F14-C17)+IF(AND(Q14=4,Q18=4),G14-C18)</f>
        <v>0</v>
      </c>
      <c r="M14" s="483">
        <f>SUM(AND(R14=R15,D14&gt;C15),AND(R14=R16,E14&gt;C16),AND(R14=R17,F14&gt;C17),AND(R14=R18,G14&gt;C18))</f>
        <v>0</v>
      </c>
      <c r="N14" s="968" t="str">
        <f>SUM(C14:G14)&amp;"-"&amp;SUM(C14:C18)</f>
        <v>0-0</v>
      </c>
      <c r="O14" s="533">
        <f>D14+E14+F14+G14-C15-C16-C17-C18</f>
        <v>0</v>
      </c>
      <c r="P14" s="485" t="e">
        <f>SUM(C14:G14,C14:C18)/SUM(C14:C18)</f>
        <v>#DIV/0!</v>
      </c>
      <c r="Q14" s="320">
        <f>VALUE(LEFT(H14,1))</f>
        <v>0</v>
      </c>
      <c r="R14" s="321">
        <f>Q14*100000+J14*10000+K14*1000+100*L14</f>
        <v>0</v>
      </c>
      <c r="S14" s="486">
        <f>R14+M14*0.1+IF(ISNONTEXT(B14),0,0.01)+0.0001*O14</f>
        <v>0</v>
      </c>
      <c r="T14" s="487" t="str">
        <f>Q14&amp;J14</f>
        <v>00</v>
      </c>
      <c r="U14" s="477"/>
      <c r="V14" s="477"/>
      <c r="W14" s="477"/>
      <c r="X14" s="477"/>
      <c r="Y14" s="477"/>
      <c r="Z14" s="477"/>
      <c r="AA14" s="477"/>
      <c r="AB14" s="477"/>
      <c r="AC14" s="485"/>
      <c r="AD14" s="405">
        <f t="shared" si="0"/>
        <v>0</v>
      </c>
      <c r="AE14" s="406" t="str">
        <f>IFERROR(INDEX(V!$R:$R,MATCH(AF14,V!$L:$L,0)),"")</f>
        <v/>
      </c>
      <c r="AF14" s="407" t="str">
        <f t="shared" si="1"/>
        <v/>
      </c>
      <c r="AG14" s="406" t="str">
        <f>IFERROR(INDEX(V!$R:$R,MATCH(AH14,V!$L:$L,0)),"")</f>
        <v/>
      </c>
      <c r="AH14" s="407" t="str">
        <f t="shared" si="2"/>
        <v/>
      </c>
      <c r="AI14" s="406" t="str">
        <f>IFERROR(INDEX(V!$R:$R,MATCH(AJ14,V!$L:$L,0)),"")</f>
        <v/>
      </c>
      <c r="AJ14" s="407" t="str">
        <f t="shared" si="3"/>
        <v/>
      </c>
      <c r="AK14" s="406" t="str">
        <f>IFERROR(INDEX(V!$R:$R,MATCH(AL14,V!$L:$L,0)),"")</f>
        <v/>
      </c>
      <c r="AL14" s="407" t="str">
        <f t="shared" si="4"/>
        <v/>
      </c>
      <c r="AM14" s="406" t="str">
        <f>IFERROR(INDEX(V!$R:$R,MATCH(AN14,V!$L:$L,0)),"")</f>
        <v/>
      </c>
      <c r="AN14" s="407" t="str">
        <f t="shared" si="5"/>
        <v/>
      </c>
      <c r="AO14" s="406" t="str">
        <f>IFERROR(INDEX(V!$R:$R,MATCH(AP14,V!$L:$L,0)),"")</f>
        <v/>
      </c>
      <c r="AP14" s="407" t="str">
        <f t="shared" si="6"/>
        <v/>
      </c>
    </row>
    <row r="15" spans="1:42" x14ac:dyDescent="0.2">
      <c r="A15" s="316">
        <v>2</v>
      </c>
      <c r="B15" s="479"/>
      <c r="C15" s="318"/>
      <c r="D15" s="319"/>
      <c r="E15" s="318"/>
      <c r="F15" s="318"/>
      <c r="G15" s="318"/>
      <c r="H15" s="317" t="str">
        <f>(IF(C15-D14&gt;0,1)+IF(E15-D16&gt;0,1)+IF(F15-D17&gt;0,1)+IF(G15-D18&gt;0,1))&amp;"-"&amp;(IF(C15-D14&lt;0,1)+IF(E15-D16&lt;0,1)+IF(F15-D17&lt;0,1)+IF(G15-D18&lt;0,1))</f>
        <v>0-0</v>
      </c>
      <c r="I15" s="318" t="str">
        <f>IF(AND(B15&lt;&gt;"",R$6=TRUE),A$13&amp;RANK(S15,S$14:S$18,0)," ")</f>
        <v xml:space="preserve"> </v>
      </c>
      <c r="J15" s="489">
        <f>IF(AND(Q15=1,Q14=1,C15&gt;D14),1)+IF(AND(Q15=1,Q16=1,E15&gt;D16),1)+IF(AND(Q15=1,Q17=1,F15&gt;D17),1)+IF(AND(Q15=1,Q18=1,G15&gt;D18),1)+IF(AND(Q15=2,Q14=2,C15&gt;D14),1)+IF(AND(Q15=2,Q16=2,E15&gt;D16),1)+IF(AND(Q15=2,Q17=2,F15&gt;D17),1)+IF(AND(Q15=2,Q18=2,G15&gt;D18),1)+IF(AND(Q15=3,Q14=3,C15&gt;D14),1)+IF(AND(Q15=3,Q16=3,E15&gt;D16),1)+IF(AND(Q15=3,Q17=3,F15&gt;D17),1)+IF(AND(Q15=3,Q18=3,G15&gt;D18),1)</f>
        <v>0</v>
      </c>
      <c r="K15" s="483">
        <f>SUM(AND(T15=T14,C15&gt;D14),AND(T15=T16,E15&gt;D16),AND(T15=T17,F15&gt;D17),AND(T15=T18,G15&gt;D18))</f>
        <v>0</v>
      </c>
      <c r="L15" s="490">
        <f>IF(AND(Q15=1,Q14=1),C15-D14)+IF(AND(Q15=1,Q16=1),E15-D16)+IF(AND(Q15=1,Q17=1),F15-D17)+IF(AND(Q15=1,Q18=1),G15-D18)+IF(AND(Q15=2,Q14=2),C15-D14)+IF(AND(Q15=2,Q16=2),E15-D16)+IF(AND(Q15=2,Q17=2),F15-D17)+IF(AND(Q15=2,Q18=2),G15-D18)+IF(AND(Q15=3,Q14=3),C15-D14)+IF(AND(Q15=3,Q16=3),E15-D16)+IF(AND(Q15=3,Q17=3),F15-D17)+IF(AND(Q15=3,Q18=3),G15-D18)+IF(AND(Q15=4,Q14=4),C15-D14)+IF(AND(Q15=4,Q16=4),E15-D16)+IF(AND(Q15=4,Q17=4),F15-D17)+IF(AND(Q15=4,Q18=4),G15-D18)</f>
        <v>0</v>
      </c>
      <c r="M15" s="483">
        <f>SUM(AND(R15=R14,C15&gt;D14),AND(R15=R16,E15&gt;D16),AND(R15=R17,F15&gt;D17),AND(R15=R18,G15&gt;D18))</f>
        <v>0</v>
      </c>
      <c r="N15" s="968" t="str">
        <f>SUM(C15:G15)&amp;"-"&amp;SUM(D14:D18)</f>
        <v>0-0</v>
      </c>
      <c r="O15" s="533">
        <f>C15+E15+F15+G15-D14-D16-D17-D18</f>
        <v>0</v>
      </c>
      <c r="P15" s="485" t="e">
        <f>SUM(C15:G15,D14:D18)/SUM(D14:D18)</f>
        <v>#DIV/0!</v>
      </c>
      <c r="Q15" s="491">
        <f>VALUE(LEFT(H15,1))</f>
        <v>0</v>
      </c>
      <c r="R15" s="321">
        <f>Q15*100000+J15*10000+K15*1000+100*L15</f>
        <v>0</v>
      </c>
      <c r="S15" s="486">
        <f>R15+M15*0.1+IF(ISNONTEXT(B15),0,0.01)+0.0001*O15</f>
        <v>0</v>
      </c>
      <c r="T15" s="487" t="str">
        <f>Q15&amp;J15</f>
        <v>00</v>
      </c>
      <c r="U15" s="477"/>
      <c r="V15" s="477"/>
      <c r="W15" s="477"/>
      <c r="X15" s="477"/>
      <c r="Y15" s="477"/>
      <c r="Z15" s="477"/>
      <c r="AA15" s="477"/>
      <c r="AB15" s="477"/>
      <c r="AC15" s="485"/>
      <c r="AD15" s="405">
        <f t="shared" si="0"/>
        <v>0</v>
      </c>
      <c r="AE15" s="406" t="str">
        <f>IFERROR(INDEX(V!$R:$R,MATCH(AF15,V!$L:$L,0)),"")</f>
        <v/>
      </c>
      <c r="AF15" s="407" t="str">
        <f t="shared" si="1"/>
        <v/>
      </c>
      <c r="AG15" s="406" t="str">
        <f>IFERROR(INDEX(V!$R:$R,MATCH(AH15,V!$L:$L,0)),"")</f>
        <v/>
      </c>
      <c r="AH15" s="407" t="str">
        <f t="shared" si="2"/>
        <v/>
      </c>
      <c r="AI15" s="406" t="str">
        <f>IFERROR(INDEX(V!$R:$R,MATCH(AJ15,V!$L:$L,0)),"")</f>
        <v/>
      </c>
      <c r="AJ15" s="407" t="str">
        <f t="shared" si="3"/>
        <v/>
      </c>
      <c r="AK15" s="406" t="str">
        <f>IFERROR(INDEX(V!$R:$R,MATCH(AL15,V!$L:$L,0)),"")</f>
        <v/>
      </c>
      <c r="AL15" s="407" t="str">
        <f t="shared" si="4"/>
        <v/>
      </c>
      <c r="AM15" s="406" t="str">
        <f>IFERROR(INDEX(V!$R:$R,MATCH(AN15,V!$L:$L,0)),"")</f>
        <v/>
      </c>
      <c r="AN15" s="407" t="str">
        <f t="shared" si="5"/>
        <v/>
      </c>
      <c r="AO15" s="406" t="str">
        <f>IFERROR(INDEX(V!$R:$R,MATCH(AP15,V!$L:$L,0)),"")</f>
        <v/>
      </c>
      <c r="AP15" s="407" t="str">
        <f t="shared" si="6"/>
        <v/>
      </c>
    </row>
    <row r="16" spans="1:42" x14ac:dyDescent="0.2">
      <c r="A16" s="316">
        <v>3</v>
      </c>
      <c r="B16" s="488"/>
      <c r="C16" s="318"/>
      <c r="D16" s="492"/>
      <c r="E16" s="319"/>
      <c r="F16" s="318"/>
      <c r="G16" s="318"/>
      <c r="H16" s="317" t="str">
        <f>(IF(C16-E14&gt;0,1)+IF(D16-E15&gt;0,1)+IF(F16-E17&gt;0,1)+IF(G16-E18&gt;0,1))&amp;"-"&amp;(IF(C16-E14&lt;0,1)+IF(D16-E15&lt;0,1)+IF(F16-E17&lt;0,1)+IF(G16-E18&lt;0,1))</f>
        <v>0-0</v>
      </c>
      <c r="I16" s="318" t="str">
        <f>IF(AND(B16&lt;&gt;"",R$6=TRUE),A$13&amp;RANK(S16,S$14:S$18,0)," ")</f>
        <v xml:space="preserve"> </v>
      </c>
      <c r="J16" s="489">
        <f>IF(AND(Q16=1,Q14=1,C16&gt;E14),1)+IF(AND(Q16=1,Q15=1,D16&gt;E15),1)+IF(AND(Q16=1,Q17=1,F16&gt;E17),1)+IF(AND(Q16=1,Q18=1,G16&gt;E18),1)+IF(AND(Q16=2,Q14=2,C16&gt;E14),1)+IF(AND(Q16=2,Q15=2,D16&gt;E15),1)+IF(AND(Q16=2,Q17=2,F16&gt;E17),1)+IF(AND(Q16=2,Q18=2,G16&gt;E18),1)+IF(AND(Q16=3,Q14=3,C16&gt;E14),1)+IF(AND(Q16=3,Q15=3,D16&gt;E15),1)+IF(AND(Q16=3,Q17=3,F16&gt;E17),1)+IF(AND(Q16=3,Q18=3,G16&gt;E18),1)</f>
        <v>0</v>
      </c>
      <c r="K16" s="483">
        <f>SUM(AND(T16=T14,C16&gt;E14),AND(T16=T15,D16&gt;E15),AND(T16=T17,F16&gt;E17),AND(T16=T18,G16&gt;E18))</f>
        <v>0</v>
      </c>
      <c r="L16" s="490">
        <f>IF(AND(Q16=1,Q14=1),C16-E14)+IF(AND(Q16=1,Q15=1),D16-E15)+IF(AND(Q16=1,Q17=1),F16-E17)+IF(AND(Q16=1,Q18=1),G16-E18)+IF(AND(Q16=2,Q14=2),C16-E14)+IF(AND(Q16=2,Q15=2),D16-E15)+IF(AND(Q16=2,Q17=2),F16-E17)+IF(AND(Q16=2,Q18=2),G16-E18)+IF(AND(Q16=3,Q14=3),C16-E14)+IF(AND(Q16=3,Q15=3),D16-E15)+IF(AND(Q16=3,Q17=3),F16-E17)+IF(AND(Q16=3,Q18=3),G16-E18)+IF(AND(Q16=4,Q14=4),C16-E14)+IF(AND(Q16=4,Q15=4),D16-E15)+IF(AND(Q16=4,Q17=4),F16-E17)+IF(AND(Q16=4,Q18=4),G16-E18)</f>
        <v>0</v>
      </c>
      <c r="M16" s="483">
        <f>SUM(AND(R16=R14,C16&gt;E14),AND(R16=R15,D16&gt;E15),AND(R16=R17,F16&gt;E17),AND(R16=R18,G16&gt;E18))</f>
        <v>0</v>
      </c>
      <c r="N16" s="968" t="str">
        <f>SUM(C16:G16)&amp;"-"&amp;SUM(E14:E18)</f>
        <v>0-0</v>
      </c>
      <c r="O16" s="533">
        <f>C16+D16+F16+G16-E14-E15-E17-E18</f>
        <v>0</v>
      </c>
      <c r="P16" s="485" t="e">
        <f>SUM(C16:G16,E14:E18)/SUM(E14:E18)</f>
        <v>#DIV/0!</v>
      </c>
      <c r="Q16" s="491">
        <f>VALUE(LEFT(H16,1))</f>
        <v>0</v>
      </c>
      <c r="R16" s="321">
        <f>Q16*100000+J16*10000+K16*1000+100*L16</f>
        <v>0</v>
      </c>
      <c r="S16" s="486">
        <f>R16+M16*0.1+IF(ISNONTEXT(B16),0,0.01)+0.0001*O16</f>
        <v>0</v>
      </c>
      <c r="T16" s="487" t="str">
        <f>Q16&amp;J16</f>
        <v>00</v>
      </c>
      <c r="U16" s="477"/>
      <c r="V16" s="477"/>
      <c r="W16" s="477"/>
      <c r="X16" s="477"/>
      <c r="Y16" s="477"/>
      <c r="Z16" s="477"/>
      <c r="AA16" s="477"/>
      <c r="AB16" s="477"/>
      <c r="AC16" s="485"/>
      <c r="AD16" s="405">
        <f t="shared" si="0"/>
        <v>0</v>
      </c>
      <c r="AE16" s="406" t="str">
        <f>IFERROR(INDEX(V!$R:$R,MATCH(AF16,V!$L:$L,0)),"")</f>
        <v/>
      </c>
      <c r="AF16" s="407" t="str">
        <f t="shared" si="1"/>
        <v/>
      </c>
      <c r="AG16" s="406" t="str">
        <f>IFERROR(INDEX(V!$R:$R,MATCH(AH16,V!$L:$L,0)),"")</f>
        <v/>
      </c>
      <c r="AH16" s="407" t="str">
        <f t="shared" si="2"/>
        <v/>
      </c>
      <c r="AI16" s="406" t="str">
        <f>IFERROR(INDEX(V!$R:$R,MATCH(AJ16,V!$L:$L,0)),"")</f>
        <v/>
      </c>
      <c r="AJ16" s="407" t="str">
        <f t="shared" si="3"/>
        <v/>
      </c>
      <c r="AK16" s="406" t="str">
        <f>IFERROR(INDEX(V!$R:$R,MATCH(AL16,V!$L:$L,0)),"")</f>
        <v/>
      </c>
      <c r="AL16" s="407" t="str">
        <f t="shared" si="4"/>
        <v/>
      </c>
      <c r="AM16" s="406" t="str">
        <f>IFERROR(INDEX(V!$R:$R,MATCH(AN16,V!$L:$L,0)),"")</f>
        <v/>
      </c>
      <c r="AN16" s="407" t="str">
        <f t="shared" si="5"/>
        <v/>
      </c>
      <c r="AO16" s="406" t="str">
        <f>IFERROR(INDEX(V!$R:$R,MATCH(AP16,V!$L:$L,0)),"")</f>
        <v/>
      </c>
      <c r="AP16" s="407" t="str">
        <f t="shared" si="6"/>
        <v/>
      </c>
    </row>
    <row r="17" spans="1:42" x14ac:dyDescent="0.2">
      <c r="A17" s="316">
        <v>4</v>
      </c>
      <c r="B17" s="493"/>
      <c r="C17" s="318"/>
      <c r="D17" s="492"/>
      <c r="E17" s="318"/>
      <c r="F17" s="319"/>
      <c r="G17" s="511"/>
      <c r="H17" s="317" t="str">
        <f>(IF(C17-F14&gt;0,1)+IF(D17-F15&gt;0,1)+IF(E17-F16&gt;0,1)+IF(G17-F18&gt;0,1))&amp;"-"&amp;(IF(C17-F14&lt;0,1)+IF(D17-F15&lt;0,1)+IF(E17-F16&lt;0,1)+IF(G17-F18&lt;0,1))</f>
        <v>0-0</v>
      </c>
      <c r="I17" s="318" t="str">
        <f>IF(AND(B17&lt;&gt;"",R$6=TRUE),A$13&amp;RANK(S17,S$14:S$18,0)," ")</f>
        <v xml:space="preserve"> </v>
      </c>
      <c r="J17" s="489">
        <f>IF(AND(Q17=1,Q14=1,C17&gt;F14),1)+IF(AND(Q17=1,Q15=1,D17&gt;F15),1)+IF(AND(Q17=1,Q16=1,E17&gt;F16),1)+IF(AND(Q17=1,Q18=1,G17&gt;F18),1)+IF(AND(Q17=2,Q14=2,C17&gt;F14),1)+IF(AND(Q17=2,Q15=2,D17&gt;F15),1)+IF(AND(Q17=2,Q16=2,E17&gt;F16),1)+IF(AND(Q17=2,Q18=2,G17&gt;F18),1)+IF(AND(Q17=3,Q14=3,C17&gt;F14),1)+IF(AND(Q17=3,Q15=3,D17&gt;F15),1)+IF(AND(Q17=3,Q16=3,E17&gt;F16),1)+IF(AND(Q17=3,Q18=3,G17&gt;F18),1)</f>
        <v>0</v>
      </c>
      <c r="K17" s="483">
        <f>SUM(AND(T17=T14,C17&gt;F14),AND(T17=T15,D17&gt;F15),AND(T17=T16,E17&gt;F16),AND(T17=T18,G17&gt;F18))</f>
        <v>0</v>
      </c>
      <c r="L17" s="490">
        <f>IF(AND(Q17=1,Q14=1),C17-F14)+IF(AND(Q17=1,Q15=1),D17-F15)+IF(AND(Q17=1,Q16=1),E17-F16)+IF(AND(Q17=1,Q18=1),G17-F18)+IF(AND(Q17=2,Q14=2),C17-F14)+IF(AND(Q17=2,Q15=2),D17-F15)+IF(AND(Q17=2,Q16=2),E17-F16)+IF(AND(Q17=2,Q18=2),G17-F18)+IF(AND(Q17=3,Q14=3),C17-F14)+IF(AND(Q17=3,Q15=3),D17-F15)+IF(AND(Q17=3,Q16=3),E17-F16)+IF(AND(Q17=3,Q18=3),G17-F18)+IF(AND(Q17=4,Q14=4),C17-F14)+IF(AND(Q17=4,Q15=4),D17-F15)+IF(AND(Q17=4,Q16=4),E17-F16)+IF(AND(Q17=4,Q18=4),G17-F18)</f>
        <v>0</v>
      </c>
      <c r="M17" s="483">
        <f>SUM(AND(R17=R14,C17&gt;F14),AND(R17=R15,D17&gt;F15),AND(R17=R16,E17&gt;F16),AND(R17=R18,G17&gt;F18))</f>
        <v>0</v>
      </c>
      <c r="N17" s="968" t="str">
        <f>SUM(C17:G17)&amp;"-"&amp;SUM(F14:F18)</f>
        <v>0-0</v>
      </c>
      <c r="O17" s="533">
        <f>C17+D17+E17+G17-F14-F15-F16-F18</f>
        <v>0</v>
      </c>
      <c r="P17" s="485" t="e">
        <f>SUM(C17:G17,F14:F18)/SUM(F14:F18)</f>
        <v>#DIV/0!</v>
      </c>
      <c r="Q17" s="491">
        <f>VALUE(LEFT(H17,1))</f>
        <v>0</v>
      </c>
      <c r="R17" s="321">
        <f>Q17*100000+J17*10000+K17*1000+100*L17</f>
        <v>0</v>
      </c>
      <c r="S17" s="486">
        <f>R17+M17*0.1+IF(ISNONTEXT(B17),0,0.01)+0.0001*O17</f>
        <v>0</v>
      </c>
      <c r="T17" s="487" t="str">
        <f>Q17&amp;J17</f>
        <v>00</v>
      </c>
      <c r="U17" s="477"/>
      <c r="V17" s="477"/>
      <c r="W17" s="477"/>
      <c r="X17" s="477"/>
      <c r="Y17" s="477"/>
      <c r="Z17" s="477"/>
      <c r="AA17" s="477"/>
      <c r="AB17" s="477"/>
      <c r="AC17" s="485"/>
      <c r="AD17" s="405">
        <f t="shared" si="0"/>
        <v>0</v>
      </c>
      <c r="AE17" s="406" t="str">
        <f>IFERROR(INDEX(V!$R:$R,MATCH(AF17,V!$L:$L,0)),"")</f>
        <v/>
      </c>
      <c r="AF17" s="407" t="str">
        <f t="shared" si="1"/>
        <v/>
      </c>
      <c r="AG17" s="406" t="str">
        <f>IFERROR(INDEX(V!$R:$R,MATCH(AH17,V!$L:$L,0)),"")</f>
        <v/>
      </c>
      <c r="AH17" s="407" t="str">
        <f t="shared" si="2"/>
        <v/>
      </c>
      <c r="AI17" s="406" t="str">
        <f>IFERROR(INDEX(V!$R:$R,MATCH(AJ17,V!$L:$L,0)),"")</f>
        <v/>
      </c>
      <c r="AJ17" s="407" t="str">
        <f t="shared" si="3"/>
        <v/>
      </c>
      <c r="AK17" s="406" t="str">
        <f>IFERROR(INDEX(V!$R:$R,MATCH(AL17,V!$L:$L,0)),"")</f>
        <v/>
      </c>
      <c r="AL17" s="407" t="str">
        <f t="shared" si="4"/>
        <v/>
      </c>
      <c r="AM17" s="406" t="str">
        <f>IFERROR(INDEX(V!$R:$R,MATCH(AN17,V!$L:$L,0)),"")</f>
        <v/>
      </c>
      <c r="AN17" s="407" t="str">
        <f t="shared" si="5"/>
        <v/>
      </c>
      <c r="AO17" s="406" t="str">
        <f>IFERROR(INDEX(V!$R:$R,MATCH(AP17,V!$L:$L,0)),"")</f>
        <v/>
      </c>
      <c r="AP17" s="407" t="str">
        <f t="shared" si="6"/>
        <v/>
      </c>
    </row>
    <row r="18" spans="1:42" x14ac:dyDescent="0.2">
      <c r="A18" s="316">
        <v>5</v>
      </c>
      <c r="B18" s="493"/>
      <c r="C18" s="318"/>
      <c r="D18" s="318"/>
      <c r="E18" s="318"/>
      <c r="F18" s="318"/>
      <c r="G18" s="319"/>
      <c r="H18" s="317" t="str">
        <f>(IF(C18-G14&gt;0,1)+IF(D18-G15&gt;0,1)+IF(E18-G16&gt;0,1)+IF(F18-G17&gt;0,1))&amp;"-"&amp;(IF(C18-G14&lt;0,1)+IF(D18-G15&lt;0,1)+IF(E18-G16&lt;0,1)+IF(F18-G17&lt;0,1))</f>
        <v>0-0</v>
      </c>
      <c r="I18" s="318" t="str">
        <f>IF(AND(B18&lt;&gt;"",R$6=TRUE),A$13&amp;RANK(S18,S$14:S$18,0)," ")</f>
        <v xml:space="preserve"> </v>
      </c>
      <c r="J18" s="489">
        <f>IF(AND(Q18=1,Q14=1,C18&gt;G14),1)+IF(AND(Q18=1,Q15=1,D18&gt;G15),1)+IF(AND(Q18=1,Q16=1,E18&gt;G16),1)+IF(AND(Q18=1,Q17=1,F18&gt;G17),1)+IF(AND(Q18=2,Q14=2,C18&gt;G14),1)+IF(AND(Q18=2,Q15=2,D18&gt;G15),1)+IF(AND(Q18=2,Q16=2,E18&gt;G16),1)+IF(AND(Q18=2,Q17=2,F18&gt;G17),1)+IF(AND(Q18=3,Q14=3,C18&gt;G14),1)+IF(AND(Q18=3,Q15=3,D18&gt;G15),1)+IF(AND(Q18=3,Q16=3,E18&gt;G16),1)+IF(AND(Q18=3,Q17=3,F18&gt;G17),1)</f>
        <v>0</v>
      </c>
      <c r="K18" s="483">
        <f>SUM(AND(T18=T14,C18&gt;G14),AND(T18=T15,D18&gt;G15),AND(T18=T16,E18&gt;G16),AND(T18=T17,F18&gt;G17))</f>
        <v>0</v>
      </c>
      <c r="L18" s="490">
        <f>IF(AND(Q18=1,Q14=1),C18-G14)+IF(AND(Q18=1,Q15=1),D18-G15)+IF(AND(Q18=1,Q16=1),E18-G16)+IF(AND(Q18=1,Q17=1),F18-G17)+IF(AND(Q18=2,Q14=2),C18-G14)+IF(AND(Q18=2,Q15=2),D18-G15)+IF(AND(Q18=2,Q16=2),E18-G16)+IF(AND(Q18=2,Q17=2),F18-G17)+IF(AND(Q18=3,Q14=3),C18-G14)+IF(AND(Q18=3,Q15=3),D18-G15)+IF(AND(Q18=3,Q16=3),E18-G16)+IF(AND(Q18=3,Q17=3),F18-G17)+IF(AND(Q18=4,Q14=4),C18-G14)+IF(AND(Q18=4,Q15=4),D18-G15)+IF(AND(Q18=4,Q16=4),E18-G16)+IF(AND(Q18=4,Q17=4),F18-G17)</f>
        <v>0</v>
      </c>
      <c r="M18" s="483">
        <f>SUM(AND(R18=R14,C18&gt;G14),AND(R18=R15,D18&gt;G15),AND(R18=R16,E18&gt;G16),AND(R18=R17,F18&gt;G17))</f>
        <v>0</v>
      </c>
      <c r="N18" s="968" t="str">
        <f>SUM(C18:G18)&amp;"-"&amp;SUM(G14:G18)</f>
        <v>0-0</v>
      </c>
      <c r="O18" s="533">
        <f>C18+D18+E18+F18-G14-G15-G16-G17</f>
        <v>0</v>
      </c>
      <c r="P18" s="485" t="e">
        <f>SUM(C18:G18,G14:G18)/SUM(G14:G18)</f>
        <v>#DIV/0!</v>
      </c>
      <c r="Q18" s="491">
        <f>VALUE(LEFT(H18,1))</f>
        <v>0</v>
      </c>
      <c r="R18" s="321">
        <f>Q18*100000+J18*10000+K18*1000+100*L18</f>
        <v>0</v>
      </c>
      <c r="S18" s="486">
        <f>R18+M18*0.1+IF(ISNONTEXT(B18),0,0.01)+0.0001*O18</f>
        <v>0</v>
      </c>
      <c r="T18" s="487" t="str">
        <f>Q18&amp;J18</f>
        <v>00</v>
      </c>
      <c r="U18" s="477"/>
      <c r="V18" s="477"/>
      <c r="W18" s="477"/>
      <c r="X18" s="477"/>
      <c r="Y18" s="477"/>
      <c r="Z18" s="477"/>
      <c r="AA18" s="477"/>
      <c r="AB18" s="477"/>
      <c r="AC18" s="485"/>
      <c r="AD18" s="405">
        <f t="shared" si="0"/>
        <v>0</v>
      </c>
      <c r="AE18" s="406" t="str">
        <f>IFERROR(INDEX(V!$R:$R,MATCH(AF18,V!$L:$L,0)),"")</f>
        <v/>
      </c>
      <c r="AF18" s="407" t="str">
        <f t="shared" si="1"/>
        <v/>
      </c>
      <c r="AG18" s="406" t="str">
        <f>IFERROR(INDEX(V!$R:$R,MATCH(AH18,V!$L:$L,0)),"")</f>
        <v/>
      </c>
      <c r="AH18" s="407" t="str">
        <f t="shared" si="2"/>
        <v/>
      </c>
      <c r="AI18" s="406" t="str">
        <f>IFERROR(INDEX(V!$R:$R,MATCH(AJ18,V!$L:$L,0)),"")</f>
        <v/>
      </c>
      <c r="AJ18" s="407" t="str">
        <f t="shared" si="3"/>
        <v/>
      </c>
      <c r="AK18" s="406" t="str">
        <f>IFERROR(INDEX(V!$R:$R,MATCH(AL18,V!$L:$L,0)),"")</f>
        <v/>
      </c>
      <c r="AL18" s="407" t="str">
        <f t="shared" si="4"/>
        <v/>
      </c>
      <c r="AM18" s="406" t="str">
        <f>IFERROR(INDEX(V!$R:$R,MATCH(AN18,V!$L:$L,0)),"")</f>
        <v/>
      </c>
      <c r="AN18" s="407" t="str">
        <f t="shared" si="5"/>
        <v/>
      </c>
      <c r="AO18" s="406" t="str">
        <f>IFERROR(INDEX(V!$R:$R,MATCH(AP18,V!$L:$L,0)),"")</f>
        <v/>
      </c>
      <c r="AP18" s="407" t="str">
        <f t="shared" si="6"/>
        <v/>
      </c>
    </row>
    <row r="19" spans="1:42" x14ac:dyDescent="0.2">
      <c r="A19" s="494"/>
      <c r="B19" s="495"/>
      <c r="C19" s="496"/>
      <c r="D19" s="497"/>
      <c r="E19" s="496"/>
      <c r="F19" s="498"/>
      <c r="G19" s="499"/>
      <c r="H19" s="500"/>
      <c r="I19" s="512"/>
      <c r="J19" s="477"/>
      <c r="K19" s="477"/>
      <c r="L19" s="477"/>
      <c r="M19" s="477"/>
      <c r="N19" s="477"/>
      <c r="O19" s="477"/>
      <c r="P19" s="477"/>
      <c r="Q19" s="477"/>
      <c r="R19" s="502" t="s">
        <v>264</v>
      </c>
      <c r="S19" s="477"/>
      <c r="T19" s="477"/>
      <c r="U19" s="477"/>
      <c r="V19" s="477"/>
      <c r="W19" s="477"/>
      <c r="X19" s="477"/>
      <c r="Y19" s="477"/>
      <c r="Z19" s="477"/>
      <c r="AA19" s="477"/>
      <c r="AB19" s="477"/>
      <c r="AC19" s="485"/>
      <c r="AD19" s="405">
        <f t="shared" si="0"/>
        <v>0</v>
      </c>
      <c r="AE19" s="406" t="str">
        <f>IFERROR(INDEX(V!$R:$R,MATCH(AF19,V!$L:$L,0)),"")</f>
        <v/>
      </c>
      <c r="AF19" s="407" t="str">
        <f t="shared" si="1"/>
        <v/>
      </c>
      <c r="AG19" s="406" t="str">
        <f>IFERROR(INDEX(V!$R:$R,MATCH(AH19,V!$L:$L,0)),"")</f>
        <v/>
      </c>
      <c r="AH19" s="407" t="str">
        <f t="shared" si="2"/>
        <v/>
      </c>
      <c r="AI19" s="406" t="str">
        <f>IFERROR(INDEX(V!$R:$R,MATCH(AJ19,V!$L:$L,0)),"")</f>
        <v/>
      </c>
      <c r="AJ19" s="407" t="str">
        <f t="shared" si="3"/>
        <v/>
      </c>
      <c r="AK19" s="406" t="str">
        <f>IFERROR(INDEX(V!$R:$R,MATCH(AL19,V!$L:$L,0)),"")</f>
        <v/>
      </c>
      <c r="AL19" s="407" t="str">
        <f t="shared" si="4"/>
        <v/>
      </c>
      <c r="AM19" s="406" t="str">
        <f>IFERROR(INDEX(V!$R:$R,MATCH(AN19,V!$L:$L,0)),"")</f>
        <v/>
      </c>
      <c r="AN19" s="407" t="str">
        <f t="shared" si="5"/>
        <v/>
      </c>
      <c r="AO19" s="406" t="str">
        <f>IFERROR(INDEX(V!$R:$R,MATCH(AP19,V!$L:$L,0)),"")</f>
        <v/>
      </c>
      <c r="AP19" s="407" t="str">
        <f t="shared" si="6"/>
        <v/>
      </c>
    </row>
    <row r="20" spans="1:42" x14ac:dyDescent="0.2">
      <c r="A20" s="316" t="s">
        <v>2</v>
      </c>
      <c r="B20" s="503"/>
      <c r="C20" s="467">
        <v>1</v>
      </c>
      <c r="D20" s="467">
        <v>2</v>
      </c>
      <c r="E20" s="467">
        <v>3</v>
      </c>
      <c r="F20" s="467">
        <v>4</v>
      </c>
      <c r="G20" s="467">
        <v>5</v>
      </c>
      <c r="H20" s="468" t="s">
        <v>168</v>
      </c>
      <c r="I20" s="468" t="s">
        <v>169</v>
      </c>
      <c r="J20" s="504" t="s">
        <v>257</v>
      </c>
      <c r="K20" s="505" t="s">
        <v>258</v>
      </c>
      <c r="L20" s="506" t="s">
        <v>259</v>
      </c>
      <c r="M20" s="506" t="s">
        <v>260</v>
      </c>
      <c r="N20" s="472" t="s">
        <v>170</v>
      </c>
      <c r="O20" s="472" t="s">
        <v>170</v>
      </c>
      <c r="P20" s="473" t="s">
        <v>261</v>
      </c>
      <c r="Q20" s="507" t="s">
        <v>21</v>
      </c>
      <c r="R20" s="507" t="b">
        <f>OR(AND(COUNTA(B21:B25)=3,COUNTA(C21:G25)=6),AND(COUNTA(B21:B25)=4,COUNTA(C21:G25)=12),AND(COUNTA(B21:B25)=5,COUNTA(C21:G25)=20))</f>
        <v>0</v>
      </c>
      <c r="S20" s="508" t="s">
        <v>262</v>
      </c>
      <c r="T20" s="509" t="s">
        <v>263</v>
      </c>
      <c r="U20" s="477"/>
      <c r="V20" s="477"/>
      <c r="W20" s="477"/>
      <c r="X20" s="477"/>
      <c r="Y20" s="477"/>
      <c r="Z20" s="477"/>
      <c r="AA20" s="477"/>
      <c r="AB20" s="477"/>
      <c r="AC20" s="477"/>
      <c r="AD20" s="405">
        <f t="shared" ref="AD20:AD31" si="7">SUM(AE20:AL20)</f>
        <v>0</v>
      </c>
      <c r="AE20" s="406" t="str">
        <f>IFERROR(INDEX(V!$R:$R,MATCH(AF20,V!$L:$L,0)),"")</f>
        <v/>
      </c>
      <c r="AF20" s="407" t="str">
        <f t="shared" si="1"/>
        <v/>
      </c>
      <c r="AG20" s="406" t="str">
        <f>IFERROR(INDEX(V!$R:$R,MATCH(AH20,V!$L:$L,0)),"")</f>
        <v/>
      </c>
      <c r="AH20" s="407" t="str">
        <f t="shared" si="2"/>
        <v/>
      </c>
      <c r="AI20" s="406" t="str">
        <f>IFERROR(INDEX(V!$R:$R,MATCH(AJ20,V!$L:$L,0)),"")</f>
        <v/>
      </c>
      <c r="AJ20" s="407" t="str">
        <f t="shared" si="3"/>
        <v/>
      </c>
      <c r="AK20" s="406" t="str">
        <f>IFERROR(INDEX(V!$R:$R,MATCH(AL20,V!$L:$L,0)),"")</f>
        <v/>
      </c>
      <c r="AL20" s="407" t="str">
        <f t="shared" si="4"/>
        <v/>
      </c>
      <c r="AM20" s="406" t="str">
        <f>IFERROR(INDEX(V!$R:$R,MATCH(AN20,V!$L:$L,0)),"")</f>
        <v/>
      </c>
      <c r="AN20" s="407" t="str">
        <f t="shared" si="5"/>
        <v/>
      </c>
      <c r="AO20" s="406" t="str">
        <f>IFERROR(INDEX(V!$R:$R,MATCH(AP20,V!$L:$L,0)),"")</f>
        <v/>
      </c>
      <c r="AP20" s="407" t="str">
        <f t="shared" si="6"/>
        <v/>
      </c>
    </row>
    <row r="21" spans="1:42" x14ac:dyDescent="0.2">
      <c r="A21" s="316">
        <v>1</v>
      </c>
      <c r="B21" s="479"/>
      <c r="C21" s="319"/>
      <c r="D21" s="318"/>
      <c r="E21" s="318"/>
      <c r="F21" s="318"/>
      <c r="G21" s="318"/>
      <c r="H21" s="317" t="str">
        <f>(IF(D21-C22&gt;0,1)+IF(E21-C23&gt;0,1)+IF(F21-C24&gt;0,1)+IF(G21-C25&gt;0,1))&amp;"-"&amp;(IF(D21-C22&lt;0,1)+IF(E21-C23&lt;0,1)+IF(F21-C24&lt;0,1)+IF(G21-C25&lt;0,1))</f>
        <v>0-0</v>
      </c>
      <c r="I21" s="318" t="str">
        <f>IF(AND(B21&lt;&gt;"",R$20=TRUE),A$20&amp;RANK(S21,S$21:S$25,0)," ")</f>
        <v xml:space="preserve"> </v>
      </c>
      <c r="J21" s="480">
        <f>IF(AND(Q21=1,Q22=1,D21&gt;C22),1)+IF(AND(Q21=1,Q23=1,E21&gt;C23),1)+IF(AND(Q21=1,Q24=1,F21&gt;C24),1)+IF(AND(Q21=1,Q25=1,G21&gt;C25),1)+IF(AND(Q21=2,Q22=2,D21&gt;C22),1)+IF(AND(Q21=2,Q23=2,E21&gt;C23),1)+IF(AND(Q21=2,Q24=2,F21&gt;C24),1)+IF(AND(Q21=2,Q25=2,G21&gt;C25),1)+IF(AND(Q21=3,Q22=3,D21&gt;C22),1)+IF(AND(Q21=3,Q23=3,E21&gt;C23),1)+IF(AND(Q21=3,Q24=3,F21&gt;C24),1)+IF(AND(Q21=3,Q25=3,G21&gt;C25),1)</f>
        <v>0</v>
      </c>
      <c r="K21" s="481">
        <f>SUM(AND(T21=T22,D21&gt;C22),AND(T21=T23,E21&gt;C23),AND(T21=T24,F21&gt;C24),AND(T21=T25,G21&gt;C25))</f>
        <v>0</v>
      </c>
      <c r="L21" s="482">
        <f>IF(AND(Q21=1,Q22=1),D21-C22)+IF(AND(Q21=1,Q23=1),E21-C23)+IF(AND(Q21=1,Q24=1),F21-C24)+IF(AND(Q21=1,Q25=1),G21-C25)+IF(AND(Q21=2,Q22=2),D21-C22)+IF(AND(Q21=2,Q23=2),E21-C23)+IF(AND(Q21=2,Q24=2),F21-C24)+IF(AND(Q21=2,Q25=2),G21-C25)+IF(AND(Q21=3,Q22=3),D21-C22)+IF(AND(Q21=3,Q23=3),E21-C23)+IF(AND(Q21=3,Q24=3),F21-C24)+IF(AND(Q21=3,Q25=3),G21-C25)+IF(AND(Q21=4,Q22=4),D21-C22)+IF(AND(Q21=4,Q23=4),E21-C23)+IF(AND(Q21=4,Q24=4),F21-C24)+IF(AND(Q21=4,Q25=4),G21-C25)</f>
        <v>0</v>
      </c>
      <c r="M21" s="483">
        <f>SUM(AND(R21=R22,D21&gt;C22),AND(R21=R23,E21&gt;C23),AND(R21=R24,F21&gt;C24),AND(R21=R25,G21&gt;C25))</f>
        <v>0</v>
      </c>
      <c r="N21" s="968" t="str">
        <f>SUM(C21:G21)&amp;"-"&amp;SUM(C21:C25)</f>
        <v>0-0</v>
      </c>
      <c r="O21" s="533">
        <f>D21+E21+F21+G21-C22-C23-C24-C25</f>
        <v>0</v>
      </c>
      <c r="P21" s="485" t="e">
        <f>SUM(C21:G21,C21:C25)/SUM(C21:C25)</f>
        <v>#DIV/0!</v>
      </c>
      <c r="Q21" s="320">
        <f>VALUE(LEFT(H21,1))</f>
        <v>0</v>
      </c>
      <c r="R21" s="321">
        <f>Q21*100000+J21*10000+K21*1000+100*L21</f>
        <v>0</v>
      </c>
      <c r="S21" s="486">
        <f>R21+M21*0.1+IF(ISNONTEXT(B21),0,0.01)+0.0001*O21</f>
        <v>0</v>
      </c>
      <c r="T21" s="487" t="str">
        <f>Q21&amp;J21</f>
        <v>00</v>
      </c>
      <c r="U21" s="477"/>
      <c r="V21" s="477"/>
      <c r="W21" s="477"/>
      <c r="X21" s="477"/>
      <c r="Y21" s="477"/>
      <c r="Z21" s="477"/>
      <c r="AA21" s="477"/>
      <c r="AB21" s="477"/>
      <c r="AC21" s="477"/>
      <c r="AD21" s="405">
        <f t="shared" si="7"/>
        <v>0</v>
      </c>
      <c r="AE21" s="406" t="str">
        <f>IFERROR(INDEX(V!$R:$R,MATCH(AF21,V!$L:$L,0)),"")</f>
        <v/>
      </c>
      <c r="AF21" s="407" t="str">
        <f t="shared" si="1"/>
        <v/>
      </c>
      <c r="AG21" s="406" t="str">
        <f>IFERROR(INDEX(V!$R:$R,MATCH(AH21,V!$L:$L,0)),"")</f>
        <v/>
      </c>
      <c r="AH21" s="407" t="str">
        <f t="shared" si="2"/>
        <v/>
      </c>
      <c r="AI21" s="406" t="str">
        <f>IFERROR(INDEX(V!$R:$R,MATCH(AJ21,V!$L:$L,0)),"")</f>
        <v/>
      </c>
      <c r="AJ21" s="407" t="str">
        <f t="shared" si="3"/>
        <v/>
      </c>
      <c r="AK21" s="406" t="str">
        <f>IFERROR(INDEX(V!$R:$R,MATCH(AL21,V!$L:$L,0)),"")</f>
        <v/>
      </c>
      <c r="AL21" s="407" t="str">
        <f t="shared" si="4"/>
        <v/>
      </c>
      <c r="AM21" s="406" t="str">
        <f>IFERROR(INDEX(V!$R:$R,MATCH(AN21,V!$L:$L,0)),"")</f>
        <v/>
      </c>
      <c r="AN21" s="407" t="str">
        <f t="shared" si="5"/>
        <v/>
      </c>
      <c r="AO21" s="406" t="str">
        <f>IFERROR(INDEX(V!$R:$R,MATCH(AP21,V!$L:$L,0)),"")</f>
        <v/>
      </c>
      <c r="AP21" s="407" t="str">
        <f t="shared" si="6"/>
        <v/>
      </c>
    </row>
    <row r="22" spans="1:42" x14ac:dyDescent="0.2">
      <c r="A22" s="316">
        <v>2</v>
      </c>
      <c r="B22" s="488"/>
      <c r="C22" s="318"/>
      <c r="D22" s="319"/>
      <c r="E22" s="318"/>
      <c r="F22" s="318"/>
      <c r="G22" s="318"/>
      <c r="H22" s="317" t="str">
        <f>(IF(C22-D21&gt;0,1)+IF(E22-D23&gt;0,1)+IF(F22-D24&gt;0,1)+IF(G22-D25&gt;0,1))&amp;"-"&amp;(IF(C22-D21&lt;0,1)+IF(E22-D23&lt;0,1)+IF(F22-D24&lt;0,1)+IF(G22-D25&lt;0,1))</f>
        <v>0-0</v>
      </c>
      <c r="I22" s="318" t="str">
        <f t="shared" ref="I22:I25" si="8">IF(AND(B22&lt;&gt;"",R$20=TRUE),A$20&amp;RANK(S22,S$21:S$25,0)," ")</f>
        <v xml:space="preserve"> </v>
      </c>
      <c r="J22" s="489">
        <f>IF(AND(Q22=1,Q21=1,C22&gt;D21),1)+IF(AND(Q22=1,Q23=1,E22&gt;D23),1)+IF(AND(Q22=1,Q24=1,F22&gt;D24),1)+IF(AND(Q22=1,Q25=1,G22&gt;D25),1)+IF(AND(Q22=2,Q21=2,C22&gt;D21),1)+IF(AND(Q22=2,Q23=2,E22&gt;D23),1)+IF(AND(Q22=2,Q24=2,F22&gt;D24),1)+IF(AND(Q22=2,Q25=2,G22&gt;D25),1)+IF(AND(Q22=3,Q21=3,C22&gt;D21),1)+IF(AND(Q22=3,Q23=3,E22&gt;D23),1)+IF(AND(Q22=3,Q24=3,F22&gt;D24),1)+IF(AND(Q22=3,Q25=3,G22&gt;D25),1)</f>
        <v>0</v>
      </c>
      <c r="K22" s="483">
        <f>SUM(AND(T22=T21,C22&gt;D21),AND(T22=T23,E22&gt;D23),AND(T22=T24,F22&gt;D24),AND(T22=T25,G22&gt;D25))</f>
        <v>0</v>
      </c>
      <c r="L22" s="490">
        <f>IF(AND(Q22=1,Q21=1),C22-D21)+IF(AND(Q22=1,Q23=1),E22-D23)+IF(AND(Q22=1,Q24=1),F22-D24)+IF(AND(Q22=1,Q25=1),G22-D25)+IF(AND(Q22=2,Q21=2),C22-D21)+IF(AND(Q22=2,Q23=2),E22-D23)+IF(AND(Q22=2,Q24=2),F22-D24)+IF(AND(Q22=2,Q25=2),G22-D25)+IF(AND(Q22=3,Q21=3),C22-D21)+IF(AND(Q22=3,Q23=3),E22-D23)+IF(AND(Q22=3,Q24=3),F22-D24)+IF(AND(Q22=3,Q25=3),G22-D25)+IF(AND(Q22=4,Q21=4),C22-D21)+IF(AND(Q22=4,Q23=4),E22-D23)+IF(AND(Q22=4,Q24=4),F22-D24)+IF(AND(Q22=4,Q25=4),G22-D25)</f>
        <v>0</v>
      </c>
      <c r="M22" s="483">
        <f>SUM(AND(R22=R21,C22&gt;D21),AND(R22=R23,E22&gt;D23),AND(R22=R24,F22&gt;D24),AND(R22=R25,G22&gt;D25))</f>
        <v>0</v>
      </c>
      <c r="N22" s="968" t="str">
        <f>SUM(C22:G22)&amp;"-"&amp;SUM(D21:D25)</f>
        <v>0-0</v>
      </c>
      <c r="O22" s="533">
        <f>C22+E22+F22+G22-D21-D23-D24-D25</f>
        <v>0</v>
      </c>
      <c r="P22" s="485" t="e">
        <f>SUM(C22:G22,D21:D25)/SUM(D21:D25)</f>
        <v>#DIV/0!</v>
      </c>
      <c r="Q22" s="491">
        <f>VALUE(LEFT(H22,1))</f>
        <v>0</v>
      </c>
      <c r="R22" s="321">
        <f>Q22*100000+J22*10000+K22*1000+100*L22</f>
        <v>0</v>
      </c>
      <c r="S22" s="486">
        <f>R22+M22*0.1+IF(ISNONTEXT(B22),0,0.01)+0.0001*O22</f>
        <v>0</v>
      </c>
      <c r="T22" s="487" t="str">
        <f>Q22&amp;J22</f>
        <v>00</v>
      </c>
      <c r="U22" s="477"/>
      <c r="V22" s="477"/>
      <c r="W22" s="477"/>
      <c r="X22" s="477"/>
      <c r="Y22" s="477"/>
      <c r="Z22" s="477"/>
      <c r="AA22" s="477"/>
      <c r="AB22" s="477"/>
      <c r="AC22" s="477"/>
      <c r="AD22" s="405">
        <f t="shared" si="7"/>
        <v>0</v>
      </c>
      <c r="AE22" s="406" t="str">
        <f>IFERROR(INDEX(V!$R:$R,MATCH(AF22,V!$L:$L,0)),"")</f>
        <v/>
      </c>
      <c r="AF22" s="407" t="str">
        <f t="shared" si="1"/>
        <v/>
      </c>
      <c r="AG22" s="406" t="str">
        <f>IFERROR(INDEX(V!$R:$R,MATCH(AH22,V!$L:$L,0)),"")</f>
        <v/>
      </c>
      <c r="AH22" s="407" t="str">
        <f t="shared" si="2"/>
        <v/>
      </c>
      <c r="AI22" s="406" t="str">
        <f>IFERROR(INDEX(V!$R:$R,MATCH(AJ22,V!$L:$L,0)),"")</f>
        <v/>
      </c>
      <c r="AJ22" s="407" t="str">
        <f t="shared" si="3"/>
        <v/>
      </c>
      <c r="AK22" s="406" t="str">
        <f>IFERROR(INDEX(V!$R:$R,MATCH(AL22,V!$L:$L,0)),"")</f>
        <v/>
      </c>
      <c r="AL22" s="407" t="str">
        <f t="shared" si="4"/>
        <v/>
      </c>
      <c r="AM22" s="406" t="str">
        <f>IFERROR(INDEX(V!$R:$R,MATCH(AN22,V!$L:$L,0)),"")</f>
        <v/>
      </c>
      <c r="AN22" s="407" t="str">
        <f t="shared" si="5"/>
        <v/>
      </c>
      <c r="AO22" s="406" t="str">
        <f>IFERROR(INDEX(V!$R:$R,MATCH(AP22,V!$L:$L,0)),"")</f>
        <v/>
      </c>
      <c r="AP22" s="407" t="str">
        <f t="shared" si="6"/>
        <v/>
      </c>
    </row>
    <row r="23" spans="1:42" x14ac:dyDescent="0.2">
      <c r="A23" s="316">
        <v>3</v>
      </c>
      <c r="B23" s="488"/>
      <c r="C23" s="318"/>
      <c r="D23" s="492"/>
      <c r="E23" s="319"/>
      <c r="F23" s="318"/>
      <c r="G23" s="318"/>
      <c r="H23" s="317" t="str">
        <f>(IF(C23-E21&gt;0,1)+IF(D23-E22&gt;0,1)+IF(F23-E24&gt;0,1)+IF(G23-E25&gt;0,1))&amp;"-"&amp;(IF(C23-E21&lt;0,1)+IF(D23-E22&lt;0,1)+IF(F23-E24&lt;0,1)+IF(G23-E25&lt;0,1))</f>
        <v>0-0</v>
      </c>
      <c r="I23" s="318" t="str">
        <f t="shared" si="8"/>
        <v xml:space="preserve"> </v>
      </c>
      <c r="J23" s="489">
        <f>IF(AND(Q23=1,Q21=1,C23&gt;E21),1)+IF(AND(Q23=1,Q22=1,D23&gt;E22),1)+IF(AND(Q23=1,Q24=1,F23&gt;E24),1)+IF(AND(Q23=1,Q25=1,G23&gt;E25),1)+IF(AND(Q23=2,Q21=2,C23&gt;E21),1)+IF(AND(Q23=2,Q22=2,D23&gt;E22),1)+IF(AND(Q23=2,Q24=2,F23&gt;E24),1)+IF(AND(Q23=2,Q25=2,G23&gt;E25),1)+IF(AND(Q23=3,Q21=3,C23&gt;E21),1)+IF(AND(Q23=3,Q22=3,D23&gt;E22),1)+IF(AND(Q23=3,Q24=3,F23&gt;E24),1)+IF(AND(Q23=3,Q25=3,G23&gt;E25),1)</f>
        <v>0</v>
      </c>
      <c r="K23" s="483">
        <f>SUM(AND(T23=T21,C23&gt;E21),AND(T23=T22,D23&gt;E22),AND(T23=T24,F23&gt;E24),AND(T23=T25,G23&gt;E25))</f>
        <v>0</v>
      </c>
      <c r="L23" s="490">
        <f>IF(AND(Q23=1,Q21=1),C23-E21)+IF(AND(Q23=1,Q22=1),D23-E22)+IF(AND(Q23=1,Q24=1),F23-E24)+IF(AND(Q23=1,Q25=1),G23-E25)+IF(AND(Q23=2,Q21=2),C23-E21)+IF(AND(Q23=2,Q22=2),D23-E22)+IF(AND(Q23=2,Q24=2),F23-E24)+IF(AND(Q23=2,Q25=2),G23-E25)+IF(AND(Q23=3,Q21=3),C23-E21)+IF(AND(Q23=3,Q22=3),D23-E22)+IF(AND(Q23=3,Q24=3),F23-E24)+IF(AND(Q23=3,Q25=3),G23-E25)+IF(AND(Q23=4,Q21=4),C23-E21)+IF(AND(Q23=4,Q22=4),D23-E22)+IF(AND(Q23=4,Q24=4),F23-E24)+IF(AND(Q23=4,Q25=4),G23-E25)</f>
        <v>0</v>
      </c>
      <c r="M23" s="483">
        <f>SUM(AND(R23=R21,C23&gt;E21),AND(R23=R22,D23&gt;E22),AND(R23=R24,F23&gt;E24),AND(R23=R25,G23&gt;E25))</f>
        <v>0</v>
      </c>
      <c r="N23" s="968" t="str">
        <f>SUM(C23:G23)&amp;"-"&amp;SUM(E21:E25)</f>
        <v>0-0</v>
      </c>
      <c r="O23" s="533">
        <f>C23+D23+F23+G23-E21-E22-E24-E25</f>
        <v>0</v>
      </c>
      <c r="P23" s="485" t="e">
        <f>SUM(C23:G23,E21:E25)/SUM(E21:E25)</f>
        <v>#DIV/0!</v>
      </c>
      <c r="Q23" s="491">
        <f>VALUE(LEFT(H23,1))</f>
        <v>0</v>
      </c>
      <c r="R23" s="321">
        <f>Q23*100000+J23*10000+K23*1000+100*L23</f>
        <v>0</v>
      </c>
      <c r="S23" s="486">
        <f>R23+M23*0.1+IF(ISNONTEXT(B23),0,0.01)+0.0001*O23</f>
        <v>0</v>
      </c>
      <c r="T23" s="487" t="str">
        <f>Q23&amp;J23</f>
        <v>00</v>
      </c>
      <c r="U23" s="477"/>
      <c r="V23" s="477"/>
      <c r="W23" s="477"/>
      <c r="X23" s="477"/>
      <c r="Y23" s="477"/>
      <c r="Z23" s="477"/>
      <c r="AA23" s="477"/>
      <c r="AB23" s="477"/>
      <c r="AC23" s="477"/>
      <c r="AD23" s="405">
        <f t="shared" si="7"/>
        <v>0</v>
      </c>
      <c r="AE23" s="406" t="str">
        <f>IFERROR(INDEX(V!$R:$R,MATCH(AF23,V!$L:$L,0)),"")</f>
        <v/>
      </c>
      <c r="AF23" s="407" t="str">
        <f t="shared" si="1"/>
        <v/>
      </c>
      <c r="AG23" s="406" t="str">
        <f>IFERROR(INDEX(V!$R:$R,MATCH(AH23,V!$L:$L,0)),"")</f>
        <v/>
      </c>
      <c r="AH23" s="407" t="str">
        <f t="shared" si="2"/>
        <v/>
      </c>
      <c r="AI23" s="406" t="str">
        <f>IFERROR(INDEX(V!$R:$R,MATCH(AJ23,V!$L:$L,0)),"")</f>
        <v/>
      </c>
      <c r="AJ23" s="407" t="str">
        <f t="shared" si="3"/>
        <v/>
      </c>
      <c r="AK23" s="406" t="str">
        <f>IFERROR(INDEX(V!$R:$R,MATCH(AL23,V!$L:$L,0)),"")</f>
        <v/>
      </c>
      <c r="AL23" s="407" t="str">
        <f t="shared" si="4"/>
        <v/>
      </c>
      <c r="AM23" s="406" t="str">
        <f>IFERROR(INDEX(V!$R:$R,MATCH(AN23,V!$L:$L,0)),"")</f>
        <v/>
      </c>
      <c r="AN23" s="407" t="str">
        <f t="shared" si="5"/>
        <v/>
      </c>
      <c r="AO23" s="406" t="str">
        <f>IFERROR(INDEX(V!$R:$R,MATCH(AP23,V!$L:$L,0)),"")</f>
        <v/>
      </c>
      <c r="AP23" s="407" t="str">
        <f t="shared" si="6"/>
        <v/>
      </c>
    </row>
    <row r="24" spans="1:42" x14ac:dyDescent="0.2">
      <c r="A24" s="316">
        <v>4</v>
      </c>
      <c r="B24" s="488"/>
      <c r="C24" s="318"/>
      <c r="D24" s="492"/>
      <c r="E24" s="318"/>
      <c r="F24" s="319"/>
      <c r="G24" s="511"/>
      <c r="H24" s="317" t="str">
        <f>(IF(C24-F21&gt;0,1)+IF(D24-F22&gt;0,1)+IF(E24-F23&gt;0,1)+IF(G24-F25&gt;0,1))&amp;"-"&amp;(IF(C24-F21&lt;0,1)+IF(D24-F22&lt;0,1)+IF(E24-F23&lt;0,1)+IF(G24-F25&lt;0,1))</f>
        <v>0-0</v>
      </c>
      <c r="I24" s="318" t="str">
        <f t="shared" si="8"/>
        <v xml:space="preserve"> </v>
      </c>
      <c r="J24" s="489">
        <f>IF(AND(Q24=1,Q21=1,C24&gt;F21),1)+IF(AND(Q24=1,Q22=1,D24&gt;F22),1)+IF(AND(Q24=1,Q23=1,E24&gt;F23),1)+IF(AND(Q24=1,Q25=1,G24&gt;F25),1)+IF(AND(Q24=2,Q21=2,C24&gt;F21),1)+IF(AND(Q24=2,Q22=2,D24&gt;F22),1)+IF(AND(Q24=2,Q23=2,E24&gt;F23),1)+IF(AND(Q24=2,Q25=2,G24&gt;F25),1)+IF(AND(Q24=3,Q21=3,C24&gt;F21),1)+IF(AND(Q24=3,Q22=3,D24&gt;F22),1)+IF(AND(Q24=3,Q23=3,E24&gt;F23),1)+IF(AND(Q24=3,Q25=3,G24&gt;F25),1)</f>
        <v>0</v>
      </c>
      <c r="K24" s="483">
        <f>SUM(AND(T24=T21,C24&gt;F21),AND(T24=T22,D24&gt;F22),AND(T24=T23,E24&gt;F23),AND(T24=T25,G24&gt;F25))</f>
        <v>0</v>
      </c>
      <c r="L24" s="490">
        <f>IF(AND(Q24=1,Q21=1),C24-F21)+IF(AND(Q24=1,Q22=1),D24-F22)+IF(AND(Q24=1,Q23=1),E24-F23)+IF(AND(Q24=1,Q25=1),G24-F25)+IF(AND(Q24=2,Q21=2),C24-F21)+IF(AND(Q24=2,Q22=2),D24-F22)+IF(AND(Q24=2,Q23=2),E24-F23)+IF(AND(Q24=2,Q25=2),G24-F25)+IF(AND(Q24=3,Q21=3),C24-F21)+IF(AND(Q24=3,Q22=3),D24-F22)+IF(AND(Q24=3,Q23=3),E24-F23)+IF(AND(Q24=3,Q25=3),G24-F25)+IF(AND(Q24=4,Q21=4),C24-F21)+IF(AND(Q24=4,Q22=4),D24-F22)+IF(AND(Q24=4,Q23=4),E24-F23)+IF(AND(Q24=4,Q25=4),G24-F25)</f>
        <v>0</v>
      </c>
      <c r="M24" s="483">
        <f>SUM(AND(R24=R21,C24&gt;F21),AND(R24=R22,D24&gt;F22),AND(R24=R23,E24&gt;F23),AND(R24=R25,G24&gt;F25))</f>
        <v>0</v>
      </c>
      <c r="N24" s="968" t="str">
        <f>SUM(C24:G24)&amp;"-"&amp;SUM(F21:F25)</f>
        <v>0-0</v>
      </c>
      <c r="O24" s="533">
        <f>C24+D24+E24+G24-F21-F22-F23-F25</f>
        <v>0</v>
      </c>
      <c r="P24" s="485" t="e">
        <f>SUM(C24:G24,F21:F25)/SUM(F21:F25)</f>
        <v>#DIV/0!</v>
      </c>
      <c r="Q24" s="491">
        <f>VALUE(LEFT(H24,1))</f>
        <v>0</v>
      </c>
      <c r="R24" s="321">
        <f>Q24*100000+J24*10000+K24*1000+100*L24</f>
        <v>0</v>
      </c>
      <c r="S24" s="486">
        <f>R24+M24*0.1+IF(ISNONTEXT(B24),0,0.01)+0.0001*O24</f>
        <v>0</v>
      </c>
      <c r="T24" s="487" t="str">
        <f>Q24&amp;J24</f>
        <v>00</v>
      </c>
      <c r="U24" s="477"/>
      <c r="V24" s="477"/>
      <c r="W24" s="477"/>
      <c r="X24" s="477"/>
      <c r="Y24" s="477"/>
      <c r="Z24" s="477"/>
      <c r="AA24" s="477"/>
      <c r="AB24" s="477"/>
      <c r="AC24" s="477"/>
      <c r="AD24" s="405">
        <f t="shared" si="7"/>
        <v>0</v>
      </c>
      <c r="AE24" s="406" t="str">
        <f>IFERROR(INDEX(V!$R:$R,MATCH(AF24,V!$L:$L,0)),"")</f>
        <v/>
      </c>
      <c r="AF24" s="407" t="str">
        <f t="shared" si="1"/>
        <v/>
      </c>
      <c r="AG24" s="406" t="str">
        <f>IFERROR(INDEX(V!$R:$R,MATCH(AH24,V!$L:$L,0)),"")</f>
        <v/>
      </c>
      <c r="AH24" s="407" t="str">
        <f t="shared" si="2"/>
        <v/>
      </c>
      <c r="AI24" s="406" t="str">
        <f>IFERROR(INDEX(V!$R:$R,MATCH(AJ24,V!$L:$L,0)),"")</f>
        <v/>
      </c>
      <c r="AJ24" s="407" t="str">
        <f t="shared" si="3"/>
        <v/>
      </c>
      <c r="AK24" s="406" t="str">
        <f>IFERROR(INDEX(V!$R:$R,MATCH(AL24,V!$L:$L,0)),"")</f>
        <v/>
      </c>
      <c r="AL24" s="407" t="str">
        <f t="shared" si="4"/>
        <v/>
      </c>
      <c r="AM24" s="406" t="str">
        <f>IFERROR(INDEX(V!$R:$R,MATCH(AN24,V!$L:$L,0)),"")</f>
        <v/>
      </c>
      <c r="AN24" s="407" t="str">
        <f t="shared" si="5"/>
        <v/>
      </c>
      <c r="AO24" s="406" t="str">
        <f>IFERROR(INDEX(V!$R:$R,MATCH(AP24,V!$L:$L,0)),"")</f>
        <v/>
      </c>
      <c r="AP24" s="407" t="str">
        <f t="shared" si="6"/>
        <v/>
      </c>
    </row>
    <row r="25" spans="1:42" x14ac:dyDescent="0.2">
      <c r="A25" s="316">
        <v>5</v>
      </c>
      <c r="B25" s="493"/>
      <c r="C25" s="318"/>
      <c r="D25" s="318"/>
      <c r="E25" s="318"/>
      <c r="F25" s="318"/>
      <c r="G25" s="319"/>
      <c r="H25" s="317" t="str">
        <f>(IF(C25-G21&gt;0,1)+IF(D25-G22&gt;0,1)+IF(E25-G23&gt;0,1)+IF(F25-G24&gt;0,1))&amp;"-"&amp;(IF(C25-G21&lt;0,1)+IF(D25-G22&lt;0,1)+IF(E25-G23&lt;0,1)+IF(F25-G24&lt;0,1))</f>
        <v>0-0</v>
      </c>
      <c r="I25" s="318" t="str">
        <f t="shared" si="8"/>
        <v xml:space="preserve"> </v>
      </c>
      <c r="J25" s="489">
        <f>IF(AND(Q25=1,Q21=1,C25&gt;G21),1)+IF(AND(Q25=1,Q22=1,D25&gt;G22),1)+IF(AND(Q25=1,Q23=1,E25&gt;G23),1)+IF(AND(Q25=1,Q24=1,F25&gt;G24),1)+IF(AND(Q25=2,Q21=2,C25&gt;G21),1)+IF(AND(Q25=2,Q22=2,D25&gt;G22),1)+IF(AND(Q25=2,Q23=2,E25&gt;G23),1)+IF(AND(Q25=2,Q24=2,F25&gt;G24),1)+IF(AND(Q25=3,Q21=3,C25&gt;G21),1)+IF(AND(Q25=3,Q22=3,D25&gt;G22),1)+IF(AND(Q25=3,Q23=3,E25&gt;G23),1)+IF(AND(Q25=3,Q24=3,F25&gt;G24),1)</f>
        <v>0</v>
      </c>
      <c r="K25" s="483">
        <f>SUM(AND(T25=T21,C25&gt;G21),AND(T25=T22,D25&gt;G22),AND(T25=T23,E25&gt;G23),AND(T25=T24,F25&gt;G24))</f>
        <v>0</v>
      </c>
      <c r="L25" s="490">
        <f>IF(AND(Q25=1,Q21=1),C25-G21)+IF(AND(Q25=1,Q22=1),D25-G22)+IF(AND(Q25=1,Q23=1),E25-G23)+IF(AND(Q25=1,Q24=1),F25-G24)+IF(AND(Q25=2,Q21=2),C25-G21)+IF(AND(Q25=2,Q22=2),D25-G22)+IF(AND(Q25=2,Q23=2),E25-G23)+IF(AND(Q25=2,Q24=2),F25-G24)+IF(AND(Q25=3,Q21=3),C25-G21)+IF(AND(Q25=3,Q22=3),D25-G22)+IF(AND(Q25=3,Q23=3),E25-G23)+IF(AND(Q25=3,Q24=3),F25-G24)+IF(AND(Q25=4,Q21=4),C25-G21)+IF(AND(Q25=4,Q22=4),D25-G22)+IF(AND(Q25=4,Q23=4),E25-G23)+IF(AND(Q25=4,Q24=4),F25-G24)</f>
        <v>0</v>
      </c>
      <c r="M25" s="483">
        <f>SUM(AND(R25=R21,C25&gt;G21),AND(R25=R22,D25&gt;G22),AND(R25=R23,E25&gt;G23),AND(R25=R24,F25&gt;G24))</f>
        <v>0</v>
      </c>
      <c r="N25" s="968" t="str">
        <f>SUM(C25:G25)&amp;"-"&amp;SUM(G21:G25)</f>
        <v>0-0</v>
      </c>
      <c r="O25" s="533">
        <f>C25+D25+E25+F25-G21-G22-G23-G24</f>
        <v>0</v>
      </c>
      <c r="P25" s="485" t="e">
        <f>SUM(C25:G25,G21:G25)/SUM(G21:G25)</f>
        <v>#DIV/0!</v>
      </c>
      <c r="Q25" s="491">
        <f>VALUE(LEFT(H25,1))</f>
        <v>0</v>
      </c>
      <c r="R25" s="321">
        <f>Q25*100000+J25*10000+K25*1000+100*L25</f>
        <v>0</v>
      </c>
      <c r="S25" s="486">
        <f>R25+M25*0.1+IF(ISNONTEXT(B25),0,0.01)+0.0001*O25</f>
        <v>0</v>
      </c>
      <c r="T25" s="487" t="str">
        <f>Q25&amp;J25</f>
        <v>00</v>
      </c>
      <c r="U25" s="477"/>
      <c r="V25" s="477"/>
      <c r="W25" s="477"/>
      <c r="X25" s="477"/>
      <c r="Y25" s="477"/>
      <c r="Z25" s="477"/>
      <c r="AA25" s="477"/>
      <c r="AB25" s="477"/>
      <c r="AC25" s="477"/>
      <c r="AD25" s="405">
        <f t="shared" si="7"/>
        <v>0</v>
      </c>
      <c r="AE25" s="406" t="str">
        <f>IFERROR(INDEX(V!$R:$R,MATCH(AF25,V!$L:$L,0)),"")</f>
        <v/>
      </c>
      <c r="AF25" s="407" t="str">
        <f t="shared" si="1"/>
        <v/>
      </c>
      <c r="AG25" s="406" t="str">
        <f>IFERROR(INDEX(V!$R:$R,MATCH(AH25,V!$L:$L,0)),"")</f>
        <v/>
      </c>
      <c r="AH25" s="407" t="str">
        <f t="shared" si="2"/>
        <v/>
      </c>
      <c r="AI25" s="406" t="str">
        <f>IFERROR(INDEX(V!$R:$R,MATCH(AJ25,V!$L:$L,0)),"")</f>
        <v/>
      </c>
      <c r="AJ25" s="407" t="str">
        <f t="shared" si="3"/>
        <v/>
      </c>
      <c r="AK25" s="406" t="str">
        <f>IFERROR(INDEX(V!$R:$R,MATCH(AL25,V!$L:$L,0)),"")</f>
        <v/>
      </c>
      <c r="AL25" s="407" t="str">
        <f t="shared" si="4"/>
        <v/>
      </c>
      <c r="AM25" s="406" t="str">
        <f>IFERROR(INDEX(V!$R:$R,MATCH(AN25,V!$L:$L,0)),"")</f>
        <v/>
      </c>
      <c r="AN25" s="407" t="str">
        <f t="shared" si="5"/>
        <v/>
      </c>
      <c r="AO25" s="406" t="str">
        <f>IFERROR(INDEX(V!$R:$R,MATCH(AP25,V!$L:$L,0)),"")</f>
        <v/>
      </c>
      <c r="AP25" s="407" t="str">
        <f t="shared" si="6"/>
        <v/>
      </c>
    </row>
    <row r="26" spans="1:42" x14ac:dyDescent="0.2">
      <c r="A26" s="513"/>
      <c r="B26" s="514"/>
      <c r="C26" s="499"/>
      <c r="D26" s="499"/>
      <c r="E26" s="499"/>
      <c r="F26" s="515"/>
      <c r="G26" s="515"/>
      <c r="H26" s="516"/>
      <c r="I26" s="517"/>
      <c r="J26" s="477"/>
      <c r="K26" s="477"/>
      <c r="L26" s="477"/>
      <c r="M26" s="477"/>
      <c r="N26" s="477"/>
      <c r="O26" s="477"/>
      <c r="P26" s="477"/>
      <c r="Q26" s="477"/>
      <c r="R26" s="502" t="s">
        <v>264</v>
      </c>
      <c r="S26" s="477"/>
      <c r="T26" s="477"/>
      <c r="U26" s="477"/>
      <c r="V26" s="477"/>
      <c r="W26" s="477"/>
      <c r="X26" s="477"/>
      <c r="Y26" s="477"/>
      <c r="Z26" s="477"/>
      <c r="AA26" s="477"/>
      <c r="AB26" s="477"/>
      <c r="AC26" s="477"/>
      <c r="AD26" s="405">
        <f t="shared" si="7"/>
        <v>0</v>
      </c>
      <c r="AE26" s="406" t="str">
        <f>IFERROR(INDEX(V!$R:$R,MATCH(AF26,V!$L:$L,0)),"")</f>
        <v/>
      </c>
      <c r="AF26" s="407" t="str">
        <f t="shared" si="1"/>
        <v/>
      </c>
      <c r="AG26" s="406" t="str">
        <f>IFERROR(INDEX(V!$R:$R,MATCH(AH26,V!$L:$L,0)),"")</f>
        <v/>
      </c>
      <c r="AH26" s="407" t="str">
        <f t="shared" si="2"/>
        <v/>
      </c>
      <c r="AI26" s="406" t="str">
        <f>IFERROR(INDEX(V!$R:$R,MATCH(AJ26,V!$L:$L,0)),"")</f>
        <v/>
      </c>
      <c r="AJ26" s="407" t="str">
        <f t="shared" si="3"/>
        <v/>
      </c>
      <c r="AK26" s="406" t="str">
        <f>IFERROR(INDEX(V!$R:$R,MATCH(AL26,V!$L:$L,0)),"")</f>
        <v/>
      </c>
      <c r="AL26" s="407" t="str">
        <f t="shared" si="4"/>
        <v/>
      </c>
      <c r="AM26" s="406" t="str">
        <f>IFERROR(INDEX(V!$R:$R,MATCH(AN26,V!$L:$L,0)),"")</f>
        <v/>
      </c>
      <c r="AN26" s="407" t="str">
        <f t="shared" si="5"/>
        <v/>
      </c>
      <c r="AO26" s="406" t="str">
        <f>IFERROR(INDEX(V!$R:$R,MATCH(AP26,V!$L:$L,0)),"")</f>
        <v/>
      </c>
      <c r="AP26" s="407" t="str">
        <f t="shared" si="6"/>
        <v/>
      </c>
    </row>
    <row r="27" spans="1:42" x14ac:dyDescent="0.2">
      <c r="A27" s="316" t="s">
        <v>3</v>
      </c>
      <c r="B27" s="503"/>
      <c r="C27" s="467">
        <v>1</v>
      </c>
      <c r="D27" s="467">
        <v>2</v>
      </c>
      <c r="E27" s="467">
        <v>3</v>
      </c>
      <c r="F27" s="467">
        <v>4</v>
      </c>
      <c r="G27" s="467">
        <v>5</v>
      </c>
      <c r="H27" s="468" t="s">
        <v>168</v>
      </c>
      <c r="I27" s="468" t="s">
        <v>169</v>
      </c>
      <c r="J27" s="504" t="s">
        <v>257</v>
      </c>
      <c r="K27" s="505" t="s">
        <v>258</v>
      </c>
      <c r="L27" s="506" t="s">
        <v>259</v>
      </c>
      <c r="M27" s="506" t="s">
        <v>260</v>
      </c>
      <c r="N27" s="472" t="s">
        <v>170</v>
      </c>
      <c r="O27" s="472" t="s">
        <v>170</v>
      </c>
      <c r="P27" s="473" t="s">
        <v>261</v>
      </c>
      <c r="Q27" s="507" t="s">
        <v>21</v>
      </c>
      <c r="R27" s="507" t="b">
        <f>OR(AND(COUNTA(B28:B32)=3,COUNTA(C28:G32)=6),AND(COUNTA(B28:B32)=4,COUNTA(C28:G32)=12),AND(COUNTA(B28:B32)=5,COUNTA(C28:G32)=20))</f>
        <v>0</v>
      </c>
      <c r="S27" s="508" t="s">
        <v>262</v>
      </c>
      <c r="T27" s="509" t="s">
        <v>263</v>
      </c>
      <c r="U27" s="477"/>
      <c r="V27" s="477"/>
      <c r="W27" s="477"/>
      <c r="X27" s="477"/>
      <c r="Y27" s="477"/>
      <c r="Z27" s="477"/>
      <c r="AA27" s="477"/>
      <c r="AB27" s="477"/>
      <c r="AC27" s="477"/>
      <c r="AD27" s="405">
        <f t="shared" si="7"/>
        <v>0</v>
      </c>
      <c r="AE27" s="406" t="str">
        <f>IFERROR(INDEX(V!$R:$R,MATCH(AF27,V!$L:$L,0)),"")</f>
        <v/>
      </c>
      <c r="AF27" s="407" t="str">
        <f t="shared" si="1"/>
        <v/>
      </c>
      <c r="AG27" s="406" t="str">
        <f>IFERROR(INDEX(V!$R:$R,MATCH(AH27,V!$L:$L,0)),"")</f>
        <v/>
      </c>
      <c r="AH27" s="407" t="str">
        <f t="shared" si="2"/>
        <v/>
      </c>
      <c r="AI27" s="406" t="str">
        <f>IFERROR(INDEX(V!$R:$R,MATCH(AJ27,V!$L:$L,0)),"")</f>
        <v/>
      </c>
      <c r="AJ27" s="407" t="str">
        <f t="shared" si="3"/>
        <v/>
      </c>
      <c r="AK27" s="406" t="str">
        <f>IFERROR(INDEX(V!$R:$R,MATCH(AL27,V!$L:$L,0)),"")</f>
        <v/>
      </c>
      <c r="AL27" s="407" t="str">
        <f t="shared" si="4"/>
        <v/>
      </c>
      <c r="AM27" s="406" t="str">
        <f>IFERROR(INDEX(V!$R:$R,MATCH(AN27,V!$L:$L,0)),"")</f>
        <v/>
      </c>
      <c r="AN27" s="407" t="str">
        <f t="shared" si="5"/>
        <v/>
      </c>
      <c r="AO27" s="406" t="str">
        <f>IFERROR(INDEX(V!$R:$R,MATCH(AP27,V!$L:$L,0)),"")</f>
        <v/>
      </c>
      <c r="AP27" s="407" t="str">
        <f t="shared" si="6"/>
        <v/>
      </c>
    </row>
    <row r="28" spans="1:42" x14ac:dyDescent="0.2">
      <c r="A28" s="316">
        <v>1</v>
      </c>
      <c r="B28" s="518"/>
      <c r="C28" s="319"/>
      <c r="D28" s="318"/>
      <c r="E28" s="318"/>
      <c r="F28" s="318"/>
      <c r="G28" s="318"/>
      <c r="H28" s="317" t="str">
        <f>(IF(D28-C29&gt;0,1)+IF(E28-C30&gt;0,1)+IF(F28-C31&gt;0,1)+IF(G28-C32&gt;0,1))&amp;"-"&amp;(IF(D28-C29&lt;0,1)+IF(E28-C30&lt;0,1)+IF(F28-C31&lt;0,1)+IF(G28-C32&lt;0,1))</f>
        <v>0-0</v>
      </c>
      <c r="I28" s="318" t="str">
        <f>IF(AND(B28&lt;&gt;"",R$27=TRUE),A$27&amp;RANK(S28,S$28:S$32,0)," ")</f>
        <v xml:space="preserve"> </v>
      </c>
      <c r="J28" s="480">
        <f>IF(AND(Q28=1,Q29=1,D28&gt;C29),1)+IF(AND(Q28=1,Q30=1,E28&gt;C30),1)+IF(AND(Q28=1,Q31=1,F28&gt;C31),1)+IF(AND(Q28=1,Q32=1,G28&gt;C32),1)+IF(AND(Q28=2,Q29=2,D28&gt;C29),1)+IF(AND(Q28=2,Q30=2,E28&gt;C30),1)+IF(AND(Q28=2,Q31=2,F28&gt;C31),1)+IF(AND(Q28=2,Q32=2,G28&gt;C32),1)+IF(AND(Q28=3,Q29=3,D28&gt;C29),1)+IF(AND(Q28=3,Q30=3,E28&gt;C30),1)+IF(AND(Q28=3,Q31=3,F28&gt;C31),1)+IF(AND(Q28=3,Q32=3,G28&gt;C32),1)</f>
        <v>0</v>
      </c>
      <c r="K28" s="481">
        <f>SUM(AND(T28=T29,D28&gt;C29),AND(T28=T30,E28&gt;C30),AND(T28=T31,F28&gt;C31),AND(T28=T32,G28&gt;C32))</f>
        <v>0</v>
      </c>
      <c r="L28" s="482">
        <f>IF(AND(Q28=1,Q29=1),D28-C29)+IF(AND(Q28=1,Q30=1),E28-C30)+IF(AND(Q28=1,Q31=1),F28-C31)+IF(AND(Q28=1,Q32=1),G28-C32)+IF(AND(Q28=2,Q29=2),D28-C29)+IF(AND(Q28=2,Q30=2),E28-C30)+IF(AND(Q28=2,Q31=2),F28-C31)+IF(AND(Q28=2,Q32=2),G28-C32)+IF(AND(Q28=3,Q29=3),D28-C29)+IF(AND(Q28=3,Q30=3),E28-C30)+IF(AND(Q28=3,Q31=3),F28-C31)+IF(AND(Q28=3,Q32=3),G28-C32)+IF(AND(Q28=4,Q29=4),D28-C29)+IF(AND(Q28=4,Q30=4),E28-C30)+IF(AND(Q28=4,Q31=4),F28-C31)+IF(AND(Q28=4,Q32=4),G28-C32)</f>
        <v>0</v>
      </c>
      <c r="M28" s="483">
        <f>SUM(AND(R28=R29,D28&gt;C29),AND(R28=R30,E28&gt;C30),AND(R28=R31,F28&gt;C31),AND(R28=R32,G28&gt;C32))</f>
        <v>0</v>
      </c>
      <c r="N28" s="968" t="str">
        <f>SUM(C28:G28)&amp;"-"&amp;SUM(C28:C32)</f>
        <v>0-0</v>
      </c>
      <c r="O28" s="533">
        <f>D28+E28+F28+G28-C29-C30-C31-C32</f>
        <v>0</v>
      </c>
      <c r="P28" s="485" t="e">
        <f>SUM(C28:G28,C28:C32)/SUM(C28:C32)</f>
        <v>#DIV/0!</v>
      </c>
      <c r="Q28" s="320">
        <f>VALUE(LEFT(H28,1))</f>
        <v>0</v>
      </c>
      <c r="R28" s="321">
        <f>Q28*100000+J28*10000+K28*1000+100*L28</f>
        <v>0</v>
      </c>
      <c r="S28" s="486">
        <f>R28+M28*0.1+IF(ISNONTEXT(B28),0,0.01)+0.0001*O28</f>
        <v>0</v>
      </c>
      <c r="T28" s="487" t="str">
        <f>Q28&amp;J28</f>
        <v>00</v>
      </c>
      <c r="U28" s="477"/>
      <c r="V28" s="477"/>
      <c r="W28" s="477"/>
      <c r="X28" s="477"/>
      <c r="Y28" s="477"/>
      <c r="Z28" s="477"/>
      <c r="AA28" s="477"/>
      <c r="AB28" s="477"/>
      <c r="AC28" s="477"/>
      <c r="AD28" s="405">
        <f t="shared" si="7"/>
        <v>0</v>
      </c>
      <c r="AE28" s="406" t="str">
        <f>IFERROR(INDEX(V!$R:$R,MATCH(AF28,V!$L:$L,0)),"")</f>
        <v/>
      </c>
      <c r="AF28" s="407" t="str">
        <f t="shared" si="1"/>
        <v/>
      </c>
      <c r="AG28" s="406" t="str">
        <f>IFERROR(INDEX(V!$R:$R,MATCH(AH28,V!$L:$L,0)),"")</f>
        <v/>
      </c>
      <c r="AH28" s="407" t="str">
        <f t="shared" si="2"/>
        <v/>
      </c>
      <c r="AI28" s="406" t="str">
        <f>IFERROR(INDEX(V!$R:$R,MATCH(AJ28,V!$L:$L,0)),"")</f>
        <v/>
      </c>
      <c r="AJ28" s="407" t="str">
        <f t="shared" si="3"/>
        <v/>
      </c>
      <c r="AK28" s="406" t="str">
        <f>IFERROR(INDEX(V!$R:$R,MATCH(AL28,V!$L:$L,0)),"")</f>
        <v/>
      </c>
      <c r="AL28" s="407" t="str">
        <f t="shared" si="4"/>
        <v/>
      </c>
      <c r="AM28" s="406" t="str">
        <f>IFERROR(INDEX(V!$R:$R,MATCH(AN28,V!$L:$L,0)),"")</f>
        <v/>
      </c>
      <c r="AN28" s="407" t="str">
        <f t="shared" si="5"/>
        <v/>
      </c>
      <c r="AO28" s="406" t="str">
        <f>IFERROR(INDEX(V!$R:$R,MATCH(AP28,V!$L:$L,0)),"")</f>
        <v/>
      </c>
      <c r="AP28" s="407" t="str">
        <f t="shared" si="6"/>
        <v/>
      </c>
    </row>
    <row r="29" spans="1:42" x14ac:dyDescent="0.2">
      <c r="A29" s="316">
        <v>2</v>
      </c>
      <c r="B29" s="488"/>
      <c r="C29" s="318"/>
      <c r="D29" s="319"/>
      <c r="E29" s="318"/>
      <c r="F29" s="318"/>
      <c r="G29" s="318"/>
      <c r="H29" s="317" t="str">
        <f>(IF(C29-D28&gt;0,1)+IF(E29-D30&gt;0,1)+IF(F29-D31&gt;0,1)+IF(G29-D32&gt;0,1))&amp;"-"&amp;(IF(C29-D28&lt;0,1)+IF(E29-D30&lt;0,1)+IF(F29-D31&lt;0,1)+IF(G29-D32&lt;0,1))</f>
        <v>0-0</v>
      </c>
      <c r="I29" s="318" t="str">
        <f t="shared" ref="I29:I32" si="9">IF(AND(B29&lt;&gt;"",R$27=TRUE),A$27&amp;RANK(S29,S$28:S$32,0)," ")</f>
        <v xml:space="preserve"> </v>
      </c>
      <c r="J29" s="489">
        <f>IF(AND(Q29=1,Q28=1,C29&gt;D28),1)+IF(AND(Q29=1,Q30=1,E29&gt;D30),1)+IF(AND(Q29=1,Q31=1,F29&gt;D31),1)+IF(AND(Q29=1,Q32=1,G29&gt;D32),1)+IF(AND(Q29=2,Q28=2,C29&gt;D28),1)+IF(AND(Q29=2,Q30=2,E29&gt;D30),1)+IF(AND(Q29=2,Q31=2,F29&gt;D31),1)+IF(AND(Q29=2,Q32=2,G29&gt;D32),1)+IF(AND(Q29=3,Q28=3,C29&gt;D28),1)+IF(AND(Q29=3,Q30=3,E29&gt;D30),1)+IF(AND(Q29=3,Q31=3,F29&gt;D31),1)+IF(AND(Q29=3,Q32=3,G29&gt;D32),1)</f>
        <v>0</v>
      </c>
      <c r="K29" s="483">
        <f>SUM(AND(T29=T28,C29&gt;D28),AND(T29=T30,E29&gt;D30),AND(T29=T31,F29&gt;D31),AND(T29=T32,G29&gt;D32))</f>
        <v>0</v>
      </c>
      <c r="L29" s="490">
        <f>IF(AND(Q29=1,Q28=1),C29-D28)+IF(AND(Q29=1,Q30=1),E29-D30)+IF(AND(Q29=1,Q31=1),F29-D31)+IF(AND(Q29=1,Q32=1),G29-D32)+IF(AND(Q29=2,Q28=2),C29-D28)+IF(AND(Q29=2,Q30=2),E29-D30)+IF(AND(Q29=2,Q31=2),F29-D31)+IF(AND(Q29=2,Q32=2),G29-D32)+IF(AND(Q29=3,Q28=3),C29-D28)+IF(AND(Q29=3,Q30=3),E29-D30)+IF(AND(Q29=3,Q31=3),F29-D31)+IF(AND(Q29=3,Q32=3),G29-D32)+IF(AND(Q29=4,Q28=4),C29-D28)+IF(AND(Q29=4,Q30=4),E29-D30)+IF(AND(Q29=4,Q31=4),F29-D31)+IF(AND(Q29=4,Q32=4),G29-D32)</f>
        <v>0</v>
      </c>
      <c r="M29" s="483">
        <f>SUM(AND(R29=R28,C29&gt;D28),AND(R29=R30,E29&gt;D30),AND(R29=R31,F29&gt;D31),AND(R29=R32,G29&gt;D32))</f>
        <v>0</v>
      </c>
      <c r="N29" s="968" t="str">
        <f>SUM(C29:G29)&amp;"-"&amp;SUM(D28:D32)</f>
        <v>0-0</v>
      </c>
      <c r="O29" s="533">
        <f>C29+E29+F29+G29-D28-D30-D31-D32</f>
        <v>0</v>
      </c>
      <c r="P29" s="485" t="e">
        <f>SUM(C29:G29,D28:D32)/SUM(D28:D32)</f>
        <v>#DIV/0!</v>
      </c>
      <c r="Q29" s="491">
        <f>VALUE(LEFT(H29,1))</f>
        <v>0</v>
      </c>
      <c r="R29" s="321">
        <f>Q29*100000+J29*10000+K29*1000+100*L29</f>
        <v>0</v>
      </c>
      <c r="S29" s="486">
        <f>R29+M29*0.1+IF(ISNONTEXT(B29),0,0.01)+0.0001*O29</f>
        <v>0</v>
      </c>
      <c r="T29" s="487" t="str">
        <f>Q29&amp;J29</f>
        <v>00</v>
      </c>
      <c r="U29" s="477"/>
      <c r="V29" s="477"/>
      <c r="W29" s="477"/>
      <c r="X29" s="477"/>
      <c r="Y29" s="477"/>
      <c r="Z29" s="477"/>
      <c r="AA29" s="477"/>
      <c r="AB29" s="477"/>
      <c r="AC29" s="477"/>
      <c r="AD29" s="405">
        <f t="shared" si="7"/>
        <v>0</v>
      </c>
      <c r="AE29" s="406" t="str">
        <f>IFERROR(INDEX(V!$R:$R,MATCH(AF29,V!$L:$L,0)),"")</f>
        <v/>
      </c>
      <c r="AF29" s="407" t="str">
        <f t="shared" si="1"/>
        <v/>
      </c>
      <c r="AG29" s="406" t="str">
        <f>IFERROR(INDEX(V!$R:$R,MATCH(AH29,V!$L:$L,0)),"")</f>
        <v/>
      </c>
      <c r="AH29" s="407" t="str">
        <f t="shared" si="2"/>
        <v/>
      </c>
      <c r="AI29" s="406" t="str">
        <f>IFERROR(INDEX(V!$R:$R,MATCH(AJ29,V!$L:$L,0)),"")</f>
        <v/>
      </c>
      <c r="AJ29" s="407" t="str">
        <f t="shared" si="3"/>
        <v/>
      </c>
      <c r="AK29" s="406" t="str">
        <f>IFERROR(INDEX(V!$R:$R,MATCH(AL29,V!$L:$L,0)),"")</f>
        <v/>
      </c>
      <c r="AL29" s="407" t="str">
        <f t="shared" si="4"/>
        <v/>
      </c>
      <c r="AM29" s="406" t="str">
        <f>IFERROR(INDEX(V!$R:$R,MATCH(AN29,V!$L:$L,0)),"")</f>
        <v/>
      </c>
      <c r="AN29" s="407" t="str">
        <f t="shared" si="5"/>
        <v/>
      </c>
      <c r="AO29" s="406" t="str">
        <f>IFERROR(INDEX(V!$R:$R,MATCH(AP29,V!$L:$L,0)),"")</f>
        <v/>
      </c>
      <c r="AP29" s="407" t="str">
        <f t="shared" si="6"/>
        <v/>
      </c>
    </row>
    <row r="30" spans="1:42" x14ac:dyDescent="0.2">
      <c r="A30" s="316">
        <v>3</v>
      </c>
      <c r="B30" s="488"/>
      <c r="C30" s="318"/>
      <c r="D30" s="492"/>
      <c r="E30" s="319"/>
      <c r="F30" s="318"/>
      <c r="G30" s="318"/>
      <c r="H30" s="317" t="str">
        <f>(IF(C30-E28&gt;0,1)+IF(D30-E29&gt;0,1)+IF(F30-E31&gt;0,1)+IF(G30-E32&gt;0,1))&amp;"-"&amp;(IF(C30-E28&lt;0,1)+IF(D30-E29&lt;0,1)+IF(F30-E31&lt;0,1)+IF(G30-E32&lt;0,1))</f>
        <v>0-0</v>
      </c>
      <c r="I30" s="318" t="str">
        <f t="shared" si="9"/>
        <v xml:space="preserve"> </v>
      </c>
      <c r="J30" s="489">
        <f>IF(AND(Q30=1,Q28=1,C30&gt;E28),1)+IF(AND(Q30=1,Q29=1,D30&gt;E29),1)+IF(AND(Q30=1,Q31=1,F30&gt;E31),1)+IF(AND(Q30=1,Q32=1,G30&gt;E32),1)+IF(AND(Q30=2,Q28=2,C30&gt;E28),1)+IF(AND(Q30=2,Q29=2,D30&gt;E29),1)+IF(AND(Q30=2,Q31=2,F30&gt;E31),1)+IF(AND(Q30=2,Q32=2,G30&gt;E32),1)+IF(AND(Q30=3,Q28=3,C30&gt;E28),1)+IF(AND(Q30=3,Q29=3,D30&gt;E29),1)+IF(AND(Q30=3,Q31=3,F30&gt;E31),1)+IF(AND(Q30=3,Q32=3,G30&gt;E32),1)</f>
        <v>0</v>
      </c>
      <c r="K30" s="483">
        <f>SUM(AND(T30=T28,C30&gt;E28),AND(T30=T29,D30&gt;E29),AND(T30=T31,F30&gt;E31),AND(T30=T32,G30&gt;E32))</f>
        <v>0</v>
      </c>
      <c r="L30" s="490">
        <f>IF(AND(Q30=1,Q28=1),C30-E28)+IF(AND(Q30=1,Q29=1),D30-E29)+IF(AND(Q30=1,Q31=1),F30-E31)+IF(AND(Q30=1,Q32=1),G30-E32)+IF(AND(Q30=2,Q28=2),C30-E28)+IF(AND(Q30=2,Q29=2),D30-E29)+IF(AND(Q30=2,Q31=2),F30-E31)+IF(AND(Q30=2,Q32=2),G30-E32)+IF(AND(Q30=3,Q28=3),C30-E28)+IF(AND(Q30=3,Q29=3),D30-E29)+IF(AND(Q30=3,Q31=3),F30-E31)+IF(AND(Q30=3,Q32=3),G30-E32)+IF(AND(Q30=4,Q28=4),C30-E28)+IF(AND(Q30=4,Q29=4),D30-E29)+IF(AND(Q30=4,Q31=4),F30-E31)+IF(AND(Q30=4,Q32=4),G30-E32)</f>
        <v>0</v>
      </c>
      <c r="M30" s="483">
        <f>SUM(AND(R30=R28,C30&gt;E28),AND(R30=R29,D30&gt;E29),AND(R30=R31,F30&gt;E31),AND(R30=R32,G30&gt;E32))</f>
        <v>0</v>
      </c>
      <c r="N30" s="968" t="str">
        <f>SUM(C30:G30)&amp;"-"&amp;SUM(E28:E32)</f>
        <v>0-0</v>
      </c>
      <c r="O30" s="533">
        <f>C30+D30+F30+G30-E28-E29-E31-E32</f>
        <v>0</v>
      </c>
      <c r="P30" s="485" t="e">
        <f>SUM(C30:G30,E28:E32)/SUM(E28:E32)</f>
        <v>#DIV/0!</v>
      </c>
      <c r="Q30" s="491">
        <f>VALUE(LEFT(H30,1))</f>
        <v>0</v>
      </c>
      <c r="R30" s="321">
        <f>Q30*100000+J30*10000+K30*1000+100*L30</f>
        <v>0</v>
      </c>
      <c r="S30" s="486">
        <f>R30+M30*0.1+IF(ISNONTEXT(B30),0,0.01)+0.0001*O30</f>
        <v>0</v>
      </c>
      <c r="T30" s="487" t="str">
        <f>Q30&amp;J30</f>
        <v>00</v>
      </c>
      <c r="U30" s="477"/>
      <c r="V30" s="477"/>
      <c r="W30" s="477"/>
      <c r="X30" s="477"/>
      <c r="Y30" s="477"/>
      <c r="Z30" s="477"/>
      <c r="AA30" s="477"/>
      <c r="AB30" s="477"/>
      <c r="AC30" s="477"/>
      <c r="AD30" s="405">
        <f t="shared" si="7"/>
        <v>0</v>
      </c>
      <c r="AE30" s="406" t="str">
        <f>IFERROR(INDEX(V!$R:$R,MATCH(AF30,V!$L:$L,0)),"")</f>
        <v/>
      </c>
      <c r="AF30" s="407" t="str">
        <f t="shared" si="1"/>
        <v/>
      </c>
      <c r="AG30" s="406" t="str">
        <f>IFERROR(INDEX(V!$R:$R,MATCH(AH30,V!$L:$L,0)),"")</f>
        <v/>
      </c>
      <c r="AH30" s="407" t="str">
        <f t="shared" si="2"/>
        <v/>
      </c>
      <c r="AI30" s="406" t="str">
        <f>IFERROR(INDEX(V!$R:$R,MATCH(AJ30,V!$L:$L,0)),"")</f>
        <v/>
      </c>
      <c r="AJ30" s="407" t="str">
        <f t="shared" si="3"/>
        <v/>
      </c>
      <c r="AK30" s="406" t="str">
        <f>IFERROR(INDEX(V!$R:$R,MATCH(AL30,V!$L:$L,0)),"")</f>
        <v/>
      </c>
      <c r="AL30" s="407" t="str">
        <f t="shared" si="4"/>
        <v/>
      </c>
      <c r="AM30" s="406" t="str">
        <f>IFERROR(INDEX(V!$R:$R,MATCH(AN30,V!$L:$L,0)),"")</f>
        <v/>
      </c>
      <c r="AN30" s="407" t="str">
        <f t="shared" si="5"/>
        <v/>
      </c>
      <c r="AO30" s="406" t="str">
        <f>IFERROR(INDEX(V!$R:$R,MATCH(AP30,V!$L:$L,0)),"")</f>
        <v/>
      </c>
      <c r="AP30" s="407" t="str">
        <f t="shared" si="6"/>
        <v/>
      </c>
    </row>
    <row r="31" spans="1:42" x14ac:dyDescent="0.2">
      <c r="A31" s="316">
        <v>4</v>
      </c>
      <c r="B31" s="493"/>
      <c r="C31" s="318"/>
      <c r="D31" s="492"/>
      <c r="E31" s="318"/>
      <c r="F31" s="319"/>
      <c r="G31" s="511"/>
      <c r="H31" s="317" t="str">
        <f>(IF(C31-F28&gt;0,1)+IF(D31-F29&gt;0,1)+IF(E31-F30&gt;0,1)+IF(G31-F32&gt;0,1))&amp;"-"&amp;(IF(C31-F28&lt;0,1)+IF(D31-F29&lt;0,1)+IF(E31-F30&lt;0,1)+IF(G31-F32&lt;0,1))</f>
        <v>0-0</v>
      </c>
      <c r="I31" s="318" t="str">
        <f t="shared" si="9"/>
        <v xml:space="preserve"> </v>
      </c>
      <c r="J31" s="489">
        <f>IF(AND(Q31=1,Q28=1,C31&gt;F28),1)+IF(AND(Q31=1,Q29=1,D31&gt;F29),1)+IF(AND(Q31=1,Q30=1,E31&gt;F30),1)+IF(AND(Q31=1,Q32=1,G31&gt;F32),1)+IF(AND(Q31=2,Q28=2,C31&gt;F28),1)+IF(AND(Q31=2,Q29=2,D31&gt;F29),1)+IF(AND(Q31=2,Q30=2,E31&gt;F30),1)+IF(AND(Q31=2,Q32=2,G31&gt;F32),1)+IF(AND(Q31=3,Q28=3,C31&gt;F28),1)+IF(AND(Q31=3,Q29=3,D31&gt;F29),1)+IF(AND(Q31=3,Q30=3,E31&gt;F30),1)+IF(AND(Q31=3,Q32=3,G31&gt;F32),1)</f>
        <v>0</v>
      </c>
      <c r="K31" s="483">
        <f>SUM(AND(T31=T28,C31&gt;F28),AND(T31=T29,D31&gt;F29),AND(T31=T30,E31&gt;F30),AND(T31=T32,G31&gt;F32))</f>
        <v>0</v>
      </c>
      <c r="L31" s="490">
        <f>IF(AND(Q31=1,Q28=1),C31-F28)+IF(AND(Q31=1,Q29=1),D31-F29)+IF(AND(Q31=1,Q30=1),E31-F30)+IF(AND(Q31=1,Q32=1),G31-F32)+IF(AND(Q31=2,Q28=2),C31-F28)+IF(AND(Q31=2,Q29=2),D31-F29)+IF(AND(Q31=2,Q30=2),E31-F30)+IF(AND(Q31=2,Q32=2),G31-F32)+IF(AND(Q31=3,Q28=3),C31-F28)+IF(AND(Q31=3,Q29=3),D31-F29)+IF(AND(Q31=3,Q30=3),E31-F30)+IF(AND(Q31=3,Q32=3),G31-F32)+IF(AND(Q31=4,Q28=4),C31-F28)+IF(AND(Q31=4,Q29=4),D31-F29)+IF(AND(Q31=4,Q30=4),E31-F30)+IF(AND(Q31=4,Q32=4),G31-F32)</f>
        <v>0</v>
      </c>
      <c r="M31" s="483">
        <f>SUM(AND(R31=R28,C31&gt;F28),AND(R31=R29,D31&gt;F29),AND(R31=R30,E31&gt;F30),AND(R31=R32,G31&gt;F32))</f>
        <v>0</v>
      </c>
      <c r="N31" s="968" t="str">
        <f>SUM(C31:G31)&amp;"-"&amp;SUM(F28:F32)</f>
        <v>0-0</v>
      </c>
      <c r="O31" s="533">
        <f>C31+D31+E31+G31-F28-F29-F30-F32</f>
        <v>0</v>
      </c>
      <c r="P31" s="485" t="e">
        <f>SUM(C31:G31,F28:F32)/SUM(F28:F32)</f>
        <v>#DIV/0!</v>
      </c>
      <c r="Q31" s="491">
        <f>VALUE(LEFT(H31,1))</f>
        <v>0</v>
      </c>
      <c r="R31" s="321">
        <f>Q31*100000+J31*10000+K31*1000+100*L31</f>
        <v>0</v>
      </c>
      <c r="S31" s="486">
        <f>R31+M31*0.1+IF(ISNONTEXT(B31),0,0.01)+0.0001*O31</f>
        <v>0</v>
      </c>
      <c r="T31" s="487" t="str">
        <f>Q31&amp;J31</f>
        <v>00</v>
      </c>
      <c r="U31" s="477"/>
      <c r="V31" s="477"/>
      <c r="W31" s="477"/>
      <c r="X31" s="477"/>
      <c r="Y31" s="477"/>
      <c r="Z31" s="477"/>
      <c r="AA31" s="477"/>
      <c r="AB31" s="477"/>
      <c r="AC31" s="477"/>
      <c r="AD31" s="405">
        <f t="shared" si="7"/>
        <v>0</v>
      </c>
      <c r="AE31" s="406" t="str">
        <f>IFERROR(INDEX(V!$R:$R,MATCH(AF31,V!$L:$L,0)),"")</f>
        <v/>
      </c>
      <c r="AF31" s="407" t="str">
        <f t="shared" si="1"/>
        <v/>
      </c>
      <c r="AG31" s="406" t="str">
        <f>IFERROR(INDEX(V!$R:$R,MATCH(AH31,V!$L:$L,0)),"")</f>
        <v/>
      </c>
      <c r="AH31" s="407" t="str">
        <f t="shared" si="2"/>
        <v/>
      </c>
      <c r="AI31" s="406" t="str">
        <f>IFERROR(INDEX(V!$R:$R,MATCH(AJ31,V!$L:$L,0)),"")</f>
        <v/>
      </c>
      <c r="AJ31" s="407" t="str">
        <f t="shared" si="3"/>
        <v/>
      </c>
      <c r="AK31" s="406" t="str">
        <f>IFERROR(INDEX(V!$R:$R,MATCH(AL31,V!$L:$L,0)),"")</f>
        <v/>
      </c>
      <c r="AL31" s="407" t="str">
        <f t="shared" si="4"/>
        <v/>
      </c>
      <c r="AM31" s="406" t="str">
        <f>IFERROR(INDEX(V!$R:$R,MATCH(AN31,V!$L:$L,0)),"")</f>
        <v/>
      </c>
      <c r="AN31" s="407" t="str">
        <f t="shared" si="5"/>
        <v/>
      </c>
      <c r="AO31" s="406" t="str">
        <f>IFERROR(INDEX(V!$R:$R,MATCH(AP31,V!$L:$L,0)),"")</f>
        <v/>
      </c>
      <c r="AP31" s="407" t="str">
        <f t="shared" si="6"/>
        <v/>
      </c>
    </row>
    <row r="32" spans="1:42" x14ac:dyDescent="0.2">
      <c r="A32" s="311">
        <v>5</v>
      </c>
      <c r="B32" s="460"/>
      <c r="C32" s="279"/>
      <c r="D32" s="279"/>
      <c r="E32" s="279"/>
      <c r="F32" s="279"/>
      <c r="G32" s="278"/>
      <c r="H32" s="282" t="str">
        <f>(IF(C32-G28&gt;0,1)+IF(D32-G29&gt;0,1)+IF(E32-G30&gt;0,1)+IF(F32-G31&gt;0,1))&amp;"-"&amp;(IF(C32-G28&lt;0,1)+IF(D32-G29&lt;0,1)+IF(E32-G30&lt;0,1)+IF(F32-G31&lt;0,1))</f>
        <v>0-0</v>
      </c>
      <c r="I32" s="318" t="str">
        <f t="shared" si="9"/>
        <v xml:space="preserve"> </v>
      </c>
      <c r="J32" s="295">
        <f>IF(AND(Q32=1,Q28=1,C32&gt;G28),1)+IF(AND(Q32=1,Q29=1,D32&gt;G29),1)+IF(AND(Q32=1,Q30=1,E32&gt;G30),1)+IF(AND(Q32=1,Q31=1,F32&gt;G31),1)+IF(AND(Q32=2,Q28=2,C32&gt;G28),1)+IF(AND(Q32=2,Q29=2,D32&gt;G29),1)+IF(AND(Q32=2,Q30=2,E32&gt;G30),1)+IF(AND(Q32=2,Q31=2,F32&gt;G31),1)+IF(AND(Q32=3,Q28=3,C32&gt;G28),1)+IF(AND(Q32=3,Q29=3,D32&gt;G29),1)+IF(AND(Q32=3,Q30=3,E32&gt;G30),1)+IF(AND(Q32=3,Q31=3,F32&gt;G31),1)</f>
        <v>0</v>
      </c>
      <c r="K32" s="427">
        <f>SUM(AND(T32=T28,C32&gt;G28),AND(T32=T29,D32&gt;G29),AND(T32=T30,E32&gt;G30),AND(T32=T31,F32&gt;G31))</f>
        <v>0</v>
      </c>
      <c r="L32" s="434">
        <f>IF(AND(Q32=1,Q28=1),C32-G28)+IF(AND(Q32=1,Q29=1),D32-G29)+IF(AND(Q32=1,Q30=1),E32-G30)+IF(AND(Q32=1,Q31=1),F32-G31)+IF(AND(Q32=2,Q28=2),C32-G28)+IF(AND(Q32=2,Q29=2),D32-G29)+IF(AND(Q32=2,Q30=2),E32-G30)+IF(AND(Q32=2,Q31=2),F32-G31)+IF(AND(Q32=3,Q28=3),C32-G28)+IF(AND(Q32=3,Q29=3),D32-G29)+IF(AND(Q32=3,Q30=3),E32-G30)+IF(AND(Q32=3,Q31=3),F32-G31)+IF(AND(Q32=4,Q28=4),C32-G28)+IF(AND(Q32=4,Q29=4),D32-G29)+IF(AND(Q32=4,Q30=4),E32-G30)+IF(AND(Q32=4,Q31=4),F32-G31)</f>
        <v>0</v>
      </c>
      <c r="M32" s="427">
        <f>SUM(AND(R32=R28,C32&gt;G28),AND(R32=R29,D32&gt;G29),AND(R32=R30,E32&gt;G30),AND(R32=R31,F32&gt;G31))</f>
        <v>0</v>
      </c>
      <c r="N32" s="970" t="str">
        <f>SUM(C32:G32)&amp;"-"&amp;SUM(G28:G32)</f>
        <v>0-0</v>
      </c>
      <c r="O32" s="536">
        <f>C32+D32+E32+F32-G28-G29-G30-G31</f>
        <v>0</v>
      </c>
      <c r="P32" s="429" t="e">
        <f>SUM(C32:G32,G28:G32)/SUM(G28:G32)</f>
        <v>#DIV/0!</v>
      </c>
      <c r="Q32" s="293">
        <f>VALUE(LEFT(H32,1))</f>
        <v>0</v>
      </c>
      <c r="R32" s="431">
        <f>Q32*100000+J32*10000+K32*1000+100*L32</f>
        <v>0</v>
      </c>
      <c r="S32" s="432">
        <f>R32+M32*0.1+IF(ISNONTEXT(B32),0,0.01)+0.0001*O32</f>
        <v>0</v>
      </c>
      <c r="T32" s="433" t="str">
        <f>Q32&amp;J32</f>
        <v>00</v>
      </c>
      <c r="U32" s="62"/>
    </row>
    <row r="33" spans="1:21" x14ac:dyDescent="0.2">
      <c r="A33" s="80"/>
      <c r="B33" s="465"/>
      <c r="C33" s="79"/>
      <c r="D33" s="79"/>
      <c r="E33" s="79"/>
      <c r="F33" s="78"/>
      <c r="G33" s="79"/>
      <c r="H33" s="443"/>
      <c r="I33" s="444"/>
      <c r="J33" s="62"/>
      <c r="K33" s="62"/>
      <c r="L33" s="62"/>
      <c r="M33" s="62"/>
      <c r="N33" s="62"/>
      <c r="O33" s="62"/>
      <c r="P33" s="62"/>
      <c r="Q33" s="62"/>
      <c r="R33" s="437" t="s">
        <v>264</v>
      </c>
      <c r="S33" s="62"/>
      <c r="T33" s="62"/>
      <c r="U33" s="62"/>
    </row>
    <row r="34" spans="1:21" x14ac:dyDescent="0.2">
      <c r="A34" s="311" t="s">
        <v>4</v>
      </c>
      <c r="B34" s="462"/>
      <c r="C34" s="276">
        <v>1</v>
      </c>
      <c r="D34" s="276">
        <v>2</v>
      </c>
      <c r="E34" s="276">
        <v>3</v>
      </c>
      <c r="F34" s="276">
        <v>4</v>
      </c>
      <c r="G34" s="276">
        <v>5</v>
      </c>
      <c r="H34" s="276" t="s">
        <v>168</v>
      </c>
      <c r="I34" s="275" t="s">
        <v>169</v>
      </c>
      <c r="J34" s="277" t="s">
        <v>257</v>
      </c>
      <c r="K34" s="438" t="s">
        <v>258</v>
      </c>
      <c r="L34" s="298" t="s">
        <v>259</v>
      </c>
      <c r="M34" s="298" t="s">
        <v>260</v>
      </c>
      <c r="N34" s="420" t="s">
        <v>170</v>
      </c>
      <c r="O34" s="420" t="s">
        <v>170</v>
      </c>
      <c r="P34" s="421" t="s">
        <v>261</v>
      </c>
      <c r="Q34" s="439" t="s">
        <v>21</v>
      </c>
      <c r="R34" s="439" t="b">
        <f>OR(AND(COUNTA(B35:B39)=3,COUNTA(C35:G39)=6),AND(COUNTA(B35:B39)=4,COUNTA(C35:G39)=12),AND(COUNTA(B35:B39)=5,COUNTA(C35:G39)=20))</f>
        <v>0</v>
      </c>
      <c r="S34" s="440" t="s">
        <v>262</v>
      </c>
      <c r="T34" s="441" t="s">
        <v>263</v>
      </c>
      <c r="U34" s="62"/>
    </row>
    <row r="35" spans="1:21" x14ac:dyDescent="0.2">
      <c r="A35" s="311">
        <v>1</v>
      </c>
      <c r="B35" s="464"/>
      <c r="C35" s="278"/>
      <c r="D35" s="279"/>
      <c r="E35" s="279"/>
      <c r="F35" s="279"/>
      <c r="G35" s="279"/>
      <c r="H35" s="282" t="str">
        <f>(IF(D35-C36&gt;0,1)+IF(E35-C37&gt;0,1)+IF(F35-C38&gt;0,1)+IF(G35-C39&gt;0,1))&amp;"-"&amp;(IF(D35-C36&lt;0,1)+IF(E35-C37&lt;0,1)+IF(F35-C38&lt;0,1)+IF(G35-C39&lt;0,1))</f>
        <v>0-0</v>
      </c>
      <c r="I35" s="279" t="str">
        <f>IF(AND(B35&lt;&gt;"",R$34=TRUE),A$34&amp;RANK(S35,S$35:S$39,0)," ")</f>
        <v xml:space="preserve"> </v>
      </c>
      <c r="J35" s="294">
        <f>IF(AND(Q35=1,Q36=1,D35&gt;C36),1)+IF(AND(Q35=1,Q37=1,E35&gt;C37),1)+IF(AND(Q35=1,Q38=1,F35&gt;C38),1)+IF(AND(Q35=1,Q39=1,G35&gt;C39),1)+IF(AND(Q35=2,Q36=2,D35&gt;C36),1)+IF(AND(Q35=2,Q37=2,E35&gt;C37),1)+IF(AND(Q35=2,Q38=2,F35&gt;C38),1)+IF(AND(Q35=2,Q39=2,G35&gt;C39),1)+IF(AND(Q35=3,Q36=3,D35&gt;C36),1)+IF(AND(Q35=3,Q37=3,E35&gt;C37),1)+IF(AND(Q35=3,Q38=3,F35&gt;C38),1)+IF(AND(Q35=3,Q39=3,G35&gt;C39),1)</f>
        <v>0</v>
      </c>
      <c r="K35" s="425">
        <f>SUM(AND(T35=T36,D35&gt;C36),AND(T35=T37,E35&gt;C37),AND(T35=T38,F35&gt;C38),AND(T35=T39,G35&gt;C39))</f>
        <v>0</v>
      </c>
      <c r="L35" s="426">
        <f>IF(AND(Q35=1,Q36=1),D35-C36)+IF(AND(Q35=1,Q37=1),E35-C37)+IF(AND(Q35=1,Q38=1),F35-C38)+IF(AND(Q35=1,Q39=1),G35-C39)+IF(AND(Q35=2,Q36=2),D35-C36)+IF(AND(Q35=2,Q37=2),E35-C37)+IF(AND(Q35=2,Q38=2),F35-C38)+IF(AND(Q35=2,Q39=2),G35-C39)+IF(AND(Q35=3,Q36=3),D35-C36)+IF(AND(Q35=3,Q37=3),E35-C37)+IF(AND(Q35=3,Q38=3),F35-C38)+IF(AND(Q35=3,Q39=3),G35-C39)+IF(AND(Q35=4,Q36=4),D35-C36)+IF(AND(Q35=4,Q37=4),E35-C37)+IF(AND(Q35=4,Q38=4),F35-C38)+IF(AND(Q35=4,Q39=4),G35-C39)</f>
        <v>0</v>
      </c>
      <c r="M35" s="427">
        <f>SUM(AND(R35=R36,D35&gt;C36),AND(R35=R37,E35&gt;C37),AND(R35=R38,F35&gt;C38),AND(R35=R39,G35&gt;C39))</f>
        <v>0</v>
      </c>
      <c r="N35" s="970" t="str">
        <f>SUM(C35:G35)&amp;"-"&amp;SUM(C35:C39)</f>
        <v>0-0</v>
      </c>
      <c r="O35" s="536">
        <f>D35+E35+F35+G35-C36-C37-C38-C39</f>
        <v>0</v>
      </c>
      <c r="P35" s="429" t="e">
        <f>SUM(C35:G35,C35:C39)/SUM(C35:C39)</f>
        <v>#DIV/0!</v>
      </c>
      <c r="Q35" s="430">
        <f>VALUE(LEFT(H35,1))</f>
        <v>0</v>
      </c>
      <c r="R35" s="431">
        <f>Q35*100000+J35*10000+K35*1000+100*L35</f>
        <v>0</v>
      </c>
      <c r="S35" s="432">
        <f>R35+M35*0.1+IF(ISNONTEXT(B35),0,0.01)+0.0001*O35</f>
        <v>0</v>
      </c>
      <c r="T35" s="433" t="str">
        <f>Q35&amp;J35</f>
        <v>00</v>
      </c>
      <c r="U35" s="62"/>
    </row>
    <row r="36" spans="1:21" x14ac:dyDescent="0.2">
      <c r="A36" s="311">
        <v>2</v>
      </c>
      <c r="B36" s="459"/>
      <c r="C36" s="279"/>
      <c r="D36" s="278"/>
      <c r="E36" s="279"/>
      <c r="F36" s="279"/>
      <c r="G36" s="279"/>
      <c r="H36" s="282" t="str">
        <f>(IF(C36-D35&gt;0,1)+IF(E36-D37&gt;0,1)+IF(F36-D38&gt;0,1)+IF(G36-D39&gt;0,1))&amp;"-"&amp;(IF(C36-D35&lt;0,1)+IF(E36-D37&lt;0,1)+IF(F36-D38&lt;0,1)+IF(G36-D39&lt;0,1))</f>
        <v>0-0</v>
      </c>
      <c r="I36" s="279" t="str">
        <f t="shared" ref="I36:I39" si="10">IF(AND(B36&lt;&gt;"",R$34=TRUE),A$34&amp;RANK(S36,S$35:S$39,0)," ")</f>
        <v xml:space="preserve"> </v>
      </c>
      <c r="J36" s="295">
        <f>IF(AND(Q36=1,Q35=1,C36&gt;D35),1)+IF(AND(Q36=1,Q37=1,E36&gt;D37),1)+IF(AND(Q36=1,Q38=1,F36&gt;D38),1)+IF(AND(Q36=1,Q39=1,G36&gt;D39),1)+IF(AND(Q36=2,Q35=2,C36&gt;D35),1)+IF(AND(Q36=2,Q37=2,E36&gt;D37),1)+IF(AND(Q36=2,Q38=2,F36&gt;D38),1)+IF(AND(Q36=2,Q39=2,G36&gt;D39),1)+IF(AND(Q36=3,Q35=3,C36&gt;D35),1)+IF(AND(Q36=3,Q37=3,E36&gt;D37),1)+IF(AND(Q36=3,Q38=3,F36&gt;D38),1)+IF(AND(Q36=3,Q39=3,G36&gt;D39),1)</f>
        <v>0</v>
      </c>
      <c r="K36" s="427">
        <f>SUM(AND(T36=T35,C36&gt;D35),AND(T36=T37,E36&gt;D37),AND(T36=T38,F36&gt;D38),AND(T36=T39,G36&gt;D39))</f>
        <v>0</v>
      </c>
      <c r="L36" s="434">
        <f>IF(AND(Q36=1,Q35=1),C36-D35)+IF(AND(Q36=1,Q37=1),E36-D37)+IF(AND(Q36=1,Q38=1),F36-D38)+IF(AND(Q36=1,Q39=1),G36-D39)+IF(AND(Q36=2,Q35=2),C36-D35)+IF(AND(Q36=2,Q37=2),E36-D37)+IF(AND(Q36=2,Q38=2),F36-D38)+IF(AND(Q36=2,Q39=2),G36-D39)+IF(AND(Q36=3,Q35=3),C36-D35)+IF(AND(Q36=3,Q37=3),E36-D37)+IF(AND(Q36=3,Q38=3),F36-D38)+IF(AND(Q36=3,Q39=3),G36-D39)+IF(AND(Q36=4,Q35=4),C36-D35)+IF(AND(Q36=4,Q37=4),E36-D37)+IF(AND(Q36=4,Q38=4),F36-D38)+IF(AND(Q36=4,Q39=4),G36-D39)</f>
        <v>0</v>
      </c>
      <c r="M36" s="427">
        <f>SUM(AND(R36=R35,C36&gt;D35),AND(R36=R37,E36&gt;D37),AND(R36=R38,F36&gt;D38),AND(R36=R39,G36&gt;D39))</f>
        <v>0</v>
      </c>
      <c r="N36" s="970" t="str">
        <f>SUM(C36:G36)&amp;"-"&amp;SUM(D35:D39)</f>
        <v>0-0</v>
      </c>
      <c r="O36" s="536">
        <f>C36+E36+F36+G36-D35-D37-D38-D39</f>
        <v>0</v>
      </c>
      <c r="P36" s="429" t="e">
        <f>SUM(C36:G36,D35:D39)/SUM(D35:D39)</f>
        <v>#DIV/0!</v>
      </c>
      <c r="Q36" s="293">
        <f>VALUE(LEFT(H36,1))</f>
        <v>0</v>
      </c>
      <c r="R36" s="431">
        <f>Q36*100000+J36*10000+K36*1000+100*L36</f>
        <v>0</v>
      </c>
      <c r="S36" s="432">
        <f>R36+M36*0.1+IF(ISNONTEXT(B36),0,0.01)+0.0001*O36</f>
        <v>0</v>
      </c>
      <c r="T36" s="433" t="str">
        <f>Q36&amp;J36</f>
        <v>00</v>
      </c>
      <c r="U36" s="62"/>
    </row>
    <row r="37" spans="1:21" x14ac:dyDescent="0.2">
      <c r="A37" s="311">
        <v>3</v>
      </c>
      <c r="B37" s="459"/>
      <c r="C37" s="279"/>
      <c r="D37" s="281"/>
      <c r="E37" s="278"/>
      <c r="F37" s="279"/>
      <c r="G37" s="279"/>
      <c r="H37" s="282" t="str">
        <f>(IF(C37-E35&gt;0,1)+IF(D37-E36&gt;0,1)+IF(F37-E38&gt;0,1)+IF(G37-E39&gt;0,1))&amp;"-"&amp;(IF(C37-E35&lt;0,1)+IF(D37-E36&lt;0,1)+IF(F37-E38&lt;0,1)+IF(G37-E39&lt;0,1))</f>
        <v>0-0</v>
      </c>
      <c r="I37" s="279" t="str">
        <f t="shared" si="10"/>
        <v xml:space="preserve"> </v>
      </c>
      <c r="J37" s="295">
        <f>IF(AND(Q37=1,Q35=1,C37&gt;E35),1)+IF(AND(Q37=1,Q36=1,D37&gt;E36),1)+IF(AND(Q37=1,Q38=1,F37&gt;E38),1)+IF(AND(Q37=1,Q39=1,G37&gt;E39),1)+IF(AND(Q37=2,Q35=2,C37&gt;E35),1)+IF(AND(Q37=2,Q36=2,D37&gt;E36),1)+IF(AND(Q37=2,Q38=2,F37&gt;E38),1)+IF(AND(Q37=2,Q39=2,G37&gt;E39),1)+IF(AND(Q37=3,Q35=3,C37&gt;E35),1)+IF(AND(Q37=3,Q36=3,D37&gt;E36),1)+IF(AND(Q37=3,Q38=3,F37&gt;E38),1)+IF(AND(Q37=3,Q39=3,G37&gt;E39),1)</f>
        <v>0</v>
      </c>
      <c r="K37" s="427">
        <f>SUM(AND(T37=T35,C37&gt;E35),AND(T37=T36,D37&gt;E36),AND(T37=T38,F37&gt;E38),AND(T37=T39,G37&gt;E39))</f>
        <v>0</v>
      </c>
      <c r="L37" s="434">
        <f>IF(AND(Q37=1,Q35=1),C37-E35)+IF(AND(Q37=1,Q36=1),D37-E36)+IF(AND(Q37=1,Q38=1),F37-E38)+IF(AND(Q37=1,Q39=1),G37-E39)+IF(AND(Q37=2,Q35=2),C37-E35)+IF(AND(Q37=2,Q36=2),D37-E36)+IF(AND(Q37=2,Q38=2),F37-E38)+IF(AND(Q37=2,Q39=2),G37-E39)+IF(AND(Q37=3,Q35=3),C37-E35)+IF(AND(Q37=3,Q36=3),D37-E36)+IF(AND(Q37=3,Q38=3),F37-E38)+IF(AND(Q37=3,Q39=3),G37-E39)+IF(AND(Q37=4,Q35=4),C37-E35)+IF(AND(Q37=4,Q36=4),D37-E36)+IF(AND(Q37=4,Q38=4),F37-E38)+IF(AND(Q37=4,Q39=4),G37-E39)</f>
        <v>0</v>
      </c>
      <c r="M37" s="427">
        <f>SUM(AND(R37=R35,C37&gt;E35),AND(R37=R36,D37&gt;E36),AND(R37=R38,F37&gt;E38),AND(R37=R39,G37&gt;E39))</f>
        <v>0</v>
      </c>
      <c r="N37" s="970" t="str">
        <f>SUM(C37:G37)&amp;"-"&amp;SUM(E35:E39)</f>
        <v>0-0</v>
      </c>
      <c r="O37" s="536">
        <f>C37+D37+F37+G37-E35-E36-E38-E39</f>
        <v>0</v>
      </c>
      <c r="P37" s="429" t="e">
        <f>SUM(C37:G37,E35:E39)/SUM(E35:E39)</f>
        <v>#DIV/0!</v>
      </c>
      <c r="Q37" s="293">
        <f>VALUE(LEFT(H37,1))</f>
        <v>0</v>
      </c>
      <c r="R37" s="431">
        <f>Q37*100000+J37*10000+K37*1000+100*L37</f>
        <v>0</v>
      </c>
      <c r="S37" s="432">
        <f>R37+M37*0.1+IF(ISNONTEXT(B37),0,0.01)+0.0001*O37</f>
        <v>0</v>
      </c>
      <c r="T37" s="433" t="str">
        <f>Q37&amp;J37</f>
        <v>00</v>
      </c>
      <c r="U37" s="62"/>
    </row>
    <row r="38" spans="1:21" x14ac:dyDescent="0.2">
      <c r="A38" s="311">
        <v>4</v>
      </c>
      <c r="B38" s="460"/>
      <c r="C38" s="279"/>
      <c r="D38" s="281"/>
      <c r="E38" s="279"/>
      <c r="F38" s="278"/>
      <c r="G38" s="280"/>
      <c r="H38" s="282" t="str">
        <f>(IF(C38-F35&gt;0,1)+IF(D38-F36&gt;0,1)+IF(E38-F37&gt;0,1)+IF(G38-F39&gt;0,1))&amp;"-"&amp;(IF(C38-F35&lt;0,1)+IF(D38-F36&lt;0,1)+IF(E38-F37&lt;0,1)+IF(G38-F39&lt;0,1))</f>
        <v>0-0</v>
      </c>
      <c r="I38" s="279" t="str">
        <f t="shared" si="10"/>
        <v xml:space="preserve"> </v>
      </c>
      <c r="J38" s="295">
        <f>IF(AND(Q38=1,Q35=1,C38&gt;F35),1)+IF(AND(Q38=1,Q36=1,D38&gt;F36),1)+IF(AND(Q38=1,Q37=1,E38&gt;F37),1)+IF(AND(Q38=1,Q39=1,G38&gt;F39),1)+IF(AND(Q38=2,Q35=2,C38&gt;F35),1)+IF(AND(Q38=2,Q36=2,D38&gt;F36),1)+IF(AND(Q38=2,Q37=2,E38&gt;F37),1)+IF(AND(Q38=2,Q39=2,G38&gt;F39),1)+IF(AND(Q38=3,Q35=3,C38&gt;F35),1)+IF(AND(Q38=3,Q36=3,D38&gt;F36),1)+IF(AND(Q38=3,Q37=3,E38&gt;F37),1)+IF(AND(Q38=3,Q39=3,G38&gt;F39),1)</f>
        <v>0</v>
      </c>
      <c r="K38" s="427">
        <f>SUM(AND(T38=T35,C38&gt;F35),AND(T38=T36,D38&gt;F36),AND(T38=T37,E38&gt;F37),AND(T38=T39,G38&gt;F39))</f>
        <v>0</v>
      </c>
      <c r="L38" s="434">
        <f>IF(AND(Q38=1,Q35=1),C38-F35)+IF(AND(Q38=1,Q36=1),D38-F36)+IF(AND(Q38=1,Q37=1),E38-F37)+IF(AND(Q38=1,Q39=1),G38-F39)+IF(AND(Q38=2,Q35=2),C38-F35)+IF(AND(Q38=2,Q36=2),D38-F36)+IF(AND(Q38=2,Q37=2),E38-F37)+IF(AND(Q38=2,Q39=2),G38-F39)+IF(AND(Q38=3,Q35=3),C38-F35)+IF(AND(Q38=3,Q36=3),D38-F36)+IF(AND(Q38=3,Q37=3),E38-F37)+IF(AND(Q38=3,Q39=3),G38-F39)+IF(AND(Q38=4,Q35=4),C38-F35)+IF(AND(Q38=4,Q36=4),D38-F36)+IF(AND(Q38=4,Q37=4),E38-F37)+IF(AND(Q38=4,Q39=4),G38-F39)</f>
        <v>0</v>
      </c>
      <c r="M38" s="427">
        <f>SUM(AND(R38=R35,C38&gt;F35),AND(R38=R36,D38&gt;F36),AND(R38=R37,E38&gt;F37),AND(R38=R39,G38&gt;F39))</f>
        <v>0</v>
      </c>
      <c r="N38" s="970" t="str">
        <f>SUM(C38:G38)&amp;"-"&amp;SUM(F35:F39)</f>
        <v>0-0</v>
      </c>
      <c r="O38" s="536">
        <f>C38+D38+E38+G38-F35-F36-F37-F39</f>
        <v>0</v>
      </c>
      <c r="P38" s="429" t="e">
        <f>SUM(C38:G38,F35:F39)/SUM(F35:F39)</f>
        <v>#DIV/0!</v>
      </c>
      <c r="Q38" s="293">
        <f>VALUE(LEFT(H38,1))</f>
        <v>0</v>
      </c>
      <c r="R38" s="431">
        <f>Q38*100000+J38*10000+K38*1000+100*L38</f>
        <v>0</v>
      </c>
      <c r="S38" s="432">
        <f>R38+M38*0.1+IF(ISNONTEXT(B38),0,0.01)+0.0001*O38</f>
        <v>0</v>
      </c>
      <c r="T38" s="433" t="str">
        <f>Q38&amp;J38</f>
        <v>00</v>
      </c>
      <c r="U38" s="62"/>
    </row>
    <row r="39" spans="1:21" x14ac:dyDescent="0.2">
      <c r="A39" s="311">
        <v>5</v>
      </c>
      <c r="B39" s="460"/>
      <c r="C39" s="279"/>
      <c r="D39" s="279"/>
      <c r="E39" s="279"/>
      <c r="F39" s="279"/>
      <c r="G39" s="278"/>
      <c r="H39" s="282" t="str">
        <f>(IF(C39-G35&gt;0,1)+IF(D39-G36&gt;0,1)+IF(E39-G37&gt;0,1)+IF(F39-G38&gt;0,1))&amp;"-"&amp;(IF(C39-G35&lt;0,1)+IF(D39-G36&lt;0,1)+IF(E39-G37&lt;0,1)+IF(F39-G38&lt;0,1))</f>
        <v>0-0</v>
      </c>
      <c r="I39" s="279" t="str">
        <f t="shared" si="10"/>
        <v xml:space="preserve"> </v>
      </c>
      <c r="J39" s="295">
        <f>IF(AND(Q39=1,Q35=1,C39&gt;G35),1)+IF(AND(Q39=1,Q36=1,D39&gt;G36),1)+IF(AND(Q39=1,Q37=1,E39&gt;G37),1)+IF(AND(Q39=1,Q38=1,F39&gt;G38),1)+IF(AND(Q39=2,Q35=2,C39&gt;G35),1)+IF(AND(Q39=2,Q36=2,D39&gt;G36),1)+IF(AND(Q39=2,Q37=2,E39&gt;G37),1)+IF(AND(Q39=2,Q38=2,F39&gt;G38),1)+IF(AND(Q39=3,Q35=3,C39&gt;G35),1)+IF(AND(Q39=3,Q36=3,D39&gt;G36),1)+IF(AND(Q39=3,Q37=3,E39&gt;G37),1)+IF(AND(Q39=3,Q38=3,F39&gt;G38),1)</f>
        <v>0</v>
      </c>
      <c r="K39" s="427">
        <f>SUM(AND(T39=T35,C39&gt;G35),AND(T39=T36,D39&gt;G36),AND(T39=T37,E39&gt;G37),AND(T39=T38,F39&gt;G38))</f>
        <v>0</v>
      </c>
      <c r="L39" s="434">
        <f>IF(AND(Q39=1,Q35=1),C39-G35)+IF(AND(Q39=1,Q36=1),D39-G36)+IF(AND(Q39=1,Q37=1),E39-G37)+IF(AND(Q39=1,Q38=1),F39-G38)+IF(AND(Q39=2,Q35=2),C39-G35)+IF(AND(Q39=2,Q36=2),D39-G36)+IF(AND(Q39=2,Q37=2),E39-G37)+IF(AND(Q39=2,Q38=2),F39-G38)+IF(AND(Q39=3,Q35=3),C39-G35)+IF(AND(Q39=3,Q36=3),D39-G36)+IF(AND(Q39=3,Q37=3),E39-G37)+IF(AND(Q39=3,Q38=3),F39-G38)+IF(AND(Q39=4,Q35=4),C39-G35)+IF(AND(Q39=4,Q36=4),D39-G36)+IF(AND(Q39=4,Q37=4),E39-G37)+IF(AND(Q39=4,Q38=4),F39-G38)</f>
        <v>0</v>
      </c>
      <c r="M39" s="427">
        <f>SUM(AND(R39=R35,C39&gt;G35),AND(R39=R36,D39&gt;G36),AND(R39=R37,E39&gt;G37),AND(R39=R38,F39&gt;G38))</f>
        <v>0</v>
      </c>
      <c r="N39" s="970" t="str">
        <f>SUM(C39:G39)&amp;"-"&amp;SUM(G35:G39)</f>
        <v>0-0</v>
      </c>
      <c r="O39" s="536">
        <f>C39+D39+E39+F39-G35-G36-G37-G38</f>
        <v>0</v>
      </c>
      <c r="P39" s="429" t="e">
        <f>SUM(C39:G39,G35:G39)/SUM(G35:G39)</f>
        <v>#DIV/0!</v>
      </c>
      <c r="Q39" s="293">
        <f>VALUE(LEFT(H39,1))</f>
        <v>0</v>
      </c>
      <c r="R39" s="431">
        <f>Q39*100000+J39*10000+K39*1000+100*L39</f>
        <v>0</v>
      </c>
      <c r="S39" s="432">
        <f>R39+M39*0.1+IF(ISNONTEXT(B39),0,0.01)+0.0001*O39</f>
        <v>0</v>
      </c>
      <c r="T39" s="433" t="str">
        <f>Q39&amp;J39</f>
        <v>00</v>
      </c>
      <c r="U39" s="62"/>
    </row>
    <row r="40" spans="1:21" x14ac:dyDescent="0.2">
      <c r="A40" s="80"/>
      <c r="B40" s="461"/>
      <c r="C40" s="78"/>
      <c r="D40" s="435"/>
      <c r="E40" s="78"/>
      <c r="F40" s="140"/>
      <c r="G40" s="79"/>
      <c r="H40" s="436"/>
      <c r="I40" s="297"/>
      <c r="J40" s="62"/>
      <c r="K40" s="62"/>
      <c r="L40" s="62"/>
      <c r="M40" s="62"/>
      <c r="N40" s="62"/>
      <c r="O40" s="62"/>
      <c r="P40" s="62"/>
      <c r="Q40" s="62"/>
      <c r="R40" s="437" t="s">
        <v>264</v>
      </c>
      <c r="S40" s="62"/>
      <c r="T40" s="62"/>
      <c r="U40" s="62"/>
    </row>
    <row r="41" spans="1:21" x14ac:dyDescent="0.2">
      <c r="A41" s="311" t="s">
        <v>5</v>
      </c>
      <c r="B41" s="462"/>
      <c r="C41" s="276">
        <v>1</v>
      </c>
      <c r="D41" s="276">
        <v>2</v>
      </c>
      <c r="E41" s="276">
        <v>3</v>
      </c>
      <c r="F41" s="276">
        <v>4</v>
      </c>
      <c r="G41" s="276">
        <v>5</v>
      </c>
      <c r="H41" s="275" t="s">
        <v>168</v>
      </c>
      <c r="I41" s="275" t="s">
        <v>169</v>
      </c>
      <c r="J41" s="277" t="s">
        <v>257</v>
      </c>
      <c r="K41" s="438" t="s">
        <v>258</v>
      </c>
      <c r="L41" s="298" t="s">
        <v>259</v>
      </c>
      <c r="M41" s="298" t="s">
        <v>260</v>
      </c>
      <c r="N41" s="420" t="s">
        <v>170</v>
      </c>
      <c r="O41" s="420" t="s">
        <v>170</v>
      </c>
      <c r="P41" s="421" t="s">
        <v>261</v>
      </c>
      <c r="Q41" s="439" t="s">
        <v>21</v>
      </c>
      <c r="R41" s="439" t="b">
        <f>OR(AND(COUNTA(B42:B46)=3,COUNTA(C42:G46)=6),AND(COUNTA(B42:B46)=4,COUNTA(C42:G46)=12),AND(COUNTA(B42:B46)=5,COUNTA(C42:G46)=20))</f>
        <v>0</v>
      </c>
      <c r="S41" s="440" t="s">
        <v>262</v>
      </c>
      <c r="T41" s="441" t="s">
        <v>263</v>
      </c>
      <c r="U41" s="62"/>
    </row>
    <row r="42" spans="1:21" x14ac:dyDescent="0.2">
      <c r="A42" s="311">
        <v>1</v>
      </c>
      <c r="B42" s="464"/>
      <c r="C42" s="278"/>
      <c r="D42" s="279"/>
      <c r="E42" s="279"/>
      <c r="F42" s="279"/>
      <c r="G42" s="279"/>
      <c r="H42" s="282" t="str">
        <f>(IF(D42-C43&gt;0,1)+IF(E42-C44&gt;0,1)+IF(F42-C45&gt;0,1)+IF(G42-C46&gt;0,1))&amp;"-"&amp;(IF(D42-C43&lt;0,1)+IF(E42-C44&lt;0,1)+IF(F42-C45&lt;0,1)+IF(G42-C46&lt;0,1))</f>
        <v>0-0</v>
      </c>
      <c r="I42" s="279" t="str">
        <f>IF(AND(B42&lt;&gt;"",R$41=TRUE),A$41&amp;RANK(S42,S$42:S$46,0)," ")</f>
        <v xml:space="preserve"> </v>
      </c>
      <c r="J42" s="294">
        <f>IF(AND(Q42=1,Q43=1,D42&gt;C43),1)+IF(AND(Q42=1,Q44=1,E42&gt;C44),1)+IF(AND(Q42=1,Q45=1,F42&gt;C45),1)+IF(AND(Q42=1,Q46=1,G42&gt;C46),1)+IF(AND(Q42=2,Q43=2,D42&gt;C43),1)+IF(AND(Q42=2,Q44=2,E42&gt;C44),1)+IF(AND(Q42=2,Q45=2,F42&gt;C45),1)+IF(AND(Q42=2,Q46=2,G42&gt;C46),1)+IF(AND(Q42=3,Q43=3,D42&gt;C43),1)+IF(AND(Q42=3,Q44=3,E42&gt;C44),1)+IF(AND(Q42=3,Q45=3,F42&gt;C45),1)+IF(AND(Q42=3,Q46=3,G42&gt;C46),1)</f>
        <v>0</v>
      </c>
      <c r="K42" s="425">
        <f>SUM(AND(T42=T43,D42&gt;C43),AND(T42=T44,E42&gt;C44),AND(T42=T45,F42&gt;C45),AND(T42=T46,G42&gt;C46))</f>
        <v>0</v>
      </c>
      <c r="L42" s="426">
        <f>IF(AND(Q42=1,Q43=1),D42-C43)+IF(AND(Q42=1,Q44=1),E42-C44)+IF(AND(Q42=1,Q45=1),F42-C45)+IF(AND(Q42=1,Q46=1),G42-C46)+IF(AND(Q42=2,Q43=2),D42-C43)+IF(AND(Q42=2,Q44=2),E42-C44)+IF(AND(Q42=2,Q45=2),F42-C45)+IF(AND(Q42=2,Q46=2),G42-C46)+IF(AND(Q42=3,Q43=3),D42-C43)+IF(AND(Q42=3,Q44=3),E42-C44)+IF(AND(Q42=3,Q45=3),F42-C45)+IF(AND(Q42=3,Q46=3),G42-C46)+IF(AND(Q42=4,Q43=4),D42-C43)+IF(AND(Q42=4,Q44=4),E42-C44)+IF(AND(Q42=4,Q45=4),F42-C45)+IF(AND(Q42=4,Q46=4),G42-C46)</f>
        <v>0</v>
      </c>
      <c r="M42" s="427">
        <f>SUM(AND(R42=R43,D42&gt;C43),AND(R42=R44,E42&gt;C44),AND(R42=R45,F42&gt;C45),AND(R42=R46,G42&gt;C46))</f>
        <v>0</v>
      </c>
      <c r="N42" s="970" t="str">
        <f>SUM(C42:G42)&amp;"-"&amp;SUM(C42:C46)</f>
        <v>0-0</v>
      </c>
      <c r="O42" s="536">
        <f>D42+E42+F42+G42-C43-C44-C45-C46</f>
        <v>0</v>
      </c>
      <c r="P42" s="429" t="e">
        <f>SUM(C42:G42,C42:C46)/SUM(C42:C46)</f>
        <v>#DIV/0!</v>
      </c>
      <c r="Q42" s="430">
        <f>VALUE(LEFT(H42,1))</f>
        <v>0</v>
      </c>
      <c r="R42" s="431">
        <f>Q42*100000+J42*10000+K42*1000+100*L42</f>
        <v>0</v>
      </c>
      <c r="S42" s="432">
        <f>R42+M42*0.1+IF(ISNONTEXT(B42),0,0.01)+0.0001*O42</f>
        <v>0</v>
      </c>
      <c r="T42" s="433" t="str">
        <f>Q42&amp;J42</f>
        <v>00</v>
      </c>
      <c r="U42" s="62"/>
    </row>
    <row r="43" spans="1:21" x14ac:dyDescent="0.2">
      <c r="A43" s="311">
        <v>2</v>
      </c>
      <c r="B43" s="459"/>
      <c r="C43" s="279"/>
      <c r="D43" s="278"/>
      <c r="E43" s="279"/>
      <c r="F43" s="279"/>
      <c r="G43" s="279"/>
      <c r="H43" s="282" t="str">
        <f>(IF(C43-D42&gt;0,1)+IF(E43-D44&gt;0,1)+IF(F43-D45&gt;0,1)+IF(G43-D46&gt;0,1))&amp;"-"&amp;(IF(C43-D42&lt;0,1)+IF(E43-D44&lt;0,1)+IF(F43-D45&lt;0,1)+IF(G43-D46&lt;0,1))</f>
        <v>0-0</v>
      </c>
      <c r="I43" s="279" t="str">
        <f t="shared" ref="I43:I46" si="11">IF(AND(B43&lt;&gt;"",R$41=TRUE),A$41&amp;RANK(S43,S$42:S$46,0)," ")</f>
        <v xml:space="preserve"> </v>
      </c>
      <c r="J43" s="295">
        <f>IF(AND(Q43=1,Q42=1,C43&gt;D42),1)+IF(AND(Q43=1,Q44=1,E43&gt;D44),1)+IF(AND(Q43=1,Q45=1,F43&gt;D45),1)+IF(AND(Q43=1,Q46=1,G43&gt;D46),1)+IF(AND(Q43=2,Q42=2,C43&gt;D42),1)+IF(AND(Q43=2,Q44=2,E43&gt;D44),1)+IF(AND(Q43=2,Q45=2,F43&gt;D45),1)+IF(AND(Q43=2,Q46=2,G43&gt;D46),1)+IF(AND(Q43=3,Q42=3,C43&gt;D42),1)+IF(AND(Q43=3,Q44=3,E43&gt;D44),1)+IF(AND(Q43=3,Q45=3,F43&gt;D45),1)+IF(AND(Q43=3,Q46=3,G43&gt;D46),1)</f>
        <v>0</v>
      </c>
      <c r="K43" s="427">
        <f>SUM(AND(T43=T42,C43&gt;D42),AND(T43=T44,E43&gt;D44),AND(T43=T45,F43&gt;D45),AND(T43=T46,G43&gt;D46))</f>
        <v>0</v>
      </c>
      <c r="L43" s="434">
        <f>IF(AND(Q43=1,Q42=1),C43-D42)+IF(AND(Q43=1,Q44=1),E43-D44)+IF(AND(Q43=1,Q45=1),F43-D45)+IF(AND(Q43=1,Q46=1),G43-D46)+IF(AND(Q43=2,Q42=2),C43-D42)+IF(AND(Q43=2,Q44=2),E43-D44)+IF(AND(Q43=2,Q45=2),F43-D45)+IF(AND(Q43=2,Q46=2),G43-D46)+IF(AND(Q43=3,Q42=3),C43-D42)+IF(AND(Q43=3,Q44=3),E43-D44)+IF(AND(Q43=3,Q45=3),F43-D45)+IF(AND(Q43=3,Q46=3),G43-D46)+IF(AND(Q43=4,Q42=4),C43-D42)+IF(AND(Q43=4,Q44=4),E43-D44)+IF(AND(Q43=4,Q45=4),F43-D45)+IF(AND(Q43=4,Q46=4),G43-D46)</f>
        <v>0</v>
      </c>
      <c r="M43" s="427">
        <f>SUM(AND(R43=R42,C43&gt;D42),AND(R43=R44,E43&gt;D44),AND(R43=R45,F43&gt;D45),AND(R43=R46,G43&gt;D46))</f>
        <v>0</v>
      </c>
      <c r="N43" s="970" t="str">
        <f>SUM(C43:G43)&amp;"-"&amp;SUM(D42:D46)</f>
        <v>0-0</v>
      </c>
      <c r="O43" s="536">
        <f>C43+E43+F43+G43-D42-D44-D45-D46</f>
        <v>0</v>
      </c>
      <c r="P43" s="429" t="e">
        <f>SUM(C43:G43,D42:D46)/SUM(D42:D46)</f>
        <v>#DIV/0!</v>
      </c>
      <c r="Q43" s="293">
        <f>VALUE(LEFT(H43,1))</f>
        <v>0</v>
      </c>
      <c r="R43" s="431">
        <f>Q43*100000+J43*10000+K43*1000+100*L43</f>
        <v>0</v>
      </c>
      <c r="S43" s="432">
        <f>R43+M43*0.1+IF(ISNONTEXT(B43),0,0.01)+0.0001*O43</f>
        <v>0</v>
      </c>
      <c r="T43" s="433" t="str">
        <f>Q43&amp;J43</f>
        <v>00</v>
      </c>
      <c r="U43" s="62"/>
    </row>
    <row r="44" spans="1:21" x14ac:dyDescent="0.2">
      <c r="A44" s="311">
        <v>3</v>
      </c>
      <c r="B44" s="459"/>
      <c r="C44" s="279"/>
      <c r="D44" s="281"/>
      <c r="E44" s="278"/>
      <c r="F44" s="279"/>
      <c r="G44" s="279"/>
      <c r="H44" s="282" t="str">
        <f>(IF(C44-E42&gt;0,1)+IF(D44-E43&gt;0,1)+IF(F44-E45&gt;0,1)+IF(G44-E46&gt;0,1))&amp;"-"&amp;(IF(C44-E42&lt;0,1)+IF(D44-E43&lt;0,1)+IF(F44-E45&lt;0,1)+IF(G44-E46&lt;0,1))</f>
        <v>0-0</v>
      </c>
      <c r="I44" s="279" t="str">
        <f t="shared" si="11"/>
        <v xml:space="preserve"> </v>
      </c>
      <c r="J44" s="295">
        <f>IF(AND(Q44=1,Q42=1,C44&gt;E42),1)+IF(AND(Q44=1,Q43=1,D44&gt;E43),1)+IF(AND(Q44=1,Q45=1,F44&gt;E45),1)+IF(AND(Q44=1,Q46=1,G44&gt;E46),1)+IF(AND(Q44=2,Q42=2,C44&gt;E42),1)+IF(AND(Q44=2,Q43=2,D44&gt;E43),1)+IF(AND(Q44=2,Q45=2,F44&gt;E45),1)+IF(AND(Q44=2,Q46=2,G44&gt;E46),1)+IF(AND(Q44=3,Q42=3,C44&gt;E42),1)+IF(AND(Q44=3,Q43=3,D44&gt;E43),1)+IF(AND(Q44=3,Q45=3,F44&gt;E45),1)+IF(AND(Q44=3,Q46=3,G44&gt;E46),1)</f>
        <v>0</v>
      </c>
      <c r="K44" s="427">
        <f>SUM(AND(T44=T42,C44&gt;E42),AND(T44=T43,D44&gt;E43),AND(T44=T45,F44&gt;E45),AND(T44=T46,G44&gt;E46))</f>
        <v>0</v>
      </c>
      <c r="L44" s="434">
        <f>IF(AND(Q44=1,Q42=1),C44-E42)+IF(AND(Q44=1,Q43=1),D44-E43)+IF(AND(Q44=1,Q45=1),F44-E45)+IF(AND(Q44=1,Q46=1),G44-E46)+IF(AND(Q44=2,Q42=2),C44-E42)+IF(AND(Q44=2,Q43=2),D44-E43)+IF(AND(Q44=2,Q45=2),F44-E45)+IF(AND(Q44=2,Q46=2),G44-E46)+IF(AND(Q44=3,Q42=3),C44-E42)+IF(AND(Q44=3,Q43=3),D44-E43)+IF(AND(Q44=3,Q45=3),F44-E45)+IF(AND(Q44=3,Q46=3),G44-E46)+IF(AND(Q44=4,Q42=4),C44-E42)+IF(AND(Q44=4,Q43=4),D44-E43)+IF(AND(Q44=4,Q45=4),F44-E45)+IF(AND(Q44=4,Q46=4),G44-E46)</f>
        <v>0</v>
      </c>
      <c r="M44" s="427">
        <f>SUM(AND(R44=R42,C44&gt;E42),AND(R44=R43,D44&gt;E43),AND(R44=R45,F44&gt;E45),AND(R44=R46,G44&gt;E46))</f>
        <v>0</v>
      </c>
      <c r="N44" s="970" t="str">
        <f>SUM(C44:G44)&amp;"-"&amp;SUM(E42:E46)</f>
        <v>0-0</v>
      </c>
      <c r="O44" s="536">
        <f>C44+D44+F44+G44-E42-E43-E45-E46</f>
        <v>0</v>
      </c>
      <c r="P44" s="429" t="e">
        <f>SUM(C44:G44,E42:E46)/SUM(E42:E46)</f>
        <v>#DIV/0!</v>
      </c>
      <c r="Q44" s="293">
        <f>VALUE(LEFT(H44,1))</f>
        <v>0</v>
      </c>
      <c r="R44" s="431">
        <f>Q44*100000+J44*10000+K44*1000+100*L44</f>
        <v>0</v>
      </c>
      <c r="S44" s="432">
        <f>R44+M44*0.1+IF(ISNONTEXT(B44),0,0.01)+0.0001*O44</f>
        <v>0</v>
      </c>
      <c r="T44" s="433" t="str">
        <f>Q44&amp;J44</f>
        <v>00</v>
      </c>
      <c r="U44" s="62"/>
    </row>
    <row r="45" spans="1:21" x14ac:dyDescent="0.2">
      <c r="A45" s="311">
        <v>4</v>
      </c>
      <c r="B45" s="460"/>
      <c r="C45" s="279"/>
      <c r="D45" s="281"/>
      <c r="E45" s="279"/>
      <c r="F45" s="278"/>
      <c r="G45" s="280"/>
      <c r="H45" s="282" t="str">
        <f>(IF(C45-F42&gt;0,1)+IF(D45-F43&gt;0,1)+IF(E45-F44&gt;0,1)+IF(G45-F46&gt;0,1))&amp;"-"&amp;(IF(C45-F42&lt;0,1)+IF(D45-F43&lt;0,1)+IF(E45-F44&lt;0,1)+IF(G45-F46&lt;0,1))</f>
        <v>0-0</v>
      </c>
      <c r="I45" s="279" t="str">
        <f t="shared" si="11"/>
        <v xml:space="preserve"> </v>
      </c>
      <c r="J45" s="295">
        <f>IF(AND(Q45=1,Q42=1,C45&gt;F42),1)+IF(AND(Q45=1,Q43=1,D45&gt;F43),1)+IF(AND(Q45=1,Q44=1,E45&gt;F44),1)+IF(AND(Q45=1,Q46=1,G45&gt;F46),1)+IF(AND(Q45=2,Q42=2,C45&gt;F42),1)+IF(AND(Q45=2,Q43=2,D45&gt;F43),1)+IF(AND(Q45=2,Q44=2,E45&gt;F44),1)+IF(AND(Q45=2,Q46=2,G45&gt;F46),1)+IF(AND(Q45=3,Q42=3,C45&gt;F42),1)+IF(AND(Q45=3,Q43=3,D45&gt;F43),1)+IF(AND(Q45=3,Q44=3,E45&gt;F44),1)+IF(AND(Q45=3,Q46=3,G45&gt;F46),1)</f>
        <v>0</v>
      </c>
      <c r="K45" s="427">
        <f>SUM(AND(T45=T42,C45&gt;F42),AND(T45=T43,D45&gt;F43),AND(T45=T44,E45&gt;F44),AND(T45=T46,G45&gt;F46))</f>
        <v>0</v>
      </c>
      <c r="L45" s="434">
        <f>IF(AND(Q45=1,Q42=1),C45-F42)+IF(AND(Q45=1,Q43=1),D45-F43)+IF(AND(Q45=1,Q44=1),E45-F44)+IF(AND(Q45=1,Q46=1),G45-F46)+IF(AND(Q45=2,Q42=2),C45-F42)+IF(AND(Q45=2,Q43=2),D45-F43)+IF(AND(Q45=2,Q44=2),E45-F44)+IF(AND(Q45=2,Q46=2),G45-F46)+IF(AND(Q45=3,Q42=3),C45-F42)+IF(AND(Q45=3,Q43=3),D45-F43)+IF(AND(Q45=3,Q44=3),E45-F44)+IF(AND(Q45=3,Q46=3),G45-F46)+IF(AND(Q45=4,Q42=4),C45-F42)+IF(AND(Q45=4,Q43=4),D45-F43)+IF(AND(Q45=4,Q44=4),E45-F44)+IF(AND(Q45=4,Q46=4),G45-F46)</f>
        <v>0</v>
      </c>
      <c r="M45" s="427">
        <f>SUM(AND(R45=R42,C45&gt;F42),AND(R45=R43,D45&gt;F43),AND(R45=R44,E45&gt;F44),AND(R45=R46,G45&gt;F46))</f>
        <v>0</v>
      </c>
      <c r="N45" s="970" t="str">
        <f>SUM(C45:G45)&amp;"-"&amp;SUM(F42:F46)</f>
        <v>0-0</v>
      </c>
      <c r="O45" s="536">
        <f>C45+D45+E45+G45-F42-F43-F44-F46</f>
        <v>0</v>
      </c>
      <c r="P45" s="429" t="e">
        <f>SUM(C45:G45,F42:F46)/SUM(F42:F46)</f>
        <v>#DIV/0!</v>
      </c>
      <c r="Q45" s="293">
        <f>VALUE(LEFT(H45,1))</f>
        <v>0</v>
      </c>
      <c r="R45" s="431">
        <f>Q45*100000+J45*10000+K45*1000+100*L45</f>
        <v>0</v>
      </c>
      <c r="S45" s="432">
        <f>R45+M45*0.1+IF(ISNONTEXT(B45),0,0.01)+0.0001*O45</f>
        <v>0</v>
      </c>
      <c r="T45" s="433" t="str">
        <f>Q45&amp;J45</f>
        <v>00</v>
      </c>
      <c r="U45" s="62"/>
    </row>
    <row r="46" spans="1:21" x14ac:dyDescent="0.2">
      <c r="A46" s="311">
        <v>5</v>
      </c>
      <c r="B46" s="460"/>
      <c r="C46" s="279"/>
      <c r="D46" s="279"/>
      <c r="E46" s="279"/>
      <c r="F46" s="279"/>
      <c r="G46" s="278"/>
      <c r="H46" s="282" t="str">
        <f>(IF(C46-G42&gt;0,1)+IF(D46-G43&gt;0,1)+IF(E46-G44&gt;0,1)+IF(F46-G45&gt;0,1))&amp;"-"&amp;(IF(C46-G42&lt;0,1)+IF(D46-G43&lt;0,1)+IF(E46-G44&lt;0,1)+IF(F46-G45&lt;0,1))</f>
        <v>0-0</v>
      </c>
      <c r="I46" s="279" t="str">
        <f t="shared" si="11"/>
        <v xml:space="preserve"> </v>
      </c>
      <c r="J46" s="295">
        <f>IF(AND(Q46=1,Q42=1,C46&gt;G42),1)+IF(AND(Q46=1,Q43=1,D46&gt;G43),1)+IF(AND(Q46=1,Q44=1,E46&gt;G44),1)+IF(AND(Q46=1,Q45=1,F46&gt;G45),1)+IF(AND(Q46=2,Q42=2,C46&gt;G42),1)+IF(AND(Q46=2,Q43=2,D46&gt;G43),1)+IF(AND(Q46=2,Q44=2,E46&gt;G44),1)+IF(AND(Q46=2,Q45=2,F46&gt;G45),1)+IF(AND(Q46=3,Q42=3,C46&gt;G42),1)+IF(AND(Q46=3,Q43=3,D46&gt;G43),1)+IF(AND(Q46=3,Q44=3,E46&gt;G44),1)+IF(AND(Q46=3,Q45=3,F46&gt;G45),1)</f>
        <v>0</v>
      </c>
      <c r="K46" s="427">
        <f>SUM(AND(T46=T42,C46&gt;G42),AND(T46=T43,D46&gt;G43),AND(T46=T44,E46&gt;G44),AND(T46=T45,F46&gt;G45))</f>
        <v>0</v>
      </c>
      <c r="L46" s="434">
        <f>IF(AND(Q46=1,Q42=1),C46-G42)+IF(AND(Q46=1,Q43=1),D46-G43)+IF(AND(Q46=1,Q44=1),E46-G44)+IF(AND(Q46=1,Q45=1),F46-G45)+IF(AND(Q46=2,Q42=2),C46-G42)+IF(AND(Q46=2,Q43=2),D46-G43)+IF(AND(Q46=2,Q44=2),E46-G44)+IF(AND(Q46=2,Q45=2),F46-G45)+IF(AND(Q46=3,Q42=3),C46-G42)+IF(AND(Q46=3,Q43=3),D46-G43)+IF(AND(Q46=3,Q44=3),E46-G44)+IF(AND(Q46=3,Q45=3),F46-G45)+IF(AND(Q46=4,Q42=4),C46-G42)+IF(AND(Q46=4,Q43=4),D46-G43)+IF(AND(Q46=4,Q44=4),E46-G44)+IF(AND(Q46=4,Q45=4),F46-G45)</f>
        <v>0</v>
      </c>
      <c r="M46" s="427">
        <f>SUM(AND(R46=R42,C46&gt;G42),AND(R46=R43,D46&gt;G43),AND(R46=R44,E46&gt;G44),AND(R46=R45,F46&gt;G45))</f>
        <v>0</v>
      </c>
      <c r="N46" s="970" t="str">
        <f>SUM(C46:G46)&amp;"-"&amp;SUM(G42:G46)</f>
        <v>0-0</v>
      </c>
      <c r="O46" s="536">
        <f>C46+D46+E46+F46-G42-G43-G44-G45</f>
        <v>0</v>
      </c>
      <c r="P46" s="429" t="e">
        <f>SUM(C46:G46,G42:G46)/SUM(G42:G46)</f>
        <v>#DIV/0!</v>
      </c>
      <c r="Q46" s="293">
        <f>VALUE(LEFT(H46,1))</f>
        <v>0</v>
      </c>
      <c r="R46" s="431">
        <f>Q46*100000+J46*10000+K46*1000+100*L46</f>
        <v>0</v>
      </c>
      <c r="S46" s="432">
        <f>R46+M46*0.1+IF(ISNONTEXT(B46),0,0.01)+0.0001*O46</f>
        <v>0</v>
      </c>
      <c r="T46" s="433" t="str">
        <f>Q46&amp;J46</f>
        <v>00</v>
      </c>
      <c r="U46" s="62"/>
    </row>
    <row r="47" spans="1:21" x14ac:dyDescent="0.2">
      <c r="A47" s="80"/>
      <c r="B47" s="461"/>
      <c r="C47" s="78"/>
      <c r="D47" s="435"/>
      <c r="E47" s="78"/>
      <c r="F47" s="140"/>
      <c r="G47" s="79"/>
      <c r="H47" s="436"/>
      <c r="I47" s="297"/>
      <c r="J47" s="62"/>
      <c r="K47" s="62"/>
      <c r="L47" s="62"/>
      <c r="M47" s="62"/>
      <c r="N47" s="62"/>
      <c r="O47" s="62"/>
      <c r="P47" s="62"/>
      <c r="Q47" s="62"/>
      <c r="R47" s="437" t="s">
        <v>264</v>
      </c>
      <c r="S47" s="62"/>
      <c r="T47" s="62"/>
      <c r="U47" s="62"/>
    </row>
    <row r="48" spans="1:21" x14ac:dyDescent="0.2">
      <c r="A48" s="311" t="s">
        <v>6</v>
      </c>
      <c r="B48" s="462"/>
      <c r="C48" s="276">
        <v>1</v>
      </c>
      <c r="D48" s="276">
        <v>2</v>
      </c>
      <c r="E48" s="276">
        <v>3</v>
      </c>
      <c r="F48" s="276">
        <v>4</v>
      </c>
      <c r="G48" s="276">
        <v>5</v>
      </c>
      <c r="H48" s="275" t="s">
        <v>168</v>
      </c>
      <c r="I48" s="275" t="s">
        <v>169</v>
      </c>
      <c r="J48" s="277" t="s">
        <v>257</v>
      </c>
      <c r="K48" s="438" t="s">
        <v>258</v>
      </c>
      <c r="L48" s="298" t="s">
        <v>259</v>
      </c>
      <c r="M48" s="298" t="s">
        <v>260</v>
      </c>
      <c r="N48" s="420" t="s">
        <v>170</v>
      </c>
      <c r="O48" s="420" t="s">
        <v>170</v>
      </c>
      <c r="P48" s="421" t="s">
        <v>261</v>
      </c>
      <c r="Q48" s="439" t="s">
        <v>21</v>
      </c>
      <c r="R48" s="439" t="b">
        <f>OR(AND(COUNTA(B49:B53)=3,COUNTA(C49:G53)=6),AND(COUNTA(B49:B53)=4,COUNTA(C49:G53)=12),AND(COUNTA(B49:B53)=5,COUNTA(C49:G53)=20))</f>
        <v>0</v>
      </c>
      <c r="S48" s="440" t="s">
        <v>262</v>
      </c>
      <c r="T48" s="441" t="s">
        <v>263</v>
      </c>
      <c r="U48" s="62"/>
    </row>
    <row r="49" spans="1:21" x14ac:dyDescent="0.2">
      <c r="A49" s="311">
        <v>1</v>
      </c>
      <c r="B49" s="464"/>
      <c r="C49" s="278"/>
      <c r="D49" s="279"/>
      <c r="E49" s="279"/>
      <c r="F49" s="279"/>
      <c r="G49" s="279"/>
      <c r="H49" s="282" t="str">
        <f>(IF(D49-C50&gt;0,1)+IF(E49-C51&gt;0,1)+IF(F49-C52&gt;0,1)+IF(G49-C53&gt;0,1))&amp;"-"&amp;(IF(D49-C50&lt;0,1)+IF(E49-C51&lt;0,1)+IF(F49-C52&lt;0,1)+IF(G49-C53&lt;0,1))</f>
        <v>0-0</v>
      </c>
      <c r="I49" s="279" t="str">
        <f>IF(AND(B49&lt;&gt;"",R$48=TRUE),A$48&amp;RANK(S49,S$49:S$53,0)," ")</f>
        <v xml:space="preserve"> </v>
      </c>
      <c r="J49" s="294">
        <f>IF(AND(Q49=1,Q50=1,D49&gt;C50),1)+IF(AND(Q49=1,Q51=1,E49&gt;C51),1)+IF(AND(Q49=1,Q52=1,F49&gt;C52),1)+IF(AND(Q49=1,Q53=1,G49&gt;C53),1)+IF(AND(Q49=2,Q50=2,D49&gt;C50),1)+IF(AND(Q49=2,Q51=2,E49&gt;C51),1)+IF(AND(Q49=2,Q52=2,F49&gt;C52),1)+IF(AND(Q49=2,Q53=2,G49&gt;C53),1)+IF(AND(Q49=3,Q50=3,D49&gt;C50),1)+IF(AND(Q49=3,Q51=3,E49&gt;C51),1)+IF(AND(Q49=3,Q52=3,F49&gt;C52),1)+IF(AND(Q49=3,Q53=3,G49&gt;C53),1)</f>
        <v>0</v>
      </c>
      <c r="K49" s="425">
        <f>SUM(AND(T49=T50,D49&gt;C50),AND(T49=T51,E49&gt;C51),AND(T49=T52,F49&gt;C52),AND(T49=T53,G49&gt;C53))</f>
        <v>0</v>
      </c>
      <c r="L49" s="426">
        <f>IF(AND(Q49=1,Q50=1),D49-C50)+IF(AND(Q49=1,Q51=1),E49-C51)+IF(AND(Q49=1,Q52=1),F49-C52)+IF(AND(Q49=1,Q53=1),G49-C53)+IF(AND(Q49=2,Q50=2),D49-C50)+IF(AND(Q49=2,Q51=2),E49-C51)+IF(AND(Q49=2,Q52=2),F49-C52)+IF(AND(Q49=2,Q53=2),G49-C53)+IF(AND(Q49=3,Q50=3),D49-C50)+IF(AND(Q49=3,Q51=3),E49-C51)+IF(AND(Q49=3,Q52=3),F49-C52)+IF(AND(Q49=3,Q53=3),G49-C53)+IF(AND(Q49=4,Q50=4),D49-C50)+IF(AND(Q49=4,Q51=4),E49-C51)+IF(AND(Q49=4,Q52=4),F49-C52)+IF(AND(Q49=4,Q53=4),G49-C53)</f>
        <v>0</v>
      </c>
      <c r="M49" s="427">
        <f>SUM(AND(R49=R50,D49&gt;C50),AND(R49=R51,E49&gt;C51),AND(R49=R52,F49&gt;C52),AND(R49=R53,G49&gt;C53))</f>
        <v>0</v>
      </c>
      <c r="N49" s="970" t="str">
        <f>SUM(C49:G49)&amp;"-"&amp;SUM(C49:C53)</f>
        <v>0-0</v>
      </c>
      <c r="O49" s="536">
        <f>D49+E49+F49+G49-C50-C51-C52-C53</f>
        <v>0</v>
      </c>
      <c r="P49" s="429" t="e">
        <f>SUM(C49:G49,C49:C53)/SUM(C49:C53)</f>
        <v>#DIV/0!</v>
      </c>
      <c r="Q49" s="430">
        <f>VALUE(LEFT(H49,1))</f>
        <v>0</v>
      </c>
      <c r="R49" s="431">
        <f>Q49*100000+J49*10000+K49*1000+100*L49</f>
        <v>0</v>
      </c>
      <c r="S49" s="432">
        <f>R49+M49*0.1+IF(ISNONTEXT(B49),0,0.01)+0.0001*O49</f>
        <v>0</v>
      </c>
      <c r="T49" s="433" t="str">
        <f>Q49&amp;J49</f>
        <v>00</v>
      </c>
      <c r="U49" s="62"/>
    </row>
    <row r="50" spans="1:21" x14ac:dyDescent="0.2">
      <c r="A50" s="311">
        <v>2</v>
      </c>
      <c r="B50" s="459"/>
      <c r="C50" s="279"/>
      <c r="D50" s="278"/>
      <c r="E50" s="279"/>
      <c r="F50" s="279"/>
      <c r="G50" s="279"/>
      <c r="H50" s="282" t="str">
        <f>(IF(C50-D49&gt;0,1)+IF(E50-D51&gt;0,1)+IF(F50-D52&gt;0,1)+IF(G50-D53&gt;0,1))&amp;"-"&amp;(IF(C50-D49&lt;0,1)+IF(E50-D51&lt;0,1)+IF(F50-D52&lt;0,1)+IF(G50-D53&lt;0,1))</f>
        <v>0-0</v>
      </c>
      <c r="I50" s="279" t="str">
        <f>IF(AND(B50&lt;&gt;"",R$48=TRUE),A$48&amp;RANK(R50,R$49:R$53,0)," ")</f>
        <v xml:space="preserve"> </v>
      </c>
      <c r="J50" s="295">
        <f>IF(AND(Q50=1,Q49=1,C50&gt;D49),1)+IF(AND(Q50=1,Q51=1,E50&gt;D51),1)+IF(AND(Q50=1,Q52=1,F50&gt;D52),1)+IF(AND(Q50=1,Q53=1,G50&gt;D53),1)+IF(AND(Q50=2,Q49=2,C50&gt;D49),1)+IF(AND(Q50=2,Q51=2,E50&gt;D51),1)+IF(AND(Q50=2,Q52=2,F50&gt;D52),1)+IF(AND(Q50=2,Q53=2,G50&gt;D53),1)+IF(AND(Q50=3,Q49=3,C50&gt;D49),1)+IF(AND(Q50=3,Q51=3,E50&gt;D51),1)+IF(AND(Q50=3,Q52=3,F50&gt;D52),1)+IF(AND(Q50=3,Q53=3,G50&gt;D53),1)</f>
        <v>0</v>
      </c>
      <c r="K50" s="427">
        <f>SUM(AND(T50=T49,C50&gt;D49),AND(T50=T51,E50&gt;D51),AND(T50=T52,F50&gt;D52),AND(T50=T53,G50&gt;D53))</f>
        <v>0</v>
      </c>
      <c r="L50" s="434">
        <f>IF(AND(Q50=1,Q49=1),C50-D49)+IF(AND(Q50=1,Q51=1),E50-D51)+IF(AND(Q50=1,Q52=1),F50-D52)+IF(AND(Q50=1,Q53=1),G50-D53)+IF(AND(Q50=2,Q49=2),C50-D49)+IF(AND(Q50=2,Q51=2),E50-D51)+IF(AND(Q50=2,Q52=2),F50-D52)+IF(AND(Q50=2,Q53=2),G50-D53)+IF(AND(Q50=3,Q49=3),C50-D49)+IF(AND(Q50=3,Q51=3),E50-D51)+IF(AND(Q50=3,Q52=3),F50-D52)+IF(AND(Q50=3,Q53=3),G50-D53)+IF(AND(Q50=4,Q49=4),C50-D49)+IF(AND(Q50=4,Q51=4),E50-D51)+IF(AND(Q50=4,Q52=4),F50-D52)+IF(AND(Q50=4,Q53=4),G50-D53)</f>
        <v>0</v>
      </c>
      <c r="M50" s="427">
        <f>SUM(AND(R50=R49,C50&gt;D49),AND(R50=R51,E50&gt;D51),AND(R50=R52,F50&gt;D52),AND(R50=R53,G50&gt;D53))</f>
        <v>0</v>
      </c>
      <c r="N50" s="970" t="str">
        <f>SUM(C50:G50)&amp;"-"&amp;SUM(D49:D53)</f>
        <v>0-0</v>
      </c>
      <c r="O50" s="536">
        <f>C50+E50+F50+G50-D49-D51-D52-D53</f>
        <v>0</v>
      </c>
      <c r="P50" s="429" t="e">
        <f>SUM(C50:G50,D49:D53)/SUM(D49:D53)</f>
        <v>#DIV/0!</v>
      </c>
      <c r="Q50" s="293">
        <f>VALUE(LEFT(H50,1))</f>
        <v>0</v>
      </c>
      <c r="R50" s="431">
        <f>Q50*100000+J50*10000+K50*1000+100*L50</f>
        <v>0</v>
      </c>
      <c r="S50" s="432">
        <f>R50+M50*0.1+IF(ISNONTEXT(B50),0,0.01)+0.0001*O50</f>
        <v>0</v>
      </c>
      <c r="T50" s="433" t="str">
        <f>Q50&amp;J50</f>
        <v>00</v>
      </c>
      <c r="U50" s="62"/>
    </row>
    <row r="51" spans="1:21" x14ac:dyDescent="0.2">
      <c r="A51" s="311">
        <v>3</v>
      </c>
      <c r="B51" s="459"/>
      <c r="C51" s="279"/>
      <c r="D51" s="281"/>
      <c r="E51" s="278"/>
      <c r="F51" s="279"/>
      <c r="G51" s="279"/>
      <c r="H51" s="282" t="str">
        <f>(IF(C51-E49&gt;0,1)+IF(D51-E50&gt;0,1)+IF(F51-E52&gt;0,1)+IF(G51-E53&gt;0,1))&amp;"-"&amp;(IF(C51-E49&lt;0,1)+IF(D51-E50&lt;0,1)+IF(F51-E52&lt;0,1)+IF(G51-E53&lt;0,1))</f>
        <v>0-0</v>
      </c>
      <c r="I51" s="279" t="str">
        <f>IF(AND(B51&lt;&gt;"",R$48=TRUE),A$48&amp;RANK(R51,R$49:R$53,0)," ")</f>
        <v xml:space="preserve"> </v>
      </c>
      <c r="J51" s="295">
        <f>IF(AND(Q51=1,Q49=1,C51&gt;E49),1)+IF(AND(Q51=1,Q50=1,D51&gt;E50),1)+IF(AND(Q51=1,Q52=1,F51&gt;E52),1)+IF(AND(Q51=1,Q53=1,G51&gt;E53),1)+IF(AND(Q51=2,Q49=2,C51&gt;E49),1)+IF(AND(Q51=2,Q50=2,D51&gt;E50),1)+IF(AND(Q51=2,Q52=2,F51&gt;E52),1)+IF(AND(Q51=2,Q53=2,G51&gt;E53),1)+IF(AND(Q51=3,Q49=3,C51&gt;E49),1)+IF(AND(Q51=3,Q50=3,D51&gt;E50),1)+IF(AND(Q51=3,Q52=3,F51&gt;E52),1)+IF(AND(Q51=3,Q53=3,G51&gt;E53),1)</f>
        <v>0</v>
      </c>
      <c r="K51" s="427">
        <f>SUM(AND(T51=T49,C51&gt;E49),AND(T51=T50,D51&gt;E50),AND(T51=T52,F51&gt;E52),AND(T51=T53,G51&gt;E53))</f>
        <v>0</v>
      </c>
      <c r="L51" s="434">
        <f>IF(AND(Q51=1,Q49=1),C51-E49)+IF(AND(Q51=1,Q50=1),D51-E50)+IF(AND(Q51=1,Q52=1),F51-E52)+IF(AND(Q51=1,Q53=1),G51-E53)+IF(AND(Q51=2,Q49=2),C51-E49)+IF(AND(Q51=2,Q50=2),D51-E50)+IF(AND(Q51=2,Q52=2),F51-E52)+IF(AND(Q51=2,Q53=2),G51-E53)+IF(AND(Q51=3,Q49=3),C51-E49)+IF(AND(Q51=3,Q50=3),D51-E50)+IF(AND(Q51=3,Q52=3),F51-E52)+IF(AND(Q51=3,Q53=3),G51-E53)+IF(AND(Q51=4,Q49=4),C51-E49)+IF(AND(Q51=4,Q50=4),D51-E50)+IF(AND(Q51=4,Q52=4),F51-E52)+IF(AND(Q51=4,Q53=4),G51-E53)</f>
        <v>0</v>
      </c>
      <c r="M51" s="427">
        <f>SUM(AND(R51=R49,C51&gt;E49),AND(R51=R50,D51&gt;E50),AND(R51=R52,F51&gt;E52),AND(R51=R53,G51&gt;E53))</f>
        <v>0</v>
      </c>
      <c r="N51" s="970" t="str">
        <f>SUM(C51:G51)&amp;"-"&amp;SUM(E49:E53)</f>
        <v>0-0</v>
      </c>
      <c r="O51" s="536">
        <f>C51+D51+F51+G51-E49-E50-E52-E53</f>
        <v>0</v>
      </c>
      <c r="P51" s="429" t="e">
        <f>SUM(C51:G51,E49:E53)/SUM(E49:E53)</f>
        <v>#DIV/0!</v>
      </c>
      <c r="Q51" s="293">
        <f>VALUE(LEFT(H51,1))</f>
        <v>0</v>
      </c>
      <c r="R51" s="431">
        <f>Q51*100000+J51*10000+K51*1000+100*L51</f>
        <v>0</v>
      </c>
      <c r="S51" s="432">
        <f>R51+M51*0.1+IF(ISNONTEXT(B51),0,0.01)+0.0001*O51</f>
        <v>0</v>
      </c>
      <c r="T51" s="433" t="str">
        <f>Q51&amp;J51</f>
        <v>00</v>
      </c>
      <c r="U51" s="62"/>
    </row>
    <row r="52" spans="1:21" x14ac:dyDescent="0.2">
      <c r="A52" s="311">
        <v>4</v>
      </c>
      <c r="B52" s="460"/>
      <c r="C52" s="279"/>
      <c r="D52" s="281"/>
      <c r="E52" s="279"/>
      <c r="F52" s="278"/>
      <c r="G52" s="280"/>
      <c r="H52" s="282" t="str">
        <f>(IF(C52-F49&gt;0,1)+IF(D52-F50&gt;0,1)+IF(E52-F51&gt;0,1)+IF(G52-F53&gt;0,1))&amp;"-"&amp;(IF(C52-F49&lt;0,1)+IF(D52-F50&lt;0,1)+IF(E52-F51&lt;0,1)+IF(G52-F53&lt;0,1))</f>
        <v>0-0</v>
      </c>
      <c r="I52" s="279" t="str">
        <f>IF(AND(B52&lt;&gt;"",R$48=TRUE),A$48&amp;RANK(R52,R$49:R$53,0)," ")</f>
        <v xml:space="preserve"> </v>
      </c>
      <c r="J52" s="295">
        <f>IF(AND(Q52=1,Q49=1,C52&gt;F49),1)+IF(AND(Q52=1,Q50=1,D52&gt;F50),1)+IF(AND(Q52=1,Q51=1,E52&gt;F51),1)+IF(AND(Q52=1,Q53=1,G52&gt;F53),1)+IF(AND(Q52=2,Q49=2,C52&gt;F49),1)+IF(AND(Q52=2,Q50=2,D52&gt;F50),1)+IF(AND(Q52=2,Q51=2,E52&gt;F51),1)+IF(AND(Q52=2,Q53=2,G52&gt;F53),1)+IF(AND(Q52=3,Q49=3,C52&gt;F49),1)+IF(AND(Q52=3,Q50=3,D52&gt;F50),1)+IF(AND(Q52=3,Q51=3,E52&gt;F51),1)+IF(AND(Q52=3,Q53=3,G52&gt;F53),1)</f>
        <v>0</v>
      </c>
      <c r="K52" s="427">
        <f>SUM(AND(T52=T49,C52&gt;F49),AND(T52=T50,D52&gt;F50),AND(T52=T51,E52&gt;F51),AND(T52=T53,G52&gt;F53))</f>
        <v>0</v>
      </c>
      <c r="L52" s="434">
        <f>IF(AND(Q52=1,Q49=1),C52-F49)+IF(AND(Q52=1,Q50=1),D52-F50)+IF(AND(Q52=1,Q51=1),E52-F51)+IF(AND(Q52=1,Q53=1),G52-F53)+IF(AND(Q52=2,Q49=2),C52-F49)+IF(AND(Q52=2,Q50=2),D52-F50)+IF(AND(Q52=2,Q51=2),E52-F51)+IF(AND(Q52=2,Q53=2),G52-F53)+IF(AND(Q52=3,Q49=3),C52-F49)+IF(AND(Q52=3,Q50=3),D52-F50)+IF(AND(Q52=3,Q51=3),E52-F51)+IF(AND(Q52=3,Q53=3),G52-F53)+IF(AND(Q52=4,Q49=4),C52-F49)+IF(AND(Q52=4,Q50=4),D52-F50)+IF(AND(Q52=4,Q51=4),E52-F51)+IF(AND(Q52=4,Q53=4),G52-F53)</f>
        <v>0</v>
      </c>
      <c r="M52" s="427">
        <f>SUM(AND(R52=R49,C52&gt;F49),AND(R52=R50,D52&gt;F50),AND(R52=R51,E52&gt;F51),AND(R52=R53,G52&gt;F53))</f>
        <v>0</v>
      </c>
      <c r="N52" s="970" t="str">
        <f>SUM(C52:G52)&amp;"-"&amp;SUM(F49:F53)</f>
        <v>0-0</v>
      </c>
      <c r="O52" s="536">
        <f>C52+D52+E52+G52-F49-F50-F51-F53</f>
        <v>0</v>
      </c>
      <c r="P52" s="429" t="e">
        <f>SUM(C52:G52,F49:F53)/SUM(F49:F53)</f>
        <v>#DIV/0!</v>
      </c>
      <c r="Q52" s="293">
        <f>VALUE(LEFT(H52,1))</f>
        <v>0</v>
      </c>
      <c r="R52" s="431">
        <f>Q52*100000+J52*10000+K52*1000+100*L52</f>
        <v>0</v>
      </c>
      <c r="S52" s="432">
        <f>R52+M52*0.1+IF(ISNONTEXT(B52),0,0.01)+0.0001*O52</f>
        <v>0</v>
      </c>
      <c r="T52" s="433" t="str">
        <f>Q52&amp;J52</f>
        <v>00</v>
      </c>
      <c r="U52" s="62"/>
    </row>
    <row r="53" spans="1:21" x14ac:dyDescent="0.2">
      <c r="A53" s="311">
        <v>5</v>
      </c>
      <c r="B53" s="460"/>
      <c r="C53" s="279"/>
      <c r="D53" s="279"/>
      <c r="E53" s="279"/>
      <c r="F53" s="279"/>
      <c r="G53" s="278"/>
      <c r="H53" s="282" t="str">
        <f>(IF(C53-G49&gt;0,1)+IF(D53-G50&gt;0,1)+IF(E53-G51&gt;0,1)+IF(F53-G52&gt;0,1))&amp;"-"&amp;(IF(C53-G49&lt;0,1)+IF(D53-G50&lt;0,1)+IF(E53-G51&lt;0,1)+IF(F53-G52&lt;0,1))</f>
        <v>0-0</v>
      </c>
      <c r="I53" s="279" t="str">
        <f>IF(AND(B53&lt;&gt;"",R$48=TRUE),A$48&amp;RANK(R53,R$49:R$53,0)," ")</f>
        <v xml:space="preserve"> </v>
      </c>
      <c r="J53" s="295">
        <f>IF(AND(Q53=1,Q49=1,C53&gt;G49),1)+IF(AND(Q53=1,Q50=1,D53&gt;G50),1)+IF(AND(Q53=1,Q51=1,E53&gt;G51),1)+IF(AND(Q53=1,Q52=1,F53&gt;G52),1)+IF(AND(Q53=2,Q49=2,C53&gt;G49),1)+IF(AND(Q53=2,Q50=2,D53&gt;G50),1)+IF(AND(Q53=2,Q51=2,E53&gt;G51),1)+IF(AND(Q53=2,Q52=2,F53&gt;G52),1)+IF(AND(Q53=3,Q49=3,C53&gt;G49),1)+IF(AND(Q53=3,Q50=3,D53&gt;G50),1)+IF(AND(Q53=3,Q51=3,E53&gt;G51),1)+IF(AND(Q53=3,Q52=3,F53&gt;G52),1)</f>
        <v>0</v>
      </c>
      <c r="K53" s="427">
        <f>SUM(AND(T53=T49,C53&gt;G49),AND(T53=T50,D53&gt;G50),AND(T53=T51,E53&gt;G51),AND(T53=T52,F53&gt;G52))</f>
        <v>0</v>
      </c>
      <c r="L53" s="434">
        <f>IF(AND(Q53=1,Q49=1),C53-G49)+IF(AND(Q53=1,Q50=1),D53-G50)+IF(AND(Q53=1,Q51=1),E53-G51)+IF(AND(Q53=1,Q52=1),F53-G52)+IF(AND(Q53=2,Q49=2),C53-G49)+IF(AND(Q53=2,Q50=2),D53-G50)+IF(AND(Q53=2,Q51=2),E53-G51)+IF(AND(Q53=2,Q52=2),F53-G52)+IF(AND(Q53=3,Q49=3),C53-G49)+IF(AND(Q53=3,Q50=3),D53-G50)+IF(AND(Q53=3,Q51=3),E53-G51)+IF(AND(Q53=3,Q52=3),F53-G52)+IF(AND(Q53=4,Q49=4),C53-G49)+IF(AND(Q53=4,Q50=4),D53-G50)+IF(AND(Q53=4,Q51=4),E53-G51)+IF(AND(Q53=4,Q52=4),F53-G52)</f>
        <v>0</v>
      </c>
      <c r="M53" s="427">
        <f>SUM(AND(R53=R49,C53&gt;G49),AND(R53=R50,D53&gt;G50),AND(R53=R51,E53&gt;G51),AND(R53=R52,F53&gt;G52))</f>
        <v>0</v>
      </c>
      <c r="N53" s="970" t="str">
        <f>SUM(C53:G53)&amp;"-"&amp;SUM(G49:G53)</f>
        <v>0-0</v>
      </c>
      <c r="O53" s="536">
        <f>C53+D53+E53+F53-G49-G50-G51-G52</f>
        <v>0</v>
      </c>
      <c r="P53" s="429" t="e">
        <f>SUM(C53:G53,G49:G53)/SUM(G49:G53)</f>
        <v>#DIV/0!</v>
      </c>
      <c r="Q53" s="293">
        <f>VALUE(LEFT(H53,1))</f>
        <v>0</v>
      </c>
      <c r="R53" s="431">
        <f>Q53*100000+J53*10000+K53*1000+100*L53</f>
        <v>0</v>
      </c>
      <c r="S53" s="432">
        <f>R53+M53*0.1+IF(ISNONTEXT(B53),0,0.01)+0.0001*O53</f>
        <v>0</v>
      </c>
      <c r="T53" s="433" t="str">
        <f>Q53&amp;J53</f>
        <v>00</v>
      </c>
      <c r="U53" s="62"/>
    </row>
    <row r="54" spans="1:21" x14ac:dyDescent="0.2">
      <c r="A54" s="326"/>
      <c r="B54" s="463"/>
      <c r="C54" s="79"/>
      <c r="D54" s="79"/>
      <c r="E54" s="79"/>
      <c r="F54" s="329"/>
      <c r="G54" s="329"/>
      <c r="H54" s="442"/>
      <c r="I54" s="299"/>
      <c r="J54" s="62"/>
      <c r="K54" s="62"/>
      <c r="L54" s="62"/>
      <c r="M54" s="62"/>
      <c r="N54" s="62"/>
      <c r="O54" s="62"/>
      <c r="P54" s="62"/>
      <c r="Q54" s="62"/>
      <c r="R54" s="437" t="s">
        <v>264</v>
      </c>
      <c r="S54" s="62"/>
      <c r="T54" s="62"/>
      <c r="U54" s="62"/>
    </row>
    <row r="55" spans="1:21" x14ac:dyDescent="0.2">
      <c r="A55" s="311" t="s">
        <v>7</v>
      </c>
      <c r="B55" s="462"/>
      <c r="C55" s="276">
        <v>1</v>
      </c>
      <c r="D55" s="276">
        <v>2</v>
      </c>
      <c r="E55" s="276">
        <v>3</v>
      </c>
      <c r="F55" s="276">
        <v>4</v>
      </c>
      <c r="G55" s="276">
        <v>5</v>
      </c>
      <c r="H55" s="275" t="s">
        <v>168</v>
      </c>
      <c r="I55" s="275" t="s">
        <v>169</v>
      </c>
      <c r="J55" s="277" t="s">
        <v>257</v>
      </c>
      <c r="K55" s="438" t="s">
        <v>258</v>
      </c>
      <c r="L55" s="298" t="s">
        <v>259</v>
      </c>
      <c r="M55" s="298" t="s">
        <v>260</v>
      </c>
      <c r="N55" s="420" t="s">
        <v>170</v>
      </c>
      <c r="O55" s="420" t="s">
        <v>170</v>
      </c>
      <c r="P55" s="421" t="s">
        <v>261</v>
      </c>
      <c r="Q55" s="439" t="s">
        <v>21</v>
      </c>
      <c r="R55" s="439" t="b">
        <f>OR(AND(COUNTA(B56:B60)=3,COUNTA(C56:G60)=6),AND(COUNTA(B56:B60)=4,COUNTA(C56:G60)=12),AND(COUNTA(B56:B60)=5,COUNTA(C56:G60)=20))</f>
        <v>0</v>
      </c>
      <c r="S55" s="440" t="s">
        <v>262</v>
      </c>
      <c r="T55" s="441" t="s">
        <v>263</v>
      </c>
      <c r="U55" s="62"/>
    </row>
    <row r="56" spans="1:21" x14ac:dyDescent="0.2">
      <c r="A56" s="311">
        <v>1</v>
      </c>
      <c r="B56" s="464"/>
      <c r="C56" s="278"/>
      <c r="D56" s="279"/>
      <c r="E56" s="279"/>
      <c r="F56" s="279"/>
      <c r="G56" s="279"/>
      <c r="H56" s="282" t="str">
        <f>(IF(D56-C57&gt;0,1)+IF(E56-C58&gt;0,1)+IF(F56-C59&gt;0,1)+IF(G56-C60&gt;0,1))&amp;"-"&amp;(IF(D56-C57&lt;0,1)+IF(E56-C58&lt;0,1)+IF(F56-C59&lt;0,1)+IF(G56-C60&lt;0,1))</f>
        <v>0-0</v>
      </c>
      <c r="I56" s="279" t="str">
        <f>IF(AND(B56&lt;&gt;"",R$55=TRUE),A$55&amp;RANK(S56,S$56:S$60,0)," ")</f>
        <v xml:space="preserve"> </v>
      </c>
      <c r="J56" s="294">
        <f>IF(AND(Q56=1,Q57=1,D56&gt;C57),1)+IF(AND(Q56=1,Q58=1,E56&gt;C58),1)+IF(AND(Q56=1,Q59=1,F56&gt;C59),1)+IF(AND(Q56=1,Q60=1,G56&gt;C60),1)+IF(AND(Q56=2,Q57=2,D56&gt;C57),1)+IF(AND(Q56=2,Q58=2,E56&gt;C58),1)+IF(AND(Q56=2,Q59=2,F56&gt;C59),1)+IF(AND(Q56=2,Q60=2,G56&gt;C60),1)+IF(AND(Q56=3,Q57=3,D56&gt;C57),1)+IF(AND(Q56=3,Q58=3,E56&gt;C58),1)+IF(AND(Q56=3,Q59=3,F56&gt;C59),1)+IF(AND(Q56=3,Q60=3,G56&gt;C60),1)</f>
        <v>0</v>
      </c>
      <c r="K56" s="425">
        <f>SUM(AND(T56=T57,D56&gt;C57),AND(T56=T58,E56&gt;C58),AND(T56=T59,F56&gt;C59),AND(T56=T60,G56&gt;C60))</f>
        <v>0</v>
      </c>
      <c r="L56" s="426">
        <f>IF(AND(Q56=1,Q57=1),D56-C57)+IF(AND(Q56=1,Q58=1),E56-C58)+IF(AND(Q56=1,Q59=1),F56-C59)+IF(AND(Q56=1,Q60=1),G56-C60)+IF(AND(Q56=2,Q57=2),D56-C57)+IF(AND(Q56=2,Q58=2),E56-C58)+IF(AND(Q56=2,Q59=2),F56-C59)+IF(AND(Q56=2,Q60=2),G56-C60)+IF(AND(Q56=3,Q57=3),D56-C57)+IF(AND(Q56=3,Q58=3),E56-C58)+IF(AND(Q56=3,Q59=3),F56-C59)+IF(AND(Q56=3,Q60=3),G56-C60)+IF(AND(Q56=4,Q57=4),D56-C57)+IF(AND(Q56=4,Q58=4),E56-C58)+IF(AND(Q56=4,Q59=4),F56-C59)+IF(AND(Q56=4,Q60=4),G56-C60)</f>
        <v>0</v>
      </c>
      <c r="M56" s="427">
        <f>SUM(AND(R56=R57,D56&gt;C57),AND(R56=R58,E56&gt;C58),AND(R56=R59,F56&gt;C59),AND(R56=R60,G56&gt;C60))</f>
        <v>0</v>
      </c>
      <c r="N56" s="970" t="str">
        <f>SUM(C56:G56)&amp;"-"&amp;SUM(C56:C60)</f>
        <v>0-0</v>
      </c>
      <c r="O56" s="536">
        <f>D56+E56+F56+G56-C57-C58-C59-C60</f>
        <v>0</v>
      </c>
      <c r="P56" s="429" t="e">
        <f>SUM(C56:G56,C56:C60)/SUM(C56:C60)</f>
        <v>#DIV/0!</v>
      </c>
      <c r="Q56" s="430">
        <f>VALUE(LEFT(H56,1))</f>
        <v>0</v>
      </c>
      <c r="R56" s="431">
        <f>Q56*100000+J56*10000+K56*1000+100*L56</f>
        <v>0</v>
      </c>
      <c r="S56" s="432">
        <f>R56+M56*0.1+IF(ISNONTEXT(B56),0,0.01)+0.0001*O56</f>
        <v>0</v>
      </c>
      <c r="T56" s="433" t="str">
        <f>Q56&amp;J56</f>
        <v>00</v>
      </c>
      <c r="U56" s="62"/>
    </row>
    <row r="57" spans="1:21" x14ac:dyDescent="0.2">
      <c r="A57" s="311">
        <v>2</v>
      </c>
      <c r="B57" s="459"/>
      <c r="C57" s="279"/>
      <c r="D57" s="278"/>
      <c r="E57" s="279"/>
      <c r="F57" s="279"/>
      <c r="G57" s="279"/>
      <c r="H57" s="282" t="str">
        <f>(IF(C57-D56&gt;0,1)+IF(E57-D58&gt;0,1)+IF(F57-D59&gt;0,1)+IF(G57-D60&gt;0,1))&amp;"-"&amp;(IF(C57-D56&lt;0,1)+IF(E57-D58&lt;0,1)+IF(F57-D59&lt;0,1)+IF(G57-D60&lt;0,1))</f>
        <v>0-0</v>
      </c>
      <c r="I57" s="279" t="str">
        <f t="shared" ref="I57:I60" si="12">IF(AND(B57&lt;&gt;"",R$55=TRUE),A$55&amp;RANK(S57,S$56:S$60,0)," ")</f>
        <v xml:space="preserve"> </v>
      </c>
      <c r="J57" s="295">
        <f>IF(AND(Q57=1,Q56=1,C57&gt;D56),1)+IF(AND(Q57=1,Q58=1,E57&gt;D58),1)+IF(AND(Q57=1,Q59=1,F57&gt;D59),1)+IF(AND(Q57=1,Q60=1,G57&gt;D60),1)+IF(AND(Q57=2,Q56=2,C57&gt;D56),1)+IF(AND(Q57=2,Q58=2,E57&gt;D58),1)+IF(AND(Q57=2,Q59=2,F57&gt;D59),1)+IF(AND(Q57=2,Q60=2,G57&gt;D60),1)+IF(AND(Q57=3,Q56=3,C57&gt;D56),1)+IF(AND(Q57=3,Q58=3,E57&gt;D58),1)+IF(AND(Q57=3,Q59=3,F57&gt;D59),1)+IF(AND(Q57=3,Q60=3,G57&gt;D60),1)</f>
        <v>0</v>
      </c>
      <c r="K57" s="427">
        <f>SUM(AND(T57=T56,C57&gt;D56),AND(T57=T58,E57&gt;D58),AND(T57=T59,F57&gt;D59),AND(T57=T60,G57&gt;D60))</f>
        <v>0</v>
      </c>
      <c r="L57" s="434">
        <f>IF(AND(Q57=1,Q56=1),C57-D56)+IF(AND(Q57=1,Q58=1),E57-D58)+IF(AND(Q57=1,Q59=1),F57-D59)+IF(AND(Q57=1,Q60=1),G57-D60)+IF(AND(Q57=2,Q56=2),C57-D56)+IF(AND(Q57=2,Q58=2),E57-D58)+IF(AND(Q57=2,Q59=2),F57-D59)+IF(AND(Q57=2,Q60=2),G57-D60)+IF(AND(Q57=3,Q56=3),C57-D56)+IF(AND(Q57=3,Q58=3),E57-D58)+IF(AND(Q57=3,Q59=3),F57-D59)+IF(AND(Q57=3,Q60=3),G57-D60)+IF(AND(Q57=4,Q56=4),C57-D56)+IF(AND(Q57=4,Q58=4),E57-D58)+IF(AND(Q57=4,Q59=4),F57-D59)+IF(AND(Q57=4,Q60=4),G57-D60)</f>
        <v>0</v>
      </c>
      <c r="M57" s="427">
        <f>SUM(AND(R57=R56,C57&gt;D56),AND(R57=R58,E57&gt;D58),AND(R57=R59,F57&gt;D59),AND(R57=R60,G57&gt;D60))</f>
        <v>0</v>
      </c>
      <c r="N57" s="970" t="str">
        <f>SUM(C57:G57)&amp;"-"&amp;SUM(D56:D60)</f>
        <v>0-0</v>
      </c>
      <c r="O57" s="536">
        <f>C57+E57+F57+G57-D56-D58-D59-D60</f>
        <v>0</v>
      </c>
      <c r="P57" s="429" t="e">
        <f>SUM(C57:G57,D56:D60)/SUM(D56:D60)</f>
        <v>#DIV/0!</v>
      </c>
      <c r="Q57" s="293">
        <f>VALUE(LEFT(H57,1))</f>
        <v>0</v>
      </c>
      <c r="R57" s="431">
        <f>Q57*100000+J57*10000+K57*1000+100*L57</f>
        <v>0</v>
      </c>
      <c r="S57" s="432">
        <f>R57+M57*0.1+IF(ISNONTEXT(B57),0,0.01)+0.0001*O57</f>
        <v>0</v>
      </c>
      <c r="T57" s="433" t="str">
        <f>Q57&amp;J57</f>
        <v>00</v>
      </c>
      <c r="U57" s="62"/>
    </row>
    <row r="58" spans="1:21" x14ac:dyDescent="0.2">
      <c r="A58" s="311">
        <v>3</v>
      </c>
      <c r="B58" s="459"/>
      <c r="C58" s="279"/>
      <c r="D58" s="281"/>
      <c r="E58" s="278"/>
      <c r="F58" s="279"/>
      <c r="G58" s="279"/>
      <c r="H58" s="282" t="str">
        <f>(IF(C58-E56&gt;0,1)+IF(D58-E57&gt;0,1)+IF(F58-E59&gt;0,1)+IF(G58-E60&gt;0,1))&amp;"-"&amp;(IF(C58-E56&lt;0,1)+IF(D58-E57&lt;0,1)+IF(F58-E59&lt;0,1)+IF(G58-E60&lt;0,1))</f>
        <v>0-0</v>
      </c>
      <c r="I58" s="279" t="str">
        <f t="shared" si="12"/>
        <v xml:space="preserve"> </v>
      </c>
      <c r="J58" s="295">
        <f>IF(AND(Q58=1,Q56=1,C58&gt;E56),1)+IF(AND(Q58=1,Q57=1,D58&gt;E57),1)+IF(AND(Q58=1,Q59=1,F58&gt;E59),1)+IF(AND(Q58=1,Q60=1,G58&gt;E60),1)+IF(AND(Q58=2,Q56=2,C58&gt;E56),1)+IF(AND(Q58=2,Q57=2,D58&gt;E57),1)+IF(AND(Q58=2,Q59=2,F58&gt;E59),1)+IF(AND(Q58=2,Q60=2,G58&gt;E60),1)+IF(AND(Q58=3,Q56=3,C58&gt;E56),1)+IF(AND(Q58=3,Q57=3,D58&gt;E57),1)+IF(AND(Q58=3,Q59=3,F58&gt;E59),1)+IF(AND(Q58=3,Q60=3,G58&gt;E60),1)</f>
        <v>0</v>
      </c>
      <c r="K58" s="427">
        <f>SUM(AND(T58=T56,C58&gt;E56),AND(T58=T57,D58&gt;E57),AND(T58=T59,F58&gt;E59),AND(T58=T60,G58&gt;E60))</f>
        <v>0</v>
      </c>
      <c r="L58" s="434">
        <f>IF(AND(Q58=1,Q56=1),C58-E56)+IF(AND(Q58=1,Q57=1),D58-E57)+IF(AND(Q58=1,Q59=1),F58-E59)+IF(AND(Q58=1,Q60=1),G58-E60)+IF(AND(Q58=2,Q56=2),C58-E56)+IF(AND(Q58=2,Q57=2),D58-E57)+IF(AND(Q58=2,Q59=2),F58-E59)+IF(AND(Q58=2,Q60=2),G58-E60)+IF(AND(Q58=3,Q56=3),C58-E56)+IF(AND(Q58=3,Q57=3),D58-E57)+IF(AND(Q58=3,Q59=3),F58-E59)+IF(AND(Q58=3,Q60=3),G58-E60)+IF(AND(Q58=4,Q56=4),C58-E56)+IF(AND(Q58=4,Q57=4),D58-E57)+IF(AND(Q58=4,Q59=4),F58-E59)+IF(AND(Q58=4,Q60=4),G58-E60)</f>
        <v>0</v>
      </c>
      <c r="M58" s="427">
        <f>SUM(AND(R58=R56,C58&gt;E56),AND(R58=R57,D58&gt;E57),AND(R58=R59,F58&gt;E59),AND(R58=R60,G58&gt;E60))</f>
        <v>0</v>
      </c>
      <c r="N58" s="970" t="str">
        <f>SUM(C58:G58)&amp;"-"&amp;SUM(E56:E60)</f>
        <v>0-0</v>
      </c>
      <c r="O58" s="536">
        <f>C58+D58+F58+G58-E56-E57-E59-E60</f>
        <v>0</v>
      </c>
      <c r="P58" s="429" t="e">
        <f>SUM(C58:G58,E56:E60)/SUM(E56:E60)</f>
        <v>#DIV/0!</v>
      </c>
      <c r="Q58" s="293">
        <f>VALUE(LEFT(H58,1))</f>
        <v>0</v>
      </c>
      <c r="R58" s="431">
        <f>Q58*100000+J58*10000+K58*1000+100*L58</f>
        <v>0</v>
      </c>
      <c r="S58" s="432">
        <f>R58+M58*0.1+IF(ISNONTEXT(B58),0,0.01)+0.0001*O58</f>
        <v>0</v>
      </c>
      <c r="T58" s="433" t="str">
        <f>Q58&amp;J58</f>
        <v>00</v>
      </c>
      <c r="U58" s="62"/>
    </row>
    <row r="59" spans="1:21" x14ac:dyDescent="0.2">
      <c r="A59" s="311">
        <v>4</v>
      </c>
      <c r="B59" s="460"/>
      <c r="C59" s="279"/>
      <c r="D59" s="281"/>
      <c r="E59" s="279"/>
      <c r="F59" s="278"/>
      <c r="G59" s="280"/>
      <c r="H59" s="282" t="str">
        <f>(IF(C59-F56&gt;0,1)+IF(D59-F57&gt;0,1)+IF(E59-F58&gt;0,1)+IF(G59-F60&gt;0,1))&amp;"-"&amp;(IF(C59-F56&lt;0,1)+IF(D59-F57&lt;0,1)+IF(E59-F58&lt;0,1)+IF(G59-F60&lt;0,1))</f>
        <v>0-0</v>
      </c>
      <c r="I59" s="279" t="str">
        <f t="shared" si="12"/>
        <v xml:space="preserve"> </v>
      </c>
      <c r="J59" s="295">
        <f>IF(AND(Q59=1,Q56=1,C59&gt;F56),1)+IF(AND(Q59=1,Q57=1,D59&gt;F57),1)+IF(AND(Q59=1,Q58=1,E59&gt;F58),1)+IF(AND(Q59=1,Q60=1,G59&gt;F60),1)+IF(AND(Q59=2,Q56=2,C59&gt;F56),1)+IF(AND(Q59=2,Q57=2,D59&gt;F57),1)+IF(AND(Q59=2,Q58=2,E59&gt;F58),1)+IF(AND(Q59=2,Q60=2,G59&gt;F60),1)+IF(AND(Q59=3,Q56=3,C59&gt;F56),1)+IF(AND(Q59=3,Q57=3,D59&gt;F57),1)+IF(AND(Q59=3,Q58=3,E59&gt;F58),1)+IF(AND(Q59=3,Q60=3,G59&gt;F60),1)</f>
        <v>0</v>
      </c>
      <c r="K59" s="427">
        <f>SUM(AND(T59=T56,C59&gt;F56),AND(T59=T57,D59&gt;F57),AND(T59=T58,E59&gt;F58),AND(T59=T60,G59&gt;F60))</f>
        <v>0</v>
      </c>
      <c r="L59" s="434">
        <f>IF(AND(Q59=1,Q56=1),C59-F56)+IF(AND(Q59=1,Q57=1),D59-F57)+IF(AND(Q59=1,Q58=1),E59-F58)+IF(AND(Q59=1,Q60=1),G59-F60)+IF(AND(Q59=2,Q56=2),C59-F56)+IF(AND(Q59=2,Q57=2),D59-F57)+IF(AND(Q59=2,Q58=2),E59-F58)+IF(AND(Q59=2,Q60=2),G59-F60)+IF(AND(Q59=3,Q56=3),C59-F56)+IF(AND(Q59=3,Q57=3),D59-F57)+IF(AND(Q59=3,Q58=3),E59-F58)+IF(AND(Q59=3,Q60=3),G59-F60)+IF(AND(Q59=4,Q56=4),C59-F56)+IF(AND(Q59=4,Q57=4),D59-F57)+IF(AND(Q59=4,Q58=4),E59-F58)+IF(AND(Q59=4,Q60=4),G59-F60)</f>
        <v>0</v>
      </c>
      <c r="M59" s="427">
        <f>SUM(AND(R59=R56,C59&gt;F56),AND(R59=R57,D59&gt;F57),AND(R59=R58,E59&gt;F58),AND(R59=R60,G59&gt;F60))</f>
        <v>0</v>
      </c>
      <c r="N59" s="970" t="str">
        <f>SUM(C59:G59)&amp;"-"&amp;SUM(F56:F60)</f>
        <v>0-0</v>
      </c>
      <c r="O59" s="536">
        <f>C59+D59+E59+G59-F56-F57-F58-F60</f>
        <v>0</v>
      </c>
      <c r="P59" s="429" t="e">
        <f>SUM(C59:G59,F56:F60)/SUM(F56:F60)</f>
        <v>#DIV/0!</v>
      </c>
      <c r="Q59" s="293">
        <f>VALUE(LEFT(H59,1))</f>
        <v>0</v>
      </c>
      <c r="R59" s="431">
        <f>Q59*100000+J59*10000+K59*1000+100*L59</f>
        <v>0</v>
      </c>
      <c r="S59" s="432">
        <f>R59+M59*0.1+IF(ISNONTEXT(B59),0,0.01)+0.0001*O59</f>
        <v>0</v>
      </c>
      <c r="T59" s="433" t="str">
        <f>Q59&amp;J59</f>
        <v>00</v>
      </c>
      <c r="U59" s="62"/>
    </row>
    <row r="60" spans="1:21" x14ac:dyDescent="0.2">
      <c r="A60" s="311">
        <v>5</v>
      </c>
      <c r="B60" s="460"/>
      <c r="C60" s="279"/>
      <c r="D60" s="279"/>
      <c r="E60" s="279"/>
      <c r="F60" s="279"/>
      <c r="G60" s="278"/>
      <c r="H60" s="282" t="str">
        <f>(IF(C60-G56&gt;0,1)+IF(D60-G57&gt;0,1)+IF(E60-G58&gt;0,1)+IF(F60-G59&gt;0,1))&amp;"-"&amp;(IF(C60-G56&lt;0,1)+IF(D60-G57&lt;0,1)+IF(E60-G58&lt;0,1)+IF(F60-G59&lt;0,1))</f>
        <v>0-0</v>
      </c>
      <c r="I60" s="279" t="str">
        <f t="shared" si="12"/>
        <v xml:space="preserve"> </v>
      </c>
      <c r="J60" s="295">
        <f>IF(AND(Q60=1,Q56=1,C60&gt;G56),1)+IF(AND(Q60=1,Q57=1,D60&gt;G57),1)+IF(AND(Q60=1,Q58=1,E60&gt;G58),1)+IF(AND(Q60=1,Q59=1,F60&gt;G59),1)+IF(AND(Q60=2,Q56=2,C60&gt;G56),1)+IF(AND(Q60=2,Q57=2,D60&gt;G57),1)+IF(AND(Q60=2,Q58=2,E60&gt;G58),1)+IF(AND(Q60=2,Q59=2,F60&gt;G59),1)+IF(AND(Q60=3,Q56=3,C60&gt;G56),1)+IF(AND(Q60=3,Q57=3,D60&gt;G57),1)+IF(AND(Q60=3,Q58=3,E60&gt;G58),1)+IF(AND(Q60=3,Q59=3,F60&gt;G59),1)</f>
        <v>0</v>
      </c>
      <c r="K60" s="427">
        <f>SUM(AND(T60=T56,C60&gt;G56),AND(T60=T57,D60&gt;G57),AND(T60=T58,E60&gt;G58),AND(T60=T59,F60&gt;G59))</f>
        <v>0</v>
      </c>
      <c r="L60" s="434">
        <f>IF(AND(Q60=1,Q56=1),C60-G56)+IF(AND(Q60=1,Q57=1),D60-G57)+IF(AND(Q60=1,Q58=1),E60-G58)+IF(AND(Q60=1,Q59=1),F60-G59)+IF(AND(Q60=2,Q56=2),C60-G56)+IF(AND(Q60=2,Q57=2),D60-G57)+IF(AND(Q60=2,Q58=2),E60-G58)+IF(AND(Q60=2,Q59=2),F60-G59)+IF(AND(Q60=3,Q56=3),C60-G56)+IF(AND(Q60=3,Q57=3),D60-G57)+IF(AND(Q60=3,Q58=3),E60-G58)+IF(AND(Q60=3,Q59=3),F60-G59)+IF(AND(Q60=4,Q56=4),C60-G56)+IF(AND(Q60=4,Q57=4),D60-G57)+IF(AND(Q60=4,Q58=4),E60-G58)+IF(AND(Q60=4,Q59=4),F60-G59)</f>
        <v>0</v>
      </c>
      <c r="M60" s="427">
        <f>SUM(AND(R60=R56,C60&gt;G56),AND(R60=R57,D60&gt;G57),AND(R60=R58,E60&gt;G58),AND(R60=R59,F60&gt;G59))</f>
        <v>0</v>
      </c>
      <c r="N60" s="970" t="str">
        <f>SUM(C60:G60)&amp;"-"&amp;SUM(G56:G60)</f>
        <v>0-0</v>
      </c>
      <c r="O60" s="536">
        <f>C60+D60+E60+F60-G56-G57-G58-G59</f>
        <v>0</v>
      </c>
      <c r="P60" s="429" t="e">
        <f>SUM(C60:G60,G56:G60)/SUM(G56:G60)</f>
        <v>#DIV/0!</v>
      </c>
      <c r="Q60" s="293">
        <f>VALUE(LEFT(H60,1))</f>
        <v>0</v>
      </c>
      <c r="R60" s="431">
        <f>Q60*100000+J60*10000+K60*1000+100*L60</f>
        <v>0</v>
      </c>
      <c r="S60" s="432">
        <f>R60+M60*0.1+IF(ISNONTEXT(B60),0,0.01)+0.0001*O60</f>
        <v>0</v>
      </c>
      <c r="T60" s="433" t="str">
        <f>Q60&amp;J60</f>
        <v>00</v>
      </c>
      <c r="U60" s="62"/>
    </row>
    <row r="61" spans="1:21" x14ac:dyDescent="0.2">
      <c r="A61" s="79"/>
      <c r="B61" s="79"/>
      <c r="C61" s="79"/>
      <c r="D61" s="79"/>
      <c r="E61" s="79"/>
      <c r="F61" s="79"/>
      <c r="G61" s="79"/>
      <c r="H61" s="79"/>
      <c r="I61" s="79"/>
      <c r="J61" s="79"/>
      <c r="K61" s="62"/>
      <c r="L61" s="79"/>
      <c r="M61" s="62"/>
      <c r="N61" s="79"/>
      <c r="O61" s="299"/>
      <c r="P61" s="62"/>
      <c r="Q61" s="62"/>
      <c r="R61" s="62"/>
      <c r="S61" s="62"/>
      <c r="T61" s="62"/>
      <c r="U61" s="62"/>
    </row>
    <row r="62" spans="1:21" x14ac:dyDescent="0.2">
      <c r="A62" s="79"/>
      <c r="B62" s="322" t="s">
        <v>171</v>
      </c>
      <c r="C62" s="283" t="s">
        <v>175</v>
      </c>
      <c r="D62" s="445"/>
      <c r="E62" s="79"/>
      <c r="F62" s="62"/>
      <c r="G62" s="79"/>
      <c r="H62" s="79"/>
      <c r="I62" s="79"/>
      <c r="J62" s="79"/>
      <c r="K62" s="62"/>
      <c r="L62" s="79"/>
      <c r="M62" s="62"/>
      <c r="N62" s="79"/>
      <c r="O62" s="299"/>
      <c r="P62" s="62"/>
      <c r="Q62" s="62"/>
      <c r="R62" s="62"/>
      <c r="S62" s="62"/>
      <c r="T62" s="62"/>
      <c r="U62" s="62"/>
    </row>
    <row r="63" spans="1:21" x14ac:dyDescent="0.2">
      <c r="A63" s="79"/>
      <c r="B63" s="322" t="s">
        <v>174</v>
      </c>
      <c r="C63" s="283" t="s">
        <v>191</v>
      </c>
      <c r="D63" s="79"/>
      <c r="E63" s="79"/>
      <c r="F63" s="62"/>
      <c r="G63" s="79"/>
      <c r="H63" s="79"/>
      <c r="I63" s="79"/>
      <c r="J63" s="79"/>
      <c r="K63" s="62"/>
      <c r="L63" s="79"/>
      <c r="M63" s="62"/>
      <c r="N63" s="79"/>
      <c r="O63" s="299"/>
      <c r="P63" s="62"/>
      <c r="Q63" s="62"/>
      <c r="R63" s="62"/>
      <c r="S63" s="62"/>
      <c r="T63" s="62"/>
      <c r="U63" s="62"/>
    </row>
    <row r="64" spans="1:21" x14ac:dyDescent="0.2">
      <c r="A64" s="79"/>
      <c r="B64" s="322" t="s">
        <v>177</v>
      </c>
      <c r="C64" s="283" t="s">
        <v>183</v>
      </c>
      <c r="D64" s="79"/>
      <c r="E64" s="79"/>
      <c r="F64" s="62"/>
      <c r="G64" s="79"/>
      <c r="H64" s="79"/>
      <c r="I64" s="79"/>
      <c r="J64" s="79"/>
      <c r="K64" s="62"/>
      <c r="L64" s="79"/>
      <c r="M64" s="62"/>
      <c r="N64" s="79"/>
      <c r="O64" s="299"/>
      <c r="P64" s="62"/>
      <c r="Q64" s="62"/>
      <c r="R64" s="62"/>
      <c r="S64" s="62"/>
      <c r="T64" s="62"/>
      <c r="U64" s="62"/>
    </row>
    <row r="65" spans="1:21" x14ac:dyDescent="0.2">
      <c r="A65" s="79"/>
      <c r="B65" s="79"/>
      <c r="C65" s="79"/>
      <c r="D65" s="79"/>
      <c r="E65" s="79"/>
      <c r="F65" s="79"/>
      <c r="G65" s="79"/>
      <c r="H65" s="79"/>
      <c r="I65" s="79"/>
      <c r="J65" s="79"/>
      <c r="K65" s="62"/>
      <c r="L65" s="79"/>
      <c r="M65" s="62"/>
      <c r="N65" s="79"/>
      <c r="O65" s="299"/>
      <c r="P65" s="62"/>
      <c r="Q65" s="62"/>
      <c r="R65" s="62"/>
      <c r="S65" s="62"/>
      <c r="T65" s="62"/>
      <c r="U65" s="62"/>
    </row>
    <row r="66" spans="1:21" x14ac:dyDescent="0.2">
      <c r="A66" s="79"/>
      <c r="B66" s="322" t="s">
        <v>171</v>
      </c>
      <c r="C66" s="283" t="s">
        <v>184</v>
      </c>
      <c r="D66" s="283" t="s">
        <v>183</v>
      </c>
      <c r="E66" s="79"/>
      <c r="F66" s="79"/>
      <c r="G66" s="79"/>
      <c r="H66" s="79"/>
      <c r="I66" s="79"/>
      <c r="J66" s="79"/>
      <c r="K66" s="62"/>
      <c r="L66" s="79"/>
      <c r="M66" s="62"/>
      <c r="N66" s="79"/>
      <c r="O66" s="299"/>
      <c r="P66" s="62"/>
      <c r="Q66" s="62"/>
      <c r="R66" s="62"/>
      <c r="S66" s="62"/>
      <c r="T66" s="62"/>
      <c r="U66" s="62"/>
    </row>
    <row r="67" spans="1:21" x14ac:dyDescent="0.2">
      <c r="A67" s="79"/>
      <c r="B67" s="322" t="s">
        <v>174</v>
      </c>
      <c r="C67" s="283" t="s">
        <v>175</v>
      </c>
      <c r="D67" s="283" t="s">
        <v>173</v>
      </c>
      <c r="E67" s="79"/>
      <c r="F67" s="79"/>
      <c r="G67" s="79"/>
      <c r="H67" s="79"/>
      <c r="I67" s="79"/>
      <c r="J67" s="79"/>
      <c r="K67" s="62"/>
      <c r="L67" s="79"/>
      <c r="M67" s="62"/>
      <c r="N67" s="79"/>
      <c r="O67" s="299"/>
      <c r="P67" s="62"/>
      <c r="Q67" s="62"/>
      <c r="R67" s="62"/>
      <c r="S67" s="62"/>
      <c r="T67" s="62"/>
      <c r="U67" s="62"/>
    </row>
    <row r="68" spans="1:21" x14ac:dyDescent="0.2">
      <c r="A68" s="79"/>
      <c r="B68" s="322" t="s">
        <v>177</v>
      </c>
      <c r="C68" s="283" t="s">
        <v>191</v>
      </c>
      <c r="D68" s="283" t="s">
        <v>179</v>
      </c>
      <c r="E68" s="79"/>
      <c r="F68" s="79"/>
      <c r="G68" s="79"/>
      <c r="H68" s="79"/>
      <c r="I68" s="79"/>
      <c r="J68" s="79"/>
      <c r="K68" s="62"/>
      <c r="L68" s="79"/>
      <c r="M68" s="62"/>
      <c r="N68" s="79"/>
      <c r="O68" s="299"/>
      <c r="P68" s="62"/>
      <c r="Q68" s="62"/>
      <c r="R68" s="62"/>
      <c r="S68" s="62"/>
      <c r="T68" s="62"/>
      <c r="U68" s="62"/>
    </row>
    <row r="69" spans="1:21" x14ac:dyDescent="0.2">
      <c r="A69" s="79"/>
      <c r="B69" s="330"/>
      <c r="C69" s="140"/>
      <c r="D69" s="140"/>
      <c r="E69" s="79"/>
      <c r="F69" s="79"/>
      <c r="G69" s="79"/>
      <c r="H69" s="79"/>
      <c r="I69" s="79"/>
      <c r="J69" s="79"/>
      <c r="K69" s="62"/>
      <c r="L69" s="79"/>
      <c r="M69" s="62"/>
      <c r="N69" s="79"/>
      <c r="O69" s="299"/>
      <c r="P69" s="62"/>
      <c r="Q69" s="62"/>
      <c r="R69" s="62"/>
      <c r="S69" s="62"/>
      <c r="T69" s="62"/>
      <c r="U69" s="62"/>
    </row>
    <row r="70" spans="1:21" x14ac:dyDescent="0.2">
      <c r="A70" s="79"/>
      <c r="B70" s="322" t="s">
        <v>171</v>
      </c>
      <c r="C70" s="283" t="s">
        <v>172</v>
      </c>
      <c r="D70" s="283" t="s">
        <v>173</v>
      </c>
      <c r="E70" s="79"/>
      <c r="F70" s="62"/>
      <c r="G70" s="62"/>
      <c r="H70" s="79"/>
      <c r="I70" s="79"/>
      <c r="J70" s="79"/>
      <c r="K70" s="62"/>
      <c r="L70" s="79"/>
      <c r="M70" s="62"/>
      <c r="N70" s="79"/>
      <c r="O70" s="299"/>
      <c r="P70" s="62"/>
      <c r="Q70" s="62"/>
      <c r="R70" s="62"/>
      <c r="S70" s="62"/>
      <c r="T70" s="62"/>
      <c r="U70" s="62"/>
    </row>
    <row r="71" spans="1:21" x14ac:dyDescent="0.2">
      <c r="A71" s="79"/>
      <c r="B71" s="322" t="s">
        <v>174</v>
      </c>
      <c r="C71" s="283" t="s">
        <v>184</v>
      </c>
      <c r="D71" s="283" t="s">
        <v>183</v>
      </c>
      <c r="E71" s="79"/>
      <c r="F71" s="62"/>
      <c r="G71" s="62"/>
      <c r="H71" s="62"/>
      <c r="I71" s="79"/>
      <c r="J71" s="79"/>
      <c r="K71" s="62"/>
      <c r="L71" s="79"/>
      <c r="M71" s="62"/>
      <c r="N71" s="79"/>
      <c r="O71" s="299"/>
      <c r="P71" s="62"/>
      <c r="Q71" s="62"/>
      <c r="R71" s="62"/>
      <c r="S71" s="62"/>
      <c r="T71" s="62"/>
      <c r="U71" s="62"/>
    </row>
    <row r="72" spans="1:21" x14ac:dyDescent="0.2">
      <c r="A72" s="79"/>
      <c r="B72" s="322" t="s">
        <v>177</v>
      </c>
      <c r="C72" s="283" t="s">
        <v>175</v>
      </c>
      <c r="D72" s="283" t="s">
        <v>176</v>
      </c>
      <c r="E72" s="79"/>
      <c r="F72" s="62"/>
      <c r="G72" s="62"/>
      <c r="H72" s="79"/>
      <c r="I72" s="79"/>
      <c r="J72" s="79"/>
      <c r="K72" s="62"/>
      <c r="L72" s="79"/>
      <c r="M72" s="62"/>
      <c r="N72" s="79"/>
      <c r="O72" s="299"/>
      <c r="P72" s="62"/>
      <c r="Q72" s="62"/>
      <c r="R72" s="62"/>
      <c r="S72" s="62"/>
      <c r="T72" s="62"/>
      <c r="U72" s="62"/>
    </row>
    <row r="73" spans="1:21" x14ac:dyDescent="0.2">
      <c r="A73" s="79"/>
      <c r="B73" s="322" t="s">
        <v>180</v>
      </c>
      <c r="C73" s="446" t="s">
        <v>191</v>
      </c>
      <c r="D73" s="283" t="s">
        <v>181</v>
      </c>
      <c r="E73" s="79"/>
      <c r="F73" s="62"/>
      <c r="G73" s="62"/>
      <c r="H73" s="79"/>
      <c r="I73" s="79"/>
      <c r="J73" s="79"/>
      <c r="K73" s="62"/>
      <c r="L73" s="79"/>
      <c r="M73" s="62"/>
      <c r="N73" s="79"/>
      <c r="O73" s="299"/>
      <c r="P73" s="62"/>
      <c r="Q73" s="62"/>
      <c r="R73" s="62"/>
      <c r="S73" s="62"/>
      <c r="T73" s="62"/>
      <c r="U73" s="62"/>
    </row>
    <row r="74" spans="1:21" x14ac:dyDescent="0.2">
      <c r="A74" s="79"/>
      <c r="B74" s="322" t="s">
        <v>182</v>
      </c>
      <c r="C74" s="283" t="s">
        <v>178</v>
      </c>
      <c r="D74" s="283" t="s">
        <v>179</v>
      </c>
      <c r="E74" s="79"/>
      <c r="F74" s="62"/>
      <c r="G74" s="62"/>
      <c r="H74" s="79"/>
      <c r="I74" s="79"/>
      <c r="J74" s="79"/>
      <c r="K74" s="62"/>
      <c r="L74" s="79"/>
      <c r="M74" s="62"/>
      <c r="N74" s="79"/>
      <c r="O74" s="299"/>
      <c r="P74" s="62"/>
      <c r="Q74" s="62"/>
      <c r="R74" s="62"/>
      <c r="S74" s="62"/>
      <c r="T74" s="62"/>
      <c r="U74" s="62"/>
    </row>
    <row r="76" spans="1:21" x14ac:dyDescent="0.2">
      <c r="B76" s="1" t="s">
        <v>490</v>
      </c>
    </row>
    <row r="77" spans="1:21" x14ac:dyDescent="0.2">
      <c r="B77" s="1" t="s">
        <v>489</v>
      </c>
    </row>
    <row r="78" spans="1:21" x14ac:dyDescent="0.2">
      <c r="B78" s="1" t="s">
        <v>488</v>
      </c>
    </row>
    <row r="79" spans="1:21" hidden="1" x14ac:dyDescent="0.2"/>
    <row r="80" spans="1:21"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spans="1:9" hidden="1" x14ac:dyDescent="0.2"/>
    <row r="98" spans="1:9" hidden="1" x14ac:dyDescent="0.2"/>
    <row r="100" spans="1:9" x14ac:dyDescent="0.2">
      <c r="A100" s="286" t="s">
        <v>192</v>
      </c>
      <c r="B100" s="287"/>
      <c r="C100" s="288"/>
      <c r="D100" s="288"/>
      <c r="E100" s="288"/>
      <c r="F100" s="285"/>
      <c r="G100" s="283"/>
      <c r="H100" s="269"/>
      <c r="I100" s="151"/>
    </row>
    <row r="101" spans="1:9" x14ac:dyDescent="0.2">
      <c r="A101" s="269"/>
      <c r="B101" s="269"/>
      <c r="C101" s="269"/>
      <c r="D101" s="269"/>
      <c r="E101" s="269"/>
      <c r="F101" s="269"/>
      <c r="G101" s="269"/>
      <c r="H101" s="269"/>
      <c r="I101" s="151"/>
    </row>
    <row r="102" spans="1:9" x14ac:dyDescent="0.2">
      <c r="A102" s="300" t="s">
        <v>193</v>
      </c>
      <c r="B102" s="289" t="str">
        <f>IFERROR(INDEX(B$1:B$100,MATCH(A102,I$1:I$100,0)),"")</f>
        <v/>
      </c>
      <c r="C102" s="301" t="str">
        <f>IF(B102="-",0,IF(B104="-",13,""))</f>
        <v/>
      </c>
      <c r="D102" s="269"/>
      <c r="E102" s="269"/>
      <c r="F102" s="269"/>
      <c r="G102" s="269"/>
      <c r="H102" s="269"/>
      <c r="I102" s="151"/>
    </row>
    <row r="103" spans="1:9" x14ac:dyDescent="0.2">
      <c r="A103" s="302"/>
      <c r="B103" s="449"/>
      <c r="C103" s="303" t="str">
        <f>IF(COUNT(C102,C104)=2,IF(C102&gt;C104,B102,B104),"")</f>
        <v/>
      </c>
      <c r="D103" s="269"/>
      <c r="E103" s="301" t="str">
        <f>IF(C103="-",0,IF(C107="-",13,""))</f>
        <v/>
      </c>
      <c r="F103" s="269"/>
      <c r="G103" s="269"/>
      <c r="H103" s="269"/>
      <c r="I103" s="269"/>
    </row>
    <row r="104" spans="1:9" x14ac:dyDescent="0.2">
      <c r="A104" s="302" t="s">
        <v>194</v>
      </c>
      <c r="B104" s="450" t="str">
        <f>IFERROR(INDEX(B$1:B$100,MATCH(A104,I$1:I$100,0)),"")</f>
        <v/>
      </c>
      <c r="C104" s="304" t="str">
        <f>IF(B104="-",0,IF(B102="-",13,""))</f>
        <v/>
      </c>
      <c r="D104" s="336"/>
      <c r="E104" s="269"/>
      <c r="F104" s="269"/>
      <c r="G104" s="269"/>
      <c r="H104" s="269"/>
      <c r="I104" s="269"/>
    </row>
    <row r="105" spans="1:9" x14ac:dyDescent="0.2">
      <c r="A105" s="302"/>
      <c r="B105" s="292"/>
      <c r="C105" s="269"/>
      <c r="D105" s="305"/>
      <c r="E105" s="303" t="str">
        <f>IF(COUNT(E103,E107)=2,IF(E103&gt;E107,C103,C107),"")</f>
        <v/>
      </c>
      <c r="F105" s="269"/>
      <c r="G105" s="301" t="str">
        <f>IF(E105="-",0,IF(E113="-",13,""))</f>
        <v/>
      </c>
      <c r="H105" s="269"/>
      <c r="I105" s="269"/>
    </row>
    <row r="106" spans="1:9" x14ac:dyDescent="0.2">
      <c r="A106" s="302" t="s">
        <v>195</v>
      </c>
      <c r="B106" s="289" t="str">
        <f>IFERROR(INDEX(B$1:B$100,MATCH(A106,I$1:I$100,0)),"")</f>
        <v/>
      </c>
      <c r="C106" s="301" t="str">
        <f>IF(B106="-",0,IF(B108="-",13,""))</f>
        <v/>
      </c>
      <c r="D106" s="305"/>
      <c r="E106" s="306"/>
      <c r="F106" s="336"/>
      <c r="G106" s="269"/>
      <c r="H106" s="269"/>
      <c r="I106" s="269"/>
    </row>
    <row r="107" spans="1:9" x14ac:dyDescent="0.2">
      <c r="A107" s="302"/>
      <c r="B107" s="449"/>
      <c r="C107" s="303" t="str">
        <f>IF(COUNT(C106,C108)=2,IF(C106&gt;C108,B106,B108),"")</f>
        <v/>
      </c>
      <c r="D107" s="451"/>
      <c r="E107" s="304" t="str">
        <f>IF(C107="-",0,IF(C103="-",13,""))</f>
        <v/>
      </c>
      <c r="F107" s="305"/>
      <c r="G107" s="269"/>
      <c r="H107" s="269"/>
      <c r="I107" s="269"/>
    </row>
    <row r="108" spans="1:9" x14ac:dyDescent="0.2">
      <c r="A108" s="302" t="s">
        <v>196</v>
      </c>
      <c r="B108" s="450" t="str">
        <f>IFERROR(INDEX(B$1:B$100,MATCH(A108,I$1:I$100,0)),"")</f>
        <v/>
      </c>
      <c r="C108" s="304" t="str">
        <f>IF(B108="-",0,IF(B106="-",13,""))</f>
        <v/>
      </c>
      <c r="D108" s="269"/>
      <c r="E108" s="287"/>
      <c r="F108" s="305"/>
      <c r="G108" s="269"/>
      <c r="H108" s="269"/>
      <c r="I108" s="269"/>
    </row>
    <row r="109" spans="1:9" ht="13.5" thickBot="1" x14ac:dyDescent="0.25">
      <c r="A109" s="268"/>
      <c r="B109" s="292"/>
      <c r="C109" s="269"/>
      <c r="D109" s="269"/>
      <c r="E109" s="287"/>
      <c r="F109" s="305"/>
      <c r="G109" s="269"/>
      <c r="H109" s="452" t="str">
        <f>IF(COUNT(G105,G113)=2,IF(G105&gt;G113,E105,E113),"")</f>
        <v/>
      </c>
      <c r="I109" s="269"/>
    </row>
    <row r="110" spans="1:9" x14ac:dyDescent="0.2">
      <c r="A110" s="300" t="s">
        <v>197</v>
      </c>
      <c r="B110" s="289" t="str">
        <f>IFERROR(INDEX(B$1:B$100,MATCH(A110,I$1:I$100,0)),"")</f>
        <v/>
      </c>
      <c r="C110" s="301" t="str">
        <f>IF(B110="-",0,IF(B112="-",13,""))</f>
        <v/>
      </c>
      <c r="D110" s="269"/>
      <c r="E110" s="269"/>
      <c r="F110" s="305"/>
      <c r="G110" s="307"/>
      <c r="H110" s="290" t="s">
        <v>185</v>
      </c>
      <c r="I110" s="453"/>
    </row>
    <row r="111" spans="1:9" x14ac:dyDescent="0.2">
      <c r="A111" s="302"/>
      <c r="B111" s="449"/>
      <c r="C111" s="303" t="str">
        <f>IF(COUNT(C110,C112)=2,IF(C110&gt;C112,B110,B112),"")</f>
        <v/>
      </c>
      <c r="D111" s="269"/>
      <c r="E111" s="301" t="str">
        <f>IF(C111="-",0,IF(C115="-",13,""))</f>
        <v/>
      </c>
      <c r="F111" s="305"/>
      <c r="G111" s="287"/>
      <c r="H111" s="269"/>
      <c r="I111" s="269"/>
    </row>
    <row r="112" spans="1:9" x14ac:dyDescent="0.2">
      <c r="A112" s="302" t="s">
        <v>198</v>
      </c>
      <c r="B112" s="450" t="str">
        <f>IFERROR(INDEX(B$1:B$100,MATCH(A112,I$1:I$100,0)),"")</f>
        <v/>
      </c>
      <c r="C112" s="304" t="str">
        <f>IF(B112="-",0,IF(B110="-",13,""))</f>
        <v/>
      </c>
      <c r="D112" s="336"/>
      <c r="E112" s="269"/>
      <c r="F112" s="305"/>
      <c r="G112" s="287"/>
      <c r="H112" s="269"/>
      <c r="I112" s="269"/>
    </row>
    <row r="113" spans="1:9" x14ac:dyDescent="0.2">
      <c r="A113" s="302"/>
      <c r="B113" s="292"/>
      <c r="C113" s="269"/>
      <c r="D113" s="305"/>
      <c r="E113" s="303" t="str">
        <f>IF(COUNT(E111,E115)=2,IF(E111&gt;E115,C111,C115),"")</f>
        <v/>
      </c>
      <c r="F113" s="451"/>
      <c r="G113" s="304" t="str">
        <f>IF(E113="-",0,IF(E105="-",13,""))</f>
        <v/>
      </c>
      <c r="H113" s="269"/>
      <c r="I113" s="269"/>
    </row>
    <row r="114" spans="1:9" ht="13.5" thickBot="1" x14ac:dyDescent="0.25">
      <c r="A114" s="302" t="s">
        <v>200</v>
      </c>
      <c r="B114" s="289" t="str">
        <f>IFERROR(INDEX(B$1:B$100,MATCH(A114,I$1:I$100,0)),"")</f>
        <v/>
      </c>
      <c r="C114" s="301" t="str">
        <f>IF(B114="-",0,IF(B116="-",13,""))</f>
        <v/>
      </c>
      <c r="D114" s="305"/>
      <c r="E114" s="306"/>
      <c r="F114" s="287"/>
      <c r="G114" s="287"/>
      <c r="H114" s="452" t="str">
        <f>IF(COUNT(G105,G113)=2,IF(G105&lt;G113,E105,E113),"")</f>
        <v/>
      </c>
      <c r="I114" s="454"/>
    </row>
    <row r="115" spans="1:9" x14ac:dyDescent="0.2">
      <c r="A115" s="302"/>
      <c r="B115" s="449"/>
      <c r="C115" s="303" t="str">
        <f>IF(COUNT(C114,C116)=2,IF(C114&gt;C116,B114,B116),"")</f>
        <v/>
      </c>
      <c r="D115" s="451"/>
      <c r="E115" s="304" t="str">
        <f>IF(C115="-",0,IF(C111="-",13,""))</f>
        <v/>
      </c>
      <c r="F115" s="269"/>
      <c r="G115" s="287"/>
      <c r="H115" s="290" t="s">
        <v>186</v>
      </c>
      <c r="I115" s="287"/>
    </row>
    <row r="116" spans="1:9" x14ac:dyDescent="0.2">
      <c r="A116" s="302" t="s">
        <v>199</v>
      </c>
      <c r="B116" s="450" t="str">
        <f>IFERROR(INDEX(B$1:B$100,MATCH(A116,I$1:I$100,0)),"")</f>
        <v/>
      </c>
      <c r="C116" s="304" t="str">
        <f>IF(B116="-",0,IF(B114="-",13,""))</f>
        <v/>
      </c>
      <c r="D116" s="269"/>
      <c r="E116" s="287"/>
      <c r="F116" s="287"/>
      <c r="G116" s="287"/>
      <c r="H116" s="269"/>
      <c r="I116" s="269"/>
    </row>
    <row r="117" spans="1:9" x14ac:dyDescent="0.2">
      <c r="A117" s="268"/>
      <c r="B117" s="292"/>
      <c r="C117" s="269"/>
      <c r="D117" s="269"/>
      <c r="E117" s="284" t="str">
        <f>IF(COUNT(E103,E107)=2,IF(E103&lt;E107,C103,C107),"")</f>
        <v/>
      </c>
      <c r="F117" s="269"/>
      <c r="G117" s="301" t="str">
        <f>IF(E117="-",0,IF(E119="-",13,""))</f>
        <v/>
      </c>
      <c r="H117" s="269"/>
      <c r="I117" s="269"/>
    </row>
    <row r="118" spans="1:9" ht="13.5" thickBot="1" x14ac:dyDescent="0.25">
      <c r="A118" s="269"/>
      <c r="B118" s="269"/>
      <c r="C118" s="269"/>
      <c r="D118" s="269"/>
      <c r="E118" s="455"/>
      <c r="F118" s="336"/>
      <c r="G118" s="454"/>
      <c r="H118" s="452" t="str">
        <f>IF(COUNT(G117,G119)=2,IF(G117&gt;G119,E117,E119),"")</f>
        <v/>
      </c>
      <c r="I118" s="454"/>
    </row>
    <row r="119" spans="1:9" x14ac:dyDescent="0.2">
      <c r="A119" s="269"/>
      <c r="B119" s="269"/>
      <c r="C119" s="269"/>
      <c r="D119" s="269"/>
      <c r="E119" s="456" t="str">
        <f>IF(COUNT(E111,E115)=2,IF(E111&lt;E115,C111,C115),"")</f>
        <v/>
      </c>
      <c r="F119" s="451"/>
      <c r="G119" s="304" t="str">
        <f>IF(E119="-",0,IF(E117="-",13,""))</f>
        <v/>
      </c>
      <c r="H119" s="296" t="s">
        <v>187</v>
      </c>
      <c r="I119" s="287"/>
    </row>
    <row r="120" spans="1:9" x14ac:dyDescent="0.2">
      <c r="A120" s="269"/>
      <c r="B120" s="269"/>
      <c r="C120" s="269"/>
      <c r="D120" s="269"/>
      <c r="E120" s="269"/>
      <c r="F120" s="269"/>
      <c r="G120" s="269"/>
      <c r="H120" s="287"/>
      <c r="I120" s="287"/>
    </row>
    <row r="121" spans="1:9" ht="13.5" thickBot="1" x14ac:dyDescent="0.25">
      <c r="A121" s="269"/>
      <c r="B121" s="269"/>
      <c r="C121" s="269"/>
      <c r="D121" s="269"/>
      <c r="E121" s="287"/>
      <c r="F121" s="287"/>
      <c r="G121" s="269"/>
      <c r="H121" s="452" t="str">
        <f>IF(COUNT(G117,G119)=2,IF(G117&lt;G119,E117,E119),"")</f>
        <v/>
      </c>
      <c r="I121" s="454"/>
    </row>
    <row r="122" spans="1:9" x14ac:dyDescent="0.2">
      <c r="A122" s="269"/>
      <c r="B122" s="269"/>
      <c r="C122" s="269"/>
      <c r="D122" s="269"/>
      <c r="E122" s="269"/>
      <c r="F122" s="269"/>
      <c r="G122" s="269"/>
      <c r="H122" s="268" t="s">
        <v>188</v>
      </c>
      <c r="I122" s="269"/>
    </row>
    <row r="123" spans="1:9" x14ac:dyDescent="0.2">
      <c r="A123" s="269"/>
      <c r="B123" s="269"/>
      <c r="C123" s="456" t="str">
        <f>IF(COUNT(C102,C104)=2,IF(C102&lt;C104,B102,B104),"")</f>
        <v/>
      </c>
      <c r="D123" s="269"/>
      <c r="E123" s="301" t="str">
        <f>IF(C123="-",0,IF(C125="-",13,""))</f>
        <v/>
      </c>
      <c r="F123" s="301"/>
      <c r="G123" s="301"/>
      <c r="H123" s="269"/>
      <c r="I123" s="269"/>
    </row>
    <row r="124" spans="1:9" x14ac:dyDescent="0.2">
      <c r="A124" s="269"/>
      <c r="B124" s="269"/>
      <c r="C124" s="457"/>
      <c r="D124" s="337"/>
      <c r="E124" s="303" t="str">
        <f>IF(COUNT(E123,E125)=2,IF(E123&gt;E125,C123,C125),"")</f>
        <v/>
      </c>
      <c r="F124" s="269"/>
      <c r="G124" s="301" t="str">
        <f>IF(E124="-",0,IF(E128="-",13,""))</f>
        <v/>
      </c>
      <c r="H124" s="269"/>
      <c r="I124" s="269"/>
    </row>
    <row r="125" spans="1:9" x14ac:dyDescent="0.2">
      <c r="A125" s="269"/>
      <c r="B125" s="269"/>
      <c r="C125" s="456" t="str">
        <f>IF(COUNT(C106,C108)=2,IF(C106&lt;C108,B106,B108),"")</f>
        <v/>
      </c>
      <c r="D125" s="458"/>
      <c r="E125" s="304" t="str">
        <f>IF(C125="-",0,IF(C123="-",13,""))</f>
        <v/>
      </c>
      <c r="F125" s="337"/>
      <c r="G125" s="301"/>
      <c r="H125" s="269"/>
      <c r="I125" s="269"/>
    </row>
    <row r="126" spans="1:9" ht="13.5" thickBot="1" x14ac:dyDescent="0.25">
      <c r="A126" s="269"/>
      <c r="B126" s="269"/>
      <c r="C126" s="301"/>
      <c r="D126" s="301"/>
      <c r="E126" s="269"/>
      <c r="F126" s="309"/>
      <c r="G126" s="301"/>
      <c r="H126" s="452" t="str">
        <f>IF(COUNT(G124,G128)=2,IF(G124&gt;G128,E124,E128),"")</f>
        <v/>
      </c>
      <c r="I126" s="269"/>
    </row>
    <row r="127" spans="1:9" x14ac:dyDescent="0.2">
      <c r="A127" s="269"/>
      <c r="B127" s="269"/>
      <c r="C127" s="456" t="str">
        <f>IF(COUNT(C110,C112)=2,IF(C110&lt;C112,B110,B112),"")</f>
        <v/>
      </c>
      <c r="D127" s="301"/>
      <c r="E127" s="301" t="str">
        <f>IF(C127="-",0,IF(C129="-",13,""))</f>
        <v/>
      </c>
      <c r="F127" s="309"/>
      <c r="G127" s="310"/>
      <c r="H127" s="290" t="s">
        <v>189</v>
      </c>
      <c r="I127" s="453"/>
    </row>
    <row r="128" spans="1:9" x14ac:dyDescent="0.2">
      <c r="A128" s="269"/>
      <c r="B128" s="269"/>
      <c r="C128" s="457"/>
      <c r="D128" s="337"/>
      <c r="E128" s="303" t="str">
        <f>IF(COUNT(E127,E129)=2,IF(E127&gt;E129,C127,C129),"")</f>
        <v/>
      </c>
      <c r="F128" s="451"/>
      <c r="G128" s="304" t="str">
        <f>IF(E128="-",0,IF(E124="-",13,""))</f>
        <v/>
      </c>
      <c r="H128" s="269"/>
      <c r="I128" s="269"/>
    </row>
    <row r="129" spans="1:9" ht="13.5" thickBot="1" x14ac:dyDescent="0.25">
      <c r="A129" s="269"/>
      <c r="B129" s="269"/>
      <c r="C129" s="456" t="str">
        <f>IF(COUNT(C114,C116)=2,IF(C114&lt;C116,B114,B116),"")</f>
        <v/>
      </c>
      <c r="D129" s="458"/>
      <c r="E129" s="304" t="str">
        <f>IF(C129="-",0,IF(C127="-",13,""))</f>
        <v/>
      </c>
      <c r="F129" s="301"/>
      <c r="G129" s="308"/>
      <c r="H129" s="452" t="str">
        <f>IF(COUNT(G124,G128)=2,IF(G124&lt;G128,E124,E128),"")</f>
        <v/>
      </c>
      <c r="I129" s="454"/>
    </row>
    <row r="130" spans="1:9" x14ac:dyDescent="0.2">
      <c r="A130" s="269"/>
      <c r="B130" s="269"/>
      <c r="C130" s="301"/>
      <c r="D130" s="301"/>
      <c r="E130" s="301"/>
      <c r="F130" s="301"/>
      <c r="G130" s="308"/>
      <c r="H130" s="290" t="s">
        <v>190</v>
      </c>
      <c r="I130" s="287"/>
    </row>
    <row r="131" spans="1:9" x14ac:dyDescent="0.2">
      <c r="A131" s="269"/>
      <c r="B131" s="269"/>
      <c r="C131" s="301"/>
      <c r="D131" s="308"/>
      <c r="E131" s="284" t="str">
        <f>IF(COUNT(E123,E125)=2,IF(E123&lt;E125,C123,C125),"")</f>
        <v/>
      </c>
      <c r="F131" s="269"/>
      <c r="G131" s="301" t="str">
        <f>IF(E131="-",0,IF(E133="-",13,""))</f>
        <v/>
      </c>
      <c r="H131" s="287"/>
      <c r="I131" s="287"/>
    </row>
    <row r="132" spans="1:9" ht="13.5" thickBot="1" x14ac:dyDescent="0.25">
      <c r="A132" s="269"/>
      <c r="B132" s="269"/>
      <c r="C132" s="301"/>
      <c r="D132" s="308"/>
      <c r="E132" s="455"/>
      <c r="F132" s="336"/>
      <c r="G132" s="454"/>
      <c r="H132" s="452" t="str">
        <f>IF(COUNT(G131,G133)=2,IF(G131&gt;G133,E131,E133),"")</f>
        <v/>
      </c>
      <c r="I132" s="454"/>
    </row>
    <row r="133" spans="1:9" x14ac:dyDescent="0.2">
      <c r="A133" s="269"/>
      <c r="B133" s="269"/>
      <c r="C133" s="301"/>
      <c r="D133" s="308"/>
      <c r="E133" s="456" t="str">
        <f>IF(COUNT(E127,E129)=2,IF(E127&lt;E129,C127,C129),"")</f>
        <v/>
      </c>
      <c r="F133" s="451"/>
      <c r="G133" s="304" t="str">
        <f>IF(E133="-",0,IF(E131="-",13,""))</f>
        <v/>
      </c>
      <c r="H133" s="290" t="s">
        <v>201</v>
      </c>
      <c r="I133" s="287"/>
    </row>
    <row r="134" spans="1:9" x14ac:dyDescent="0.2">
      <c r="A134" s="269"/>
      <c r="B134" s="269"/>
      <c r="C134" s="269"/>
      <c r="D134" s="287"/>
      <c r="E134" s="269"/>
      <c r="F134" s="269"/>
      <c r="G134" s="269"/>
      <c r="H134" s="287"/>
      <c r="I134" s="287"/>
    </row>
    <row r="135" spans="1:9" ht="13.5" thickBot="1" x14ac:dyDescent="0.25">
      <c r="A135" s="269"/>
      <c r="B135" s="269"/>
      <c r="C135" s="269"/>
      <c r="D135" s="269"/>
      <c r="E135" s="287"/>
      <c r="F135" s="287"/>
      <c r="G135" s="269"/>
      <c r="H135" s="454" t="str">
        <f>IF(COUNT(G131,G133)=2,IF(G131&lt;G133,E131,E133),"")</f>
        <v/>
      </c>
      <c r="I135" s="454"/>
    </row>
    <row r="136" spans="1:9" x14ac:dyDescent="0.2">
      <c r="A136" s="80"/>
      <c r="B136" s="140"/>
      <c r="C136" s="285"/>
      <c r="D136" s="285"/>
      <c r="E136" s="285"/>
      <c r="F136" s="285"/>
      <c r="G136" s="323"/>
      <c r="H136" s="290" t="s">
        <v>202</v>
      </c>
      <c r="I136" s="79"/>
    </row>
    <row r="138" spans="1:9" x14ac:dyDescent="0.2">
      <c r="A138" s="286" t="s">
        <v>215</v>
      </c>
      <c r="B138" s="287"/>
      <c r="C138" s="288"/>
      <c r="D138" s="288"/>
      <c r="E138" s="288"/>
      <c r="F138" s="285"/>
      <c r="G138" s="283"/>
      <c r="H138" s="269"/>
      <c r="I138" s="151"/>
    </row>
    <row r="139" spans="1:9" x14ac:dyDescent="0.2">
      <c r="A139" s="269"/>
      <c r="B139" s="269"/>
      <c r="C139" s="269"/>
      <c r="D139" s="269"/>
      <c r="E139" s="269"/>
      <c r="F139" s="269"/>
      <c r="G139" s="269"/>
      <c r="H139" s="269"/>
      <c r="I139" s="151"/>
    </row>
    <row r="140" spans="1:9" x14ac:dyDescent="0.2">
      <c r="A140" s="300" t="s">
        <v>203</v>
      </c>
      <c r="B140" s="289" t="str">
        <f>IFERROR(INDEX(B$1:B$100,MATCH(A140,I$1:I$100,0)),"")</f>
        <v/>
      </c>
      <c r="C140" s="301" t="str">
        <f>IF(B140="-",0,IF(B142="-",13,""))</f>
        <v/>
      </c>
      <c r="D140" s="269"/>
      <c r="E140" s="269"/>
      <c r="F140" s="269"/>
      <c r="G140" s="269"/>
      <c r="H140" s="269"/>
      <c r="I140" s="151"/>
    </row>
    <row r="141" spans="1:9" x14ac:dyDescent="0.2">
      <c r="A141" s="302"/>
      <c r="B141" s="449"/>
      <c r="C141" s="303" t="str">
        <f>IF(COUNT(C140,C142)=2,IF(C140&gt;C142,B140,B142),"")</f>
        <v/>
      </c>
      <c r="D141" s="269"/>
      <c r="E141" s="301" t="str">
        <f>IF(C141="-",0,IF(C145="-",13,""))</f>
        <v/>
      </c>
      <c r="F141" s="269"/>
      <c r="G141" s="269"/>
      <c r="H141" s="269"/>
      <c r="I141" s="269"/>
    </row>
    <row r="142" spans="1:9" x14ac:dyDescent="0.2">
      <c r="A142" s="302" t="s">
        <v>266</v>
      </c>
      <c r="B142" s="450" t="str">
        <f>IFERROR(INDEX(B$1:B$100,MATCH(A142,I$1:I$100,0)),"")</f>
        <v/>
      </c>
      <c r="C142" s="304" t="str">
        <f>IF(B142="-",0,IF(B140="-",13,""))</f>
        <v/>
      </c>
      <c r="D142" s="336"/>
      <c r="E142" s="269"/>
      <c r="F142" s="269"/>
      <c r="G142" s="269"/>
      <c r="H142" s="269"/>
      <c r="I142" s="269"/>
    </row>
    <row r="143" spans="1:9" x14ac:dyDescent="0.2">
      <c r="A143" s="302"/>
      <c r="B143" s="292"/>
      <c r="C143" s="269"/>
      <c r="D143" s="305"/>
      <c r="E143" s="303" t="str">
        <f>IF(COUNT(E141,E145)=2,IF(E141&gt;E145,C141,C145),"")</f>
        <v/>
      </c>
      <c r="F143" s="269"/>
      <c r="G143" s="301" t="str">
        <f>IF(E143="-",0,IF(E151="-",13,""))</f>
        <v/>
      </c>
      <c r="H143" s="269"/>
      <c r="I143" s="269"/>
    </row>
    <row r="144" spans="1:9" x14ac:dyDescent="0.2">
      <c r="A144" s="302" t="s">
        <v>204</v>
      </c>
      <c r="B144" s="289" t="str">
        <f>IFERROR(INDEX(B$1:B$100,MATCH(A144,I$1:I$100,0)),"")</f>
        <v/>
      </c>
      <c r="C144" s="301" t="str">
        <f>IF(B144="-",0,IF(B146="-",13,""))</f>
        <v/>
      </c>
      <c r="D144" s="305"/>
      <c r="E144" s="306"/>
      <c r="F144" s="336"/>
      <c r="G144" s="269"/>
      <c r="H144" s="269"/>
      <c r="I144" s="269"/>
    </row>
    <row r="145" spans="1:9" x14ac:dyDescent="0.2">
      <c r="A145" s="302"/>
      <c r="B145" s="449"/>
      <c r="C145" s="303" t="str">
        <f>IF(COUNT(C144,C146)=2,IF(C144&gt;C146,B144,B146),"")</f>
        <v/>
      </c>
      <c r="D145" s="451"/>
      <c r="E145" s="304" t="str">
        <f>IF(C145="-",0,IF(C141="-",13,""))</f>
        <v/>
      </c>
      <c r="F145" s="305"/>
      <c r="G145" s="269"/>
      <c r="H145" s="269"/>
      <c r="I145" s="269"/>
    </row>
    <row r="146" spans="1:9" x14ac:dyDescent="0.2">
      <c r="A146" s="302" t="s">
        <v>267</v>
      </c>
      <c r="B146" s="450" t="str">
        <f>IFERROR(INDEX(B$1:B$100,MATCH(A146,I$1:I$100,0)),"")</f>
        <v/>
      </c>
      <c r="C146" s="304" t="str">
        <f>IF(B146="-",0,IF(B144="-",13,""))</f>
        <v/>
      </c>
      <c r="D146" s="269"/>
      <c r="E146" s="287"/>
      <c r="F146" s="305"/>
      <c r="G146" s="269"/>
      <c r="H146" s="269"/>
      <c r="I146" s="269"/>
    </row>
    <row r="147" spans="1:9" ht="13.5" thickBot="1" x14ac:dyDescent="0.25">
      <c r="A147" s="268"/>
      <c r="B147" s="292"/>
      <c r="C147" s="269"/>
      <c r="D147" s="269"/>
      <c r="E147" s="287"/>
      <c r="F147" s="305"/>
      <c r="G147" s="269"/>
      <c r="H147" s="452" t="str">
        <f>IF(COUNT(G143,G151)=2,IF(G143&gt;G151,E143,E151),"")</f>
        <v/>
      </c>
      <c r="I147" s="269"/>
    </row>
    <row r="148" spans="1:9" x14ac:dyDescent="0.2">
      <c r="A148" s="300" t="s">
        <v>206</v>
      </c>
      <c r="B148" s="289" t="str">
        <f>IFERROR(INDEX(B$1:B$100,MATCH(A148,I$1:I$100,0)),"")</f>
        <v/>
      </c>
      <c r="C148" s="301" t="str">
        <f>IF(B148="-",0,IF(B150="-",13,""))</f>
        <v/>
      </c>
      <c r="D148" s="269"/>
      <c r="E148" s="269"/>
      <c r="F148" s="305"/>
      <c r="G148" s="307"/>
      <c r="H148" s="290" t="s">
        <v>207</v>
      </c>
      <c r="I148" s="453"/>
    </row>
    <row r="149" spans="1:9" x14ac:dyDescent="0.2">
      <c r="A149" s="302"/>
      <c r="B149" s="449"/>
      <c r="C149" s="303" t="str">
        <f>IF(COUNT(C148,C150)=2,IF(C148&gt;C150,B148,B150),"")</f>
        <v/>
      </c>
      <c r="D149" s="269"/>
      <c r="E149" s="301" t="str">
        <f>IF(C149="-",0,IF(C153="-",13,""))</f>
        <v/>
      </c>
      <c r="F149" s="305"/>
      <c r="G149" s="287"/>
      <c r="H149" s="269"/>
      <c r="I149" s="269"/>
    </row>
    <row r="150" spans="1:9" x14ac:dyDescent="0.2">
      <c r="A150" s="302" t="s">
        <v>268</v>
      </c>
      <c r="B150" s="450" t="str">
        <f>IFERROR(INDEX(B$1:B$100,MATCH(A150,I$1:I$100,0)),"")</f>
        <v/>
      </c>
      <c r="C150" s="304" t="str">
        <f>IF(B150="-",0,IF(B148="-",13,""))</f>
        <v/>
      </c>
      <c r="D150" s="336"/>
      <c r="E150" s="269"/>
      <c r="F150" s="305"/>
      <c r="G150" s="287"/>
      <c r="H150" s="269"/>
      <c r="I150" s="269"/>
    </row>
    <row r="151" spans="1:9" x14ac:dyDescent="0.2">
      <c r="A151" s="302"/>
      <c r="B151" s="292"/>
      <c r="C151" s="269"/>
      <c r="D151" s="305"/>
      <c r="E151" s="303" t="str">
        <f>IF(COUNT(E149,E153)=2,IF(E149&gt;E153,C149,C153),"")</f>
        <v/>
      </c>
      <c r="F151" s="451"/>
      <c r="G151" s="304" t="str">
        <f>IF(E151="-",0,IF(E143="-",13,""))</f>
        <v/>
      </c>
      <c r="H151" s="269"/>
      <c r="I151" s="269"/>
    </row>
    <row r="152" spans="1:9" ht="13.5" thickBot="1" x14ac:dyDescent="0.25">
      <c r="A152" s="302" t="s">
        <v>208</v>
      </c>
      <c r="B152" s="289" t="str">
        <f>IFERROR(INDEX(B$1:B$100,MATCH(A152,I$1:I$100,0)),"")</f>
        <v/>
      </c>
      <c r="C152" s="301" t="str">
        <f>IF(B152="-",0,IF(B154="-",13,""))</f>
        <v/>
      </c>
      <c r="D152" s="305"/>
      <c r="E152" s="306"/>
      <c r="F152" s="287"/>
      <c r="G152" s="287"/>
      <c r="H152" s="452" t="str">
        <f>IF(COUNT(G143,G151)=2,IF(G143&lt;G151,E143,E151),"")</f>
        <v/>
      </c>
      <c r="I152" s="454"/>
    </row>
    <row r="153" spans="1:9" x14ac:dyDescent="0.2">
      <c r="A153" s="302"/>
      <c r="B153" s="449"/>
      <c r="C153" s="303" t="str">
        <f>IF(COUNT(C152,C154)=2,IF(C152&gt;C154,B152,B154),"")</f>
        <v/>
      </c>
      <c r="D153" s="451"/>
      <c r="E153" s="304" t="str">
        <f>IF(C153="-",0,IF(C149="-",13,""))</f>
        <v/>
      </c>
      <c r="F153" s="269"/>
      <c r="G153" s="287"/>
      <c r="H153" s="290" t="s">
        <v>209</v>
      </c>
      <c r="I153" s="287"/>
    </row>
    <row r="154" spans="1:9" x14ac:dyDescent="0.2">
      <c r="A154" s="302" t="s">
        <v>269</v>
      </c>
      <c r="B154" s="450" t="str">
        <f>IFERROR(INDEX(B$1:B$100,MATCH(A154,I$1:I$100,0)),"")</f>
        <v/>
      </c>
      <c r="C154" s="304" t="str">
        <f>IF(B154="-",0,IF(B152="-",13,""))</f>
        <v/>
      </c>
      <c r="D154" s="269"/>
      <c r="E154" s="287"/>
      <c r="F154" s="287"/>
      <c r="G154" s="287"/>
      <c r="H154" s="269"/>
      <c r="I154" s="269"/>
    </row>
    <row r="155" spans="1:9" x14ac:dyDescent="0.2">
      <c r="A155" s="268"/>
      <c r="B155" s="292"/>
      <c r="C155" s="269"/>
      <c r="D155" s="269"/>
      <c r="E155" s="284" t="str">
        <f>IF(COUNT(E141,E145)=2,IF(E141&lt;E145,C141,C145),"")</f>
        <v/>
      </c>
      <c r="F155" s="269"/>
      <c r="G155" s="301" t="str">
        <f>IF(E155="-",0,IF(E157="-",13,""))</f>
        <v/>
      </c>
      <c r="H155" s="269"/>
      <c r="I155" s="269"/>
    </row>
    <row r="156" spans="1:9" ht="13.5" thickBot="1" x14ac:dyDescent="0.25">
      <c r="A156" s="269"/>
      <c r="B156" s="269"/>
      <c r="C156" s="269"/>
      <c r="D156" s="269"/>
      <c r="E156" s="455"/>
      <c r="F156" s="336"/>
      <c r="G156" s="454"/>
      <c r="H156" s="452" t="str">
        <f>IF(COUNT(G155,G157)=2,IF(G155&gt;G157,E155,E157),"")</f>
        <v/>
      </c>
      <c r="I156" s="454"/>
    </row>
    <row r="157" spans="1:9" x14ac:dyDescent="0.2">
      <c r="A157" s="269"/>
      <c r="B157" s="269"/>
      <c r="C157" s="269"/>
      <c r="D157" s="269"/>
      <c r="E157" s="456" t="str">
        <f>IF(COUNT(E149,E153)=2,IF(E149&lt;E153,C149,C153),"")</f>
        <v/>
      </c>
      <c r="F157" s="451"/>
      <c r="G157" s="304" t="str">
        <f>IF(E157="-",0,IF(E155="-",13,""))</f>
        <v/>
      </c>
      <c r="H157" s="296" t="s">
        <v>210</v>
      </c>
      <c r="I157" s="287"/>
    </row>
    <row r="158" spans="1:9" x14ac:dyDescent="0.2">
      <c r="A158" s="269"/>
      <c r="B158" s="269"/>
      <c r="C158" s="269"/>
      <c r="D158" s="269"/>
      <c r="E158" s="269"/>
      <c r="F158" s="269"/>
      <c r="G158" s="269"/>
      <c r="H158" s="287"/>
      <c r="I158" s="287"/>
    </row>
    <row r="159" spans="1:9" ht="13.5" thickBot="1" x14ac:dyDescent="0.25">
      <c r="A159" s="269"/>
      <c r="B159" s="269"/>
      <c r="C159" s="269"/>
      <c r="D159" s="269"/>
      <c r="E159" s="287"/>
      <c r="F159" s="287"/>
      <c r="G159" s="269"/>
      <c r="H159" s="452" t="str">
        <f>IF(COUNT(G155,G157)=2,IF(G155&lt;G157,E155,E157),"")</f>
        <v/>
      </c>
      <c r="I159" s="454"/>
    </row>
    <row r="160" spans="1:9" x14ac:dyDescent="0.2">
      <c r="A160" s="269"/>
      <c r="B160" s="269"/>
      <c r="C160" s="269"/>
      <c r="D160" s="269"/>
      <c r="E160" s="269"/>
      <c r="F160" s="269"/>
      <c r="G160" s="269"/>
      <c r="H160" s="268" t="s">
        <v>211</v>
      </c>
      <c r="I160" s="269"/>
    </row>
    <row r="161" spans="1:9" x14ac:dyDescent="0.2">
      <c r="A161" s="269"/>
      <c r="B161" s="269"/>
      <c r="C161" s="456" t="str">
        <f>IF(COUNT(C140,C142)=2,IF(C140&lt;C142,B140,B142),"")</f>
        <v/>
      </c>
      <c r="D161" s="269"/>
      <c r="E161" s="301" t="str">
        <f>IF(C161="-",0,IF(C163="-",13,""))</f>
        <v/>
      </c>
      <c r="F161" s="301"/>
      <c r="G161" s="301"/>
      <c r="H161" s="269"/>
      <c r="I161" s="269"/>
    </row>
    <row r="162" spans="1:9" x14ac:dyDescent="0.2">
      <c r="A162" s="269"/>
      <c r="B162" s="269"/>
      <c r="C162" s="457"/>
      <c r="D162" s="337"/>
      <c r="E162" s="303" t="str">
        <f>IF(COUNT(E161,E163)=2,IF(E161&gt;E163,C161,C163),"")</f>
        <v/>
      </c>
      <c r="F162" s="269"/>
      <c r="G162" s="301" t="str">
        <f>IF(E162="-",0,IF(E166="-",13,""))</f>
        <v/>
      </c>
      <c r="H162" s="269"/>
      <c r="I162" s="269"/>
    </row>
    <row r="163" spans="1:9" x14ac:dyDescent="0.2">
      <c r="A163" s="269"/>
      <c r="B163" s="269"/>
      <c r="C163" s="456" t="str">
        <f>IF(COUNT(C144,C146)=2,IF(C144&lt;C146,B144,B146),"")</f>
        <v/>
      </c>
      <c r="D163" s="458"/>
      <c r="E163" s="304" t="str">
        <f>IF(C163="-",0,IF(C161="-",13,""))</f>
        <v/>
      </c>
      <c r="F163" s="337"/>
      <c r="G163" s="301"/>
      <c r="H163" s="269"/>
      <c r="I163" s="269"/>
    </row>
    <row r="164" spans="1:9" ht="13.5" thickBot="1" x14ac:dyDescent="0.25">
      <c r="A164" s="269"/>
      <c r="B164" s="269"/>
      <c r="C164" s="301"/>
      <c r="D164" s="301"/>
      <c r="E164" s="269"/>
      <c r="F164" s="309"/>
      <c r="G164" s="301"/>
      <c r="H164" s="452" t="str">
        <f>IF(COUNT(G162,G166)=2,IF(G162&gt;G166,E162,E166),"")</f>
        <v/>
      </c>
      <c r="I164" s="269"/>
    </row>
    <row r="165" spans="1:9" x14ac:dyDescent="0.2">
      <c r="A165" s="269"/>
      <c r="B165" s="269"/>
      <c r="C165" s="456" t="str">
        <f>IF(COUNT(C148,C150)=2,IF(C148&lt;C150,B148,B150),"")</f>
        <v/>
      </c>
      <c r="D165" s="301"/>
      <c r="E165" s="301" t="str">
        <f>IF(C165="-",0,IF(C167="-",13,""))</f>
        <v/>
      </c>
      <c r="F165" s="309"/>
      <c r="G165" s="310"/>
      <c r="H165" s="290" t="s">
        <v>212</v>
      </c>
      <c r="I165" s="453"/>
    </row>
    <row r="166" spans="1:9" x14ac:dyDescent="0.2">
      <c r="A166" s="269"/>
      <c r="B166" s="269"/>
      <c r="C166" s="457"/>
      <c r="D166" s="337"/>
      <c r="E166" s="303" t="str">
        <f>IF(COUNT(E165,E167)=2,IF(E165&gt;E167,C165,C167),"")</f>
        <v/>
      </c>
      <c r="F166" s="451"/>
      <c r="G166" s="304" t="str">
        <f>IF(E166="-",0,IF(E162="-",13,""))</f>
        <v/>
      </c>
      <c r="H166" s="269"/>
      <c r="I166" s="269"/>
    </row>
    <row r="167" spans="1:9" ht="13.5" thickBot="1" x14ac:dyDescent="0.25">
      <c r="A167" s="269"/>
      <c r="B167" s="269"/>
      <c r="C167" s="456" t="str">
        <f>IF(COUNT(C152,C154)=2,IF(C152&lt;C154,B152,B154),"")</f>
        <v/>
      </c>
      <c r="D167" s="458"/>
      <c r="E167" s="304" t="str">
        <f>IF(C167="-",0,IF(C165="-",13,""))</f>
        <v/>
      </c>
      <c r="F167" s="301"/>
      <c r="G167" s="308"/>
      <c r="H167" s="452" t="str">
        <f>IF(COUNT(G162,G166)=2,IF(G162&lt;G166,E162,E166),"")</f>
        <v/>
      </c>
      <c r="I167" s="454"/>
    </row>
    <row r="168" spans="1:9" x14ac:dyDescent="0.2">
      <c r="A168" s="269"/>
      <c r="B168" s="269"/>
      <c r="C168" s="301"/>
      <c r="D168" s="301"/>
      <c r="E168" s="301"/>
      <c r="F168" s="301"/>
      <c r="G168" s="308"/>
      <c r="H168" s="290" t="s">
        <v>213</v>
      </c>
      <c r="I168" s="287"/>
    </row>
    <row r="169" spans="1:9" x14ac:dyDescent="0.2">
      <c r="A169" s="269"/>
      <c r="B169" s="269"/>
      <c r="C169" s="301"/>
      <c r="D169" s="308"/>
      <c r="E169" s="284" t="str">
        <f>IF(COUNT(E161,E163)=2,IF(E161&lt;E163,C161,C163),"")</f>
        <v/>
      </c>
      <c r="F169" s="269"/>
      <c r="G169" s="301" t="str">
        <f>IF(E169="-",0,IF(E171="-",13,""))</f>
        <v/>
      </c>
      <c r="H169" s="287"/>
      <c r="I169" s="287"/>
    </row>
    <row r="170" spans="1:9" ht="13.5" thickBot="1" x14ac:dyDescent="0.25">
      <c r="A170" s="269"/>
      <c r="B170" s="269"/>
      <c r="C170" s="301"/>
      <c r="D170" s="308"/>
      <c r="E170" s="455"/>
      <c r="F170" s="336"/>
      <c r="G170" s="454"/>
      <c r="H170" s="452" t="str">
        <f>IF(COUNT(G169,G171)=2,IF(G169&gt;G171,E169,E171),"")</f>
        <v/>
      </c>
      <c r="I170" s="454"/>
    </row>
    <row r="171" spans="1:9" x14ac:dyDescent="0.2">
      <c r="A171" s="269"/>
      <c r="B171" s="269"/>
      <c r="C171" s="301"/>
      <c r="D171" s="308"/>
      <c r="E171" s="456" t="str">
        <f>IF(COUNT(E165,E167)=2,IF(E165&lt;E167,C165,C167),"")</f>
        <v/>
      </c>
      <c r="F171" s="451"/>
      <c r="G171" s="304" t="str">
        <f>IF(E171="-",0,IF(E169="-",13,""))</f>
        <v/>
      </c>
      <c r="H171" s="290" t="s">
        <v>216</v>
      </c>
      <c r="I171" s="287"/>
    </row>
    <row r="172" spans="1:9" x14ac:dyDescent="0.2">
      <c r="A172" s="269"/>
      <c r="B172" s="269"/>
      <c r="C172" s="269"/>
      <c r="D172" s="287"/>
      <c r="E172" s="269"/>
      <c r="F172" s="269"/>
      <c r="G172" s="269"/>
      <c r="H172" s="287"/>
      <c r="I172" s="287"/>
    </row>
    <row r="173" spans="1:9" ht="13.5" thickBot="1" x14ac:dyDescent="0.25">
      <c r="A173" s="269"/>
      <c r="B173" s="269"/>
      <c r="C173" s="269"/>
      <c r="D173" s="269"/>
      <c r="E173" s="287"/>
      <c r="F173" s="287"/>
      <c r="G173" s="269"/>
      <c r="H173" s="454" t="str">
        <f>IF(COUNT(G169,G171)=2,IF(G169&lt;G171,E169,E171),"")</f>
        <v/>
      </c>
      <c r="I173" s="454"/>
    </row>
    <row r="174" spans="1:9" x14ac:dyDescent="0.2">
      <c r="A174" s="80"/>
      <c r="B174" s="140"/>
      <c r="C174" s="285"/>
      <c r="D174" s="285"/>
      <c r="E174" s="285"/>
      <c r="F174" s="285"/>
      <c r="G174" s="323"/>
      <c r="H174" s="290" t="s">
        <v>217</v>
      </c>
      <c r="I174" s="79"/>
    </row>
    <row r="175" spans="1:9" hidden="1" x14ac:dyDescent="0.2"/>
    <row r="176" spans="1:9"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3" hidden="1" x14ac:dyDescent="0.2"/>
    <row r="290" spans="1:3" hidden="1" x14ac:dyDescent="0.2"/>
    <row r="291" spans="1:3" hidden="1" x14ac:dyDescent="0.2"/>
    <row r="292" spans="1:3" hidden="1" x14ac:dyDescent="0.2"/>
    <row r="293" spans="1:3" hidden="1" x14ac:dyDescent="0.2"/>
    <row r="294" spans="1:3" hidden="1" x14ac:dyDescent="0.2"/>
    <row r="295" spans="1:3" hidden="1" x14ac:dyDescent="0.2"/>
    <row r="296" spans="1:3" hidden="1" x14ac:dyDescent="0.2"/>
    <row r="297" spans="1:3" hidden="1" x14ac:dyDescent="0.2"/>
    <row r="299" spans="1:3" x14ac:dyDescent="0.2">
      <c r="A299" s="271"/>
      <c r="B299" s="271"/>
      <c r="C299" s="401" t="s">
        <v>248</v>
      </c>
    </row>
    <row r="300" spans="1:3" x14ac:dyDescent="0.2">
      <c r="A300" s="530">
        <v>1</v>
      </c>
      <c r="B300" s="529" t="str">
        <f t="shared" ref="B300:B305" si="13">IFERROR(INDEX(H$100:H$300,MATCH(A300&amp;". koht",H$101:H$301,0)),"")</f>
        <v/>
      </c>
      <c r="C300" s="499">
        <f>IF(16-A300&gt;0,16-A300,1)</f>
        <v>15</v>
      </c>
    </row>
    <row r="301" spans="1:3" x14ac:dyDescent="0.2">
      <c r="A301" s="530">
        <v>2</v>
      </c>
      <c r="B301" s="529" t="str">
        <f t="shared" si="13"/>
        <v/>
      </c>
      <c r="C301" s="499">
        <f t="shared" ref="C301:C305" si="14">IF(16-A301&gt;0,16-A301,1)</f>
        <v>14</v>
      </c>
    </row>
    <row r="302" spans="1:3" x14ac:dyDescent="0.2">
      <c r="A302" s="530">
        <v>3</v>
      </c>
      <c r="B302" s="529" t="str">
        <f t="shared" si="13"/>
        <v/>
      </c>
      <c r="C302" s="499">
        <f t="shared" si="14"/>
        <v>13</v>
      </c>
    </row>
    <row r="303" spans="1:3" x14ac:dyDescent="0.2">
      <c r="A303" s="530">
        <v>4</v>
      </c>
      <c r="B303" s="529" t="str">
        <f t="shared" si="13"/>
        <v/>
      </c>
      <c r="C303" s="499">
        <f t="shared" si="14"/>
        <v>12</v>
      </c>
    </row>
    <row r="304" spans="1:3" x14ac:dyDescent="0.2">
      <c r="A304" s="530">
        <v>5</v>
      </c>
      <c r="B304" s="529" t="str">
        <f t="shared" si="13"/>
        <v/>
      </c>
      <c r="C304" s="499">
        <f t="shared" si="14"/>
        <v>11</v>
      </c>
    </row>
    <row r="305" spans="1:3" x14ac:dyDescent="0.2">
      <c r="A305" s="530">
        <v>6</v>
      </c>
      <c r="B305" s="529" t="str">
        <f t="shared" si="13"/>
        <v/>
      </c>
      <c r="C305" s="499">
        <f t="shared" si="14"/>
        <v>10</v>
      </c>
    </row>
    <row r="306" spans="1:3" x14ac:dyDescent="0.2">
      <c r="A306" s="530">
        <v>7</v>
      </c>
      <c r="B306" s="529" t="str">
        <f t="shared" ref="B306:B315" si="15">IFERROR(INDEX(H$100:H$300,MATCH(A306&amp;". koht",H$101:H$301,0)),"")</f>
        <v/>
      </c>
      <c r="C306" s="499">
        <f t="shared" ref="C306:C315" si="16">IF(16-A306&gt;0,16-A306,1)</f>
        <v>9</v>
      </c>
    </row>
    <row r="307" spans="1:3" x14ac:dyDescent="0.2">
      <c r="A307" s="530">
        <v>8</v>
      </c>
      <c r="B307" s="529" t="str">
        <f t="shared" si="15"/>
        <v/>
      </c>
      <c r="C307" s="499">
        <f t="shared" si="16"/>
        <v>8</v>
      </c>
    </row>
    <row r="308" spans="1:3" x14ac:dyDescent="0.2">
      <c r="A308" s="530">
        <v>9</v>
      </c>
      <c r="B308" s="529" t="str">
        <f t="shared" si="15"/>
        <v/>
      </c>
      <c r="C308" s="499">
        <f t="shared" si="16"/>
        <v>7</v>
      </c>
    </row>
    <row r="309" spans="1:3" x14ac:dyDescent="0.2">
      <c r="A309" s="530">
        <v>10</v>
      </c>
      <c r="B309" s="529" t="str">
        <f t="shared" si="15"/>
        <v/>
      </c>
      <c r="C309" s="499">
        <f t="shared" si="16"/>
        <v>6</v>
      </c>
    </row>
    <row r="310" spans="1:3" x14ac:dyDescent="0.2">
      <c r="A310" s="530">
        <v>11</v>
      </c>
      <c r="B310" s="529" t="str">
        <f t="shared" si="15"/>
        <v/>
      </c>
      <c r="C310" s="499">
        <f t="shared" si="16"/>
        <v>5</v>
      </c>
    </row>
    <row r="311" spans="1:3" x14ac:dyDescent="0.2">
      <c r="A311" s="530">
        <v>12</v>
      </c>
      <c r="B311" s="529" t="str">
        <f t="shared" si="15"/>
        <v/>
      </c>
      <c r="C311" s="499">
        <f t="shared" si="16"/>
        <v>4</v>
      </c>
    </row>
    <row r="312" spans="1:3" x14ac:dyDescent="0.2">
      <c r="A312" s="530">
        <v>13</v>
      </c>
      <c r="B312" s="529" t="str">
        <f t="shared" si="15"/>
        <v/>
      </c>
      <c r="C312" s="499">
        <f t="shared" si="16"/>
        <v>3</v>
      </c>
    </row>
    <row r="313" spans="1:3" x14ac:dyDescent="0.2">
      <c r="A313" s="530">
        <v>14</v>
      </c>
      <c r="B313" s="529" t="str">
        <f t="shared" si="15"/>
        <v/>
      </c>
      <c r="C313" s="499">
        <f t="shared" si="16"/>
        <v>2</v>
      </c>
    </row>
    <row r="314" spans="1:3" x14ac:dyDescent="0.2">
      <c r="A314" s="530">
        <v>15</v>
      </c>
      <c r="B314" s="529" t="str">
        <f t="shared" si="15"/>
        <v/>
      </c>
      <c r="C314" s="499">
        <f t="shared" si="16"/>
        <v>1</v>
      </c>
    </row>
    <row r="315" spans="1:3" x14ac:dyDescent="0.2">
      <c r="A315" s="530">
        <v>16</v>
      </c>
      <c r="B315" s="529" t="str">
        <f t="shared" si="15"/>
        <v/>
      </c>
      <c r="C315" s="499">
        <f t="shared" si="16"/>
        <v>1</v>
      </c>
    </row>
    <row r="316" spans="1:3" x14ac:dyDescent="0.2">
      <c r="C316" s="477"/>
    </row>
  </sheetData>
  <conditionalFormatting sqref="D7 C8">
    <cfRule type="aboveAverage" dxfId="815" priority="558"/>
  </conditionalFormatting>
  <conditionalFormatting sqref="E7 C9">
    <cfRule type="aboveAverage" dxfId="814" priority="557"/>
  </conditionalFormatting>
  <conditionalFormatting sqref="F7 C10">
    <cfRule type="aboveAverage" dxfId="813" priority="556"/>
  </conditionalFormatting>
  <conditionalFormatting sqref="E8 D9">
    <cfRule type="aboveAverage" dxfId="812" priority="555"/>
  </conditionalFormatting>
  <conditionalFormatting sqref="G7 C11">
    <cfRule type="aboveAverage" dxfId="811" priority="554"/>
  </conditionalFormatting>
  <conditionalFormatting sqref="F8 D10">
    <cfRule type="aboveAverage" dxfId="810" priority="553"/>
  </conditionalFormatting>
  <conditionalFormatting sqref="G8 D11">
    <cfRule type="aboveAverage" dxfId="809" priority="552"/>
  </conditionalFormatting>
  <conditionalFormatting sqref="F9 E10">
    <cfRule type="aboveAverage" dxfId="808" priority="551"/>
  </conditionalFormatting>
  <conditionalFormatting sqref="G9 E11">
    <cfRule type="aboveAverage" dxfId="807" priority="550"/>
  </conditionalFormatting>
  <conditionalFormatting sqref="F11 G10">
    <cfRule type="aboveAverage" dxfId="806" priority="549"/>
  </conditionalFormatting>
  <conditionalFormatting sqref="D14 C15">
    <cfRule type="aboveAverage" dxfId="805" priority="548"/>
  </conditionalFormatting>
  <conditionalFormatting sqref="E14 C16">
    <cfRule type="aboveAverage" dxfId="804" priority="547"/>
  </conditionalFormatting>
  <conditionalFormatting sqref="F14 C17">
    <cfRule type="aboveAverage" dxfId="803" priority="546"/>
  </conditionalFormatting>
  <conditionalFormatting sqref="E15 D16">
    <cfRule type="aboveAverage" dxfId="802" priority="545"/>
  </conditionalFormatting>
  <conditionalFormatting sqref="G14 C18">
    <cfRule type="aboveAverage" dxfId="801" priority="544"/>
  </conditionalFormatting>
  <conditionalFormatting sqref="F15 D17">
    <cfRule type="aboveAverage" dxfId="800" priority="543"/>
  </conditionalFormatting>
  <conditionalFormatting sqref="G15 D18">
    <cfRule type="aboveAverage" dxfId="799" priority="542"/>
  </conditionalFormatting>
  <conditionalFormatting sqref="F16 E17">
    <cfRule type="aboveAverage" dxfId="798" priority="541"/>
  </conditionalFormatting>
  <conditionalFormatting sqref="G16 E18">
    <cfRule type="aboveAverage" dxfId="797" priority="540"/>
  </conditionalFormatting>
  <conditionalFormatting sqref="F18 G17">
    <cfRule type="aboveAverage" dxfId="796" priority="539"/>
  </conditionalFormatting>
  <conditionalFormatting sqref="D21 C22">
    <cfRule type="aboveAverage" dxfId="795" priority="538"/>
  </conditionalFormatting>
  <conditionalFormatting sqref="E21 C23">
    <cfRule type="aboveAverage" dxfId="794" priority="537"/>
  </conditionalFormatting>
  <conditionalFormatting sqref="F21 C24">
    <cfRule type="aboveAverage" dxfId="793" priority="536"/>
  </conditionalFormatting>
  <conditionalFormatting sqref="E22 D23">
    <cfRule type="aboveAverage" dxfId="792" priority="535"/>
  </conditionalFormatting>
  <conditionalFormatting sqref="G21 C25">
    <cfRule type="aboveAverage" dxfId="791" priority="534"/>
  </conditionalFormatting>
  <conditionalFormatting sqref="F22 D24">
    <cfRule type="aboveAverage" dxfId="790" priority="533"/>
  </conditionalFormatting>
  <conditionalFormatting sqref="G22 D25">
    <cfRule type="aboveAverage" dxfId="789" priority="532"/>
  </conditionalFormatting>
  <conditionalFormatting sqref="F23 E24">
    <cfRule type="aboveAverage" dxfId="788" priority="531"/>
  </conditionalFormatting>
  <conditionalFormatting sqref="G23 E25">
    <cfRule type="aboveAverage" dxfId="787" priority="530"/>
  </conditionalFormatting>
  <conditionalFormatting sqref="F25 G24">
    <cfRule type="aboveAverage" dxfId="786" priority="529"/>
  </conditionalFormatting>
  <conditionalFormatting sqref="D28 C29">
    <cfRule type="aboveAverage" dxfId="785" priority="528"/>
  </conditionalFormatting>
  <conditionalFormatting sqref="E28 C30">
    <cfRule type="aboveAverage" dxfId="784" priority="527"/>
  </conditionalFormatting>
  <conditionalFormatting sqref="F28 C31">
    <cfRule type="aboveAverage" dxfId="783" priority="526"/>
  </conditionalFormatting>
  <conditionalFormatting sqref="E29 D30">
    <cfRule type="aboveAverage" dxfId="782" priority="525"/>
  </conditionalFormatting>
  <conditionalFormatting sqref="G28 C32">
    <cfRule type="aboveAverage" dxfId="781" priority="524"/>
  </conditionalFormatting>
  <conditionalFormatting sqref="F29 D31">
    <cfRule type="aboveAverage" dxfId="780" priority="523"/>
  </conditionalFormatting>
  <conditionalFormatting sqref="G29 D32">
    <cfRule type="aboveAverage" dxfId="779" priority="522"/>
  </conditionalFormatting>
  <conditionalFormatting sqref="F30 E31">
    <cfRule type="aboveAverage" dxfId="778" priority="521"/>
  </conditionalFormatting>
  <conditionalFormatting sqref="G30 E32">
    <cfRule type="aboveAverage" dxfId="777" priority="520"/>
  </conditionalFormatting>
  <conditionalFormatting sqref="F32 G31">
    <cfRule type="aboveAverage" dxfId="776" priority="519"/>
  </conditionalFormatting>
  <conditionalFormatting sqref="D35 C36">
    <cfRule type="aboveAverage" dxfId="775" priority="518"/>
  </conditionalFormatting>
  <conditionalFormatting sqref="E35 C37">
    <cfRule type="aboveAverage" dxfId="774" priority="517"/>
  </conditionalFormatting>
  <conditionalFormatting sqref="F35 C38">
    <cfRule type="aboveAverage" dxfId="773" priority="516"/>
  </conditionalFormatting>
  <conditionalFormatting sqref="E36 D37">
    <cfRule type="aboveAverage" dxfId="772" priority="515"/>
  </conditionalFormatting>
  <conditionalFormatting sqref="G35 C39">
    <cfRule type="aboveAverage" dxfId="771" priority="514"/>
  </conditionalFormatting>
  <conditionalFormatting sqref="F36 D38">
    <cfRule type="aboveAverage" dxfId="770" priority="513"/>
  </conditionalFormatting>
  <conditionalFormatting sqref="G36 D39">
    <cfRule type="aboveAverage" dxfId="769" priority="512"/>
  </conditionalFormatting>
  <conditionalFormatting sqref="F37 E38">
    <cfRule type="aboveAverage" dxfId="768" priority="511"/>
  </conditionalFormatting>
  <conditionalFormatting sqref="G37 E39">
    <cfRule type="aboveAverage" dxfId="767" priority="510"/>
  </conditionalFormatting>
  <conditionalFormatting sqref="F39 G38">
    <cfRule type="aboveAverage" dxfId="766" priority="509"/>
  </conditionalFormatting>
  <conditionalFormatting sqref="D42 C43">
    <cfRule type="aboveAverage" dxfId="765" priority="508"/>
  </conditionalFormatting>
  <conditionalFormatting sqref="E42 C44">
    <cfRule type="aboveAverage" dxfId="764" priority="507"/>
  </conditionalFormatting>
  <conditionalFormatting sqref="F42 C45">
    <cfRule type="aboveAverage" dxfId="763" priority="506"/>
  </conditionalFormatting>
  <conditionalFormatting sqref="E43 D44">
    <cfRule type="aboveAverage" dxfId="762" priority="505"/>
  </conditionalFormatting>
  <conditionalFormatting sqref="G42 C46">
    <cfRule type="aboveAverage" dxfId="761" priority="504"/>
  </conditionalFormatting>
  <conditionalFormatting sqref="F43 D45">
    <cfRule type="aboveAverage" dxfId="760" priority="503"/>
  </conditionalFormatting>
  <conditionalFormatting sqref="G43 D46">
    <cfRule type="aboveAverage" dxfId="759" priority="502"/>
  </conditionalFormatting>
  <conditionalFormatting sqref="F44 E45">
    <cfRule type="aboveAverage" dxfId="758" priority="501"/>
  </conditionalFormatting>
  <conditionalFormatting sqref="G44 E46">
    <cfRule type="aboveAverage" dxfId="757" priority="500"/>
  </conditionalFormatting>
  <conditionalFormatting sqref="F46 G45">
    <cfRule type="aboveAverage" dxfId="756" priority="499"/>
  </conditionalFormatting>
  <conditionalFormatting sqref="D49 C50">
    <cfRule type="aboveAverage" dxfId="755" priority="498"/>
  </conditionalFormatting>
  <conditionalFormatting sqref="E49 C51">
    <cfRule type="aboveAverage" dxfId="754" priority="497"/>
  </conditionalFormatting>
  <conditionalFormatting sqref="F49 C52">
    <cfRule type="aboveAverage" dxfId="753" priority="496"/>
  </conditionalFormatting>
  <conditionalFormatting sqref="E50 D51">
    <cfRule type="aboveAverage" dxfId="752" priority="495"/>
  </conditionalFormatting>
  <conditionalFormatting sqref="G49 C53">
    <cfRule type="aboveAverage" dxfId="751" priority="494"/>
  </conditionalFormatting>
  <conditionalFormatting sqref="F50 D52">
    <cfRule type="aboveAverage" dxfId="750" priority="493"/>
  </conditionalFormatting>
  <conditionalFormatting sqref="G50 D53">
    <cfRule type="aboveAverage" dxfId="749" priority="492"/>
  </conditionalFormatting>
  <conditionalFormatting sqref="F51 E52">
    <cfRule type="aboveAverage" dxfId="748" priority="491"/>
  </conditionalFormatting>
  <conditionalFormatting sqref="G51 E53">
    <cfRule type="aboveAverage" dxfId="747" priority="490"/>
  </conditionalFormatting>
  <conditionalFormatting sqref="F53 G52">
    <cfRule type="aboveAverage" dxfId="746" priority="489"/>
  </conditionalFormatting>
  <conditionalFormatting sqref="D56 C57">
    <cfRule type="aboveAverage" dxfId="745" priority="488"/>
  </conditionalFormatting>
  <conditionalFormatting sqref="E56 C58">
    <cfRule type="aboveAverage" dxfId="744" priority="487"/>
  </conditionalFormatting>
  <conditionalFormatting sqref="F56 C59">
    <cfRule type="aboveAverage" dxfId="743" priority="486"/>
  </conditionalFormatting>
  <conditionalFormatting sqref="E57 D58">
    <cfRule type="aboveAverage" dxfId="742" priority="485"/>
  </conditionalFormatting>
  <conditionalFormatting sqref="G56 C60">
    <cfRule type="aboveAverage" dxfId="741" priority="484"/>
  </conditionalFormatting>
  <conditionalFormatting sqref="F57 D59">
    <cfRule type="aboveAverage" dxfId="740" priority="483"/>
  </conditionalFormatting>
  <conditionalFormatting sqref="G57 D60">
    <cfRule type="aboveAverage" dxfId="739" priority="482"/>
  </conditionalFormatting>
  <conditionalFormatting sqref="F58 E59">
    <cfRule type="aboveAverage" dxfId="738" priority="481"/>
  </conditionalFormatting>
  <conditionalFormatting sqref="G58 E60">
    <cfRule type="aboveAverage" dxfId="737" priority="480"/>
  </conditionalFormatting>
  <conditionalFormatting sqref="F60 G59">
    <cfRule type="aboveAverage" dxfId="736" priority="479"/>
  </conditionalFormatting>
  <conditionalFormatting sqref="H14:H18">
    <cfRule type="expression" dxfId="735" priority="409">
      <formula>AND(Q14=4,IF(COUNTIF(Q$14:Q$18,"=4")&gt;=2,TRUE))</formula>
    </cfRule>
    <cfRule type="expression" dxfId="734" priority="559">
      <formula>AND(Q14=3,IF(COUNTIF(Q$14:Q$18,"=3")&gt;=2,TRUE))</formula>
    </cfRule>
    <cfRule type="expression" dxfId="733" priority="560">
      <formula>AND(Q14=2,IF(COUNTIF(Q$14:Q$18,"=2")&gt;=2,TRUE))</formula>
    </cfRule>
    <cfRule type="expression" dxfId="732" priority="561">
      <formula>AND(Q14=1,IF(COUNTIF(Q$14:Q$18,"=1")&gt;=2,TRUE))</formula>
    </cfRule>
  </conditionalFormatting>
  <conditionalFormatting sqref="B7:B60">
    <cfRule type="duplicateValues" dxfId="731" priority="464"/>
  </conditionalFormatting>
  <conditionalFormatting sqref="L7:L11">
    <cfRule type="expression" dxfId="730" priority="447">
      <formula>K7=0</formula>
    </cfRule>
    <cfRule type="expression" dxfId="729" priority="456">
      <formula>IF(COUNTIF(J$7:J$11,"=2")=2,TRUE)</formula>
    </cfRule>
    <cfRule type="expression" dxfId="728" priority="457">
      <formula>IF(COUNTIF(J$7:J$11,"=1")=2,TRUE)</formula>
    </cfRule>
    <cfRule type="expression" dxfId="727" priority="458">
      <formula>AND(IF(COUNTIF(Q$7:Q$11,"=1")=2,TRUE),IF(COUNTIF(Q$7:Q$11,"=2")=2,TRUE))</formula>
    </cfRule>
    <cfRule type="expression" dxfId="726" priority="459">
      <formula>AND(Q7=4,IF(COUNTIF(Q$7:Q$11,"=4")=1,TRUE))</formula>
    </cfRule>
    <cfRule type="expression" dxfId="725" priority="460">
      <formula>AND(Q7=3,IF(COUNTIF(Q$7:Q$11,"=3")=1,TRUE))</formula>
    </cfRule>
    <cfRule type="expression" dxfId="724" priority="461">
      <formula>AND(Q7=2,IF(COUNTIF(Q$7:Q$11,"=2")=1,TRUE))</formula>
    </cfRule>
    <cfRule type="expression" dxfId="723" priority="462">
      <formula>AND(Q7=1,IF(COUNTIF(Q$7:Q$11,"=1")=1,TRUE))</formula>
    </cfRule>
    <cfRule type="expression" dxfId="722" priority="463">
      <formula>OR(Q7=0,Q7=5)</formula>
    </cfRule>
  </conditionalFormatting>
  <conditionalFormatting sqref="O7:O11">
    <cfRule type="expression" dxfId="721" priority="455">
      <formula>OR(AND(J7=1,K7=1,L7=0,M7=1),AND(J7=2,K7=2,L7=0,M7=2))</formula>
    </cfRule>
  </conditionalFormatting>
  <conditionalFormatting sqref="M7:M11">
    <cfRule type="expression" dxfId="720" priority="448">
      <formula>AND(L7&gt;0,IF(COUNTIF(L$7:L$11,L7)&gt;1,TRUE,FALSE))</formula>
    </cfRule>
    <cfRule type="expression" dxfId="719" priority="449">
      <formula>AND(IF(COUNTIF(R$7:R$11,"=1")=2,TRUE),IF(COUNTIF(R$7:R$11,"=2")=2,TRUE))</formula>
    </cfRule>
    <cfRule type="expression" dxfId="718" priority="450">
      <formula>AND(R7=4,IF(COUNTIF(R$7:R$11,"=4")=1,TRUE))</formula>
    </cfRule>
    <cfRule type="expression" dxfId="717" priority="451">
      <formula>AND(R7=3,IF(COUNTIF(R$7:R$11,"=3")=1,TRUE))</formula>
    </cfRule>
    <cfRule type="expression" dxfId="716" priority="452">
      <formula>AND(R7=2,IF(COUNTIF(R$7:R$11,"=2")=1,TRUE))</formula>
    </cfRule>
    <cfRule type="expression" dxfId="715" priority="453">
      <formula>AND(R7=1,IF(COUNTIF(R$7:R$11,"=1")=1,TRUE))</formula>
    </cfRule>
    <cfRule type="expression" dxfId="714" priority="454">
      <formula>OR(R7=0,R7=5)</formula>
    </cfRule>
  </conditionalFormatting>
  <conditionalFormatting sqref="J7:J11">
    <cfRule type="expression" dxfId="713" priority="443">
      <formula>AND(Q7=4,IF(COUNTIF(Q$7:Q$11,"=4")&gt;=2,TRUE))</formula>
    </cfRule>
    <cfRule type="expression" dxfId="712" priority="444">
      <formula>AND(Q7=3,IF(COUNTIF(Q$7:Q$11,"=3")&gt;=2,TRUE))</formula>
    </cfRule>
    <cfRule type="expression" dxfId="711" priority="445">
      <formula>AND(Q7=2,IF(COUNTIF(Q$7:Q$11,"=2")&gt;=2,TRUE))</formula>
    </cfRule>
    <cfRule type="expression" dxfId="710" priority="446">
      <formula>AND(Q7=1,IF(COUNTIF(Q$7:Q$11,"=1")&gt;=2,TRUE))</formula>
    </cfRule>
  </conditionalFormatting>
  <conditionalFormatting sqref="H7:H11">
    <cfRule type="expression" dxfId="709" priority="410">
      <formula>AND(Q7=4,IF(COUNTIF(Q$7:Q$11,"=4")&gt;=2,TRUE))</formula>
    </cfRule>
    <cfRule type="expression" dxfId="708" priority="562">
      <formula>AND(Q7=3,IF(COUNTIF(Q$7:Q$11,"=3")&gt;=2,TRUE))</formula>
    </cfRule>
    <cfRule type="expression" dxfId="707" priority="563">
      <formula>AND(Q7=2,IF(COUNTIF(Q$7:Q$11,"=2")&gt;=2,TRUE))</formula>
    </cfRule>
    <cfRule type="expression" dxfId="706" priority="564">
      <formula>AND(Q7=1,IF(COUNTIF(Q$7:Q$11,"=1")&gt;=2,TRUE))</formula>
    </cfRule>
  </conditionalFormatting>
  <conditionalFormatting sqref="K7:K11">
    <cfRule type="expression" dxfId="705" priority="565">
      <formula>AND(J7&gt;0,IF(COUNTIF(J$7:J$11,"=1")=2,TRUE),IF(COUNTIF(J$7:J$11,"=2")=2,TRUE))</formula>
    </cfRule>
    <cfRule type="expression" dxfId="704" priority="566">
      <formula>IF(COUNTIF(L$7:L$11,"=2")=2,TRUE)</formula>
    </cfRule>
    <cfRule type="expression" dxfId="703" priority="567">
      <formula>IF(COUNTIF(L$7:L$11,"=1")=2,TRUE)</formula>
    </cfRule>
    <cfRule type="expression" dxfId="702" priority="568">
      <formula>AND(IF(COUNTIF(R$7:R$11,"=1")=2,TRUE),IF(COUNTIF(S$7:S$11,"=2")=2,TRUE))</formula>
    </cfRule>
    <cfRule type="expression" dxfId="701" priority="569">
      <formula>AND(R7=4,IF(COUNTIF(R$7:R$11,"=4")=1,TRUE))</formula>
    </cfRule>
    <cfRule type="expression" dxfId="700" priority="570">
      <formula>AND(R7=3,IF(COUNTIF(R$7:R$11,"=3")=1,TRUE))</formula>
    </cfRule>
    <cfRule type="expression" dxfId="699" priority="571">
      <formula>AND(R7=2,IF(COUNTIF(R$7:R$11,"=2")=1,TRUE))</formula>
    </cfRule>
    <cfRule type="expression" dxfId="698" priority="572">
      <formula>AND(R7=1,IF(COUNTIF(R$7:R$11,"=1")=1,TRUE))</formula>
    </cfRule>
    <cfRule type="expression" dxfId="697" priority="573">
      <formula>OR(R7=0,R7=5)</formula>
    </cfRule>
  </conditionalFormatting>
  <conditionalFormatting sqref="L14:L18">
    <cfRule type="expression" dxfId="696" priority="415">
      <formula>K14=0</formula>
    </cfRule>
    <cfRule type="expression" dxfId="695" priority="424">
      <formula>IF(COUNTIF(J$14:J$18,"=2")=2,TRUE)</formula>
    </cfRule>
    <cfRule type="expression" dxfId="694" priority="425">
      <formula>IF(COUNTIF(J$14:J$18,"=1")=2,TRUE)</formula>
    </cfRule>
    <cfRule type="expression" dxfId="693" priority="426">
      <formula>AND(IF(COUNTIF(Q$14:Q$18,"=1")=2,TRUE),IF(COUNTIF(Q$14:Q$18,"=2")=2,TRUE))</formula>
    </cfRule>
    <cfRule type="expression" dxfId="692" priority="427">
      <formula>AND(Q14=4,IF(COUNTIF(Q$14:Q$18,"=4")=1,TRUE))</formula>
    </cfRule>
    <cfRule type="expression" dxfId="691" priority="428">
      <formula>AND(Q14=3,IF(COUNTIF(Q$14:Q$18,"=3")=1,TRUE))</formula>
    </cfRule>
    <cfRule type="expression" dxfId="690" priority="429">
      <formula>AND(Q14=2,IF(COUNTIF(Q$14:Q$18,"=2")=1,TRUE))</formula>
    </cfRule>
    <cfRule type="expression" dxfId="689" priority="430">
      <formula>AND(Q14=1,IF(COUNTIF(Q$14:Q$18,"=1")=1,TRUE))</formula>
    </cfRule>
    <cfRule type="expression" dxfId="688" priority="431">
      <formula>OR(Q14=0,Q14=5)</formula>
    </cfRule>
  </conditionalFormatting>
  <conditionalFormatting sqref="O14:O18">
    <cfRule type="expression" dxfId="687" priority="423">
      <formula>OR(AND(J14=1,K14=1,L14=0,M14=1),AND(J14=2,K14=2,L14=0,M14=2))</formula>
    </cfRule>
  </conditionalFormatting>
  <conditionalFormatting sqref="M14:M18">
    <cfRule type="expression" dxfId="686" priority="416">
      <formula>AND(L14&gt;0,IF(COUNTIF(L$14:L$18,L14)&gt;1,TRUE,FALSE))</formula>
    </cfRule>
    <cfRule type="expression" dxfId="685" priority="417">
      <formula>AND(IF(COUNTIF(R$14:R$18,"=1")=2,TRUE),IF(COUNTIF(R$14:R$18,"=2")=2,TRUE))</formula>
    </cfRule>
    <cfRule type="expression" dxfId="684" priority="418">
      <formula>AND(R14=4,IF(COUNTIF(R$14:R$18,"=4")=1,TRUE))</formula>
    </cfRule>
    <cfRule type="expression" dxfId="683" priority="419">
      <formula>AND(R14=3,IF(COUNTIF(R$14:R$18,"=3")=1,TRUE))</formula>
    </cfRule>
    <cfRule type="expression" dxfId="682" priority="420">
      <formula>AND(R14=2,IF(COUNTIF(R$14:R$18,"=2")=1,TRUE))</formula>
    </cfRule>
    <cfRule type="expression" dxfId="681" priority="421">
      <formula>AND(R14=1,IF(COUNTIF(R$14:R$18,"=1")=1,TRUE))</formula>
    </cfRule>
    <cfRule type="expression" dxfId="680" priority="422">
      <formula>OR(R14=0,R14=5)</formula>
    </cfRule>
  </conditionalFormatting>
  <conditionalFormatting sqref="J14:J18">
    <cfRule type="expression" dxfId="679" priority="411">
      <formula>AND(Q14=4,IF(COUNTIF(Q$14:Q$18,"=4")&gt;=2,TRUE))</formula>
    </cfRule>
    <cfRule type="expression" dxfId="678" priority="412">
      <formula>AND(Q14=3,IF(COUNTIF(Q$14:Q$18,"=3")&gt;=2,TRUE))</formula>
    </cfRule>
    <cfRule type="expression" dxfId="677" priority="413">
      <formula>AND(Q14=2,IF(COUNTIF(Q$14:Q$18,"=2")&gt;=2,TRUE))</formula>
    </cfRule>
    <cfRule type="expression" dxfId="676" priority="414">
      <formula>AND(Q14=1,IF(COUNTIF(Q$14:Q$18,"=1")&gt;=2,TRUE))</formula>
    </cfRule>
  </conditionalFormatting>
  <conditionalFormatting sqref="K14:K18">
    <cfRule type="expression" dxfId="675" priority="434">
      <formula>AND(J14&gt;0,IF(COUNTIF(J$14:J$18,"=1")=2,TRUE),IF(COUNTIF(J$14:J$18,"=2")=2,TRUE))</formula>
    </cfRule>
    <cfRule type="expression" dxfId="674" priority="435">
      <formula>IF(COUNTIF(L$14:L$18,"=2")=2,TRUE)</formula>
    </cfRule>
    <cfRule type="expression" dxfId="673" priority="436">
      <formula>IF(COUNTIF(L$14:L$18,"=1")=2,TRUE)</formula>
    </cfRule>
    <cfRule type="expression" dxfId="672" priority="437">
      <formula>AND(IF(COUNTIF(R$14:R$18,"=1")=2,TRUE),IF(COUNTIF(S$14:S$18,"=2")=2,TRUE))</formula>
    </cfRule>
    <cfRule type="expression" dxfId="671" priority="438">
      <formula>AND(R14=4,IF(COUNTIF(R$14:R$18,"=4")=1,TRUE))</formula>
    </cfRule>
    <cfRule type="expression" dxfId="670" priority="439">
      <formula>AND(R14=3,IF(COUNTIF(R$14:R$18,"=3")=1,TRUE))</formula>
    </cfRule>
    <cfRule type="expression" dxfId="669" priority="440">
      <formula>AND(R14=2,IF(COUNTIF(R$14:R$18,"=2")=1,TRUE))</formula>
    </cfRule>
    <cfRule type="expression" dxfId="668" priority="441">
      <formula>AND(R14=1,IF(COUNTIF(R$14:R$18,"=1")=1,TRUE))</formula>
    </cfRule>
    <cfRule type="expression" dxfId="667" priority="442">
      <formula>OR(R14=0,R14=5)</formula>
    </cfRule>
  </conditionalFormatting>
  <conditionalFormatting sqref="L21:L25">
    <cfRule type="expression" dxfId="666" priority="383">
      <formula>K21=0</formula>
    </cfRule>
    <cfRule type="expression" dxfId="665" priority="392">
      <formula>IF(COUNTIF(J$21:J$25,"=2")=2,TRUE)</formula>
    </cfRule>
    <cfRule type="expression" dxfId="664" priority="393">
      <formula>IF(COUNTIF(J$21:J$25,"=1")=2,TRUE)</formula>
    </cfRule>
    <cfRule type="expression" dxfId="663" priority="394">
      <formula>AND(IF(COUNTIF(Q$21:Q$25,"=1")=2,TRUE),IF(COUNTIF(Q$21:Q$25,"=2")=2,TRUE))</formula>
    </cfRule>
    <cfRule type="expression" dxfId="662" priority="395">
      <formula>AND(Q21=4,IF(COUNTIF(Q$21:Q$25,"=4")=1,TRUE))</formula>
    </cfRule>
    <cfRule type="expression" dxfId="661" priority="396">
      <formula>AND(Q21=3,IF(COUNTIF(Q$21:Q$25,"=3")=1,TRUE))</formula>
    </cfRule>
    <cfRule type="expression" dxfId="660" priority="397">
      <formula>AND(Q21=2,IF(COUNTIF(Q$21:Q$25,"=2")=1,TRUE))</formula>
    </cfRule>
    <cfRule type="expression" dxfId="659" priority="398">
      <formula>AND(Q21=1,IF(COUNTIF(Q$21:Q$25,"=1")=1,TRUE))</formula>
    </cfRule>
    <cfRule type="expression" dxfId="658" priority="399">
      <formula>OR(Q21=0,Q21=5)</formula>
    </cfRule>
  </conditionalFormatting>
  <conditionalFormatting sqref="O21:O25">
    <cfRule type="expression" dxfId="657" priority="391">
      <formula>OR(AND(J21=1,K21=1,L21=0,M21=1),AND(J21=2,K21=2,L21=0,M21=2))</formula>
    </cfRule>
  </conditionalFormatting>
  <conditionalFormatting sqref="M21:M25">
    <cfRule type="expression" dxfId="656" priority="384">
      <formula>AND(L21&gt;0,IF(COUNTIF(L$21:L$25,L21)&gt;1,TRUE,FALSE))</formula>
    </cfRule>
    <cfRule type="expression" dxfId="655" priority="385">
      <formula>AND(IF(COUNTIF(R$21:R$25,"=1")=2,TRUE),IF(COUNTIF(R$21:R$25,"=2")=2,TRUE))</formula>
    </cfRule>
    <cfRule type="expression" dxfId="654" priority="386">
      <formula>AND(R21=4,IF(COUNTIF(R$21:R$25,"=4")=1,TRUE))</formula>
    </cfRule>
    <cfRule type="expression" dxfId="653" priority="387">
      <formula>AND(R21=3,IF(COUNTIF(R$21:R$25,"=3")=1,TRUE))</formula>
    </cfRule>
    <cfRule type="expression" dxfId="652" priority="388">
      <formula>AND(R21=2,IF(COUNTIF(R$21:R$25,"=2")=1,TRUE))</formula>
    </cfRule>
    <cfRule type="expression" dxfId="651" priority="389">
      <formula>AND(R21=1,IF(COUNTIF(R$21:R$25,"=1")=1,TRUE))</formula>
    </cfRule>
    <cfRule type="expression" dxfId="650" priority="390">
      <formula>OR(R21=0,R21=5)</formula>
    </cfRule>
  </conditionalFormatting>
  <conditionalFormatting sqref="J21:J25">
    <cfRule type="expression" dxfId="649" priority="379">
      <formula>AND(Q21=4,IF(COUNTIF(Q$21:Q$25,"=4")&gt;=2,TRUE))</formula>
    </cfRule>
    <cfRule type="expression" dxfId="648" priority="380">
      <formula>AND(Q21=3,IF(COUNTIF(Q$21:Q$25,"=3")&gt;=2,TRUE))</formula>
    </cfRule>
    <cfRule type="expression" dxfId="647" priority="381">
      <formula>AND(Q21=2,IF(COUNTIF(Q$21:Q$25,"=2")&gt;=2,TRUE))</formula>
    </cfRule>
    <cfRule type="expression" dxfId="646" priority="382">
      <formula>AND(Q21=1,IF(COUNTIF(Q$21:Q$25,"=1")&gt;=2,TRUE))</formula>
    </cfRule>
  </conditionalFormatting>
  <conditionalFormatting sqref="K21:K25">
    <cfRule type="expression" dxfId="645" priority="400">
      <formula>AND(J21&gt;0,IF(COUNTIF(J$21:J$25,"=1")=2,TRUE),IF(COUNTIF(J$21:J$25,"=2")=2,TRUE))</formula>
    </cfRule>
    <cfRule type="expression" dxfId="644" priority="401">
      <formula>IF(COUNTIF(L$21:L$25,"=2")=2,TRUE)</formula>
    </cfRule>
    <cfRule type="expression" dxfId="643" priority="402">
      <formula>IF(COUNTIF(L$21:L$25,"=1")=2,TRUE)</formula>
    </cfRule>
    <cfRule type="expression" dxfId="642" priority="403">
      <formula>AND(IF(COUNTIF(R$21:R$25,"=1")=2,TRUE),IF(COUNTIF(S$21:S$25,"=2")=2,TRUE))</formula>
    </cfRule>
    <cfRule type="expression" dxfId="641" priority="404">
      <formula>AND(R21=4,IF(COUNTIF(R$21:R$25,"=4")=1,TRUE))</formula>
    </cfRule>
    <cfRule type="expression" dxfId="640" priority="405">
      <formula>AND(R21=3,IF(COUNTIF(R$21:R$25,"=3")=1,TRUE))</formula>
    </cfRule>
    <cfRule type="expression" dxfId="639" priority="406">
      <formula>AND(R21=2,IF(COUNTIF(R$21:R$25,"=2")=1,TRUE))</formula>
    </cfRule>
    <cfRule type="expression" dxfId="638" priority="407">
      <formula>AND(R21=1,IF(COUNTIF(R$21:R$25,"=1")=1,TRUE))</formula>
    </cfRule>
    <cfRule type="expression" dxfId="637" priority="408">
      <formula>OR(R21=0,R21=5)</formula>
    </cfRule>
  </conditionalFormatting>
  <conditionalFormatting sqref="H21:H25">
    <cfRule type="expression" dxfId="636" priority="375">
      <formula>AND(Q21=4,IF(COUNTIF(Q$21:Q$25,"=4")&gt;=2,TRUE))</formula>
    </cfRule>
    <cfRule type="expression" dxfId="635" priority="376">
      <formula>AND(Q21=3,IF(COUNTIF(Q$21:Q$25,"=3")&gt;=2,TRUE))</formula>
    </cfRule>
    <cfRule type="expression" dxfId="634" priority="377">
      <formula>AND(Q21=2,IF(COUNTIF(Q$21:Q$25,"=2")&gt;=2,TRUE))</formula>
    </cfRule>
    <cfRule type="expression" dxfId="633" priority="378">
      <formula>AND(Q21=1,IF(COUNTIF(Q$21:Q$25,"=1")&gt;=2,TRUE))</formula>
    </cfRule>
  </conditionalFormatting>
  <conditionalFormatting sqref="L28:L32">
    <cfRule type="expression" dxfId="632" priority="349">
      <formula>K28=0</formula>
    </cfRule>
    <cfRule type="expression" dxfId="631" priority="358">
      <formula>IF(COUNTIF(J$28:J$32,"=2")=2,TRUE)</formula>
    </cfRule>
    <cfRule type="expression" dxfId="630" priority="359">
      <formula>IF(COUNTIF(J$28:J$32,"=1")=2,TRUE)</formula>
    </cfRule>
    <cfRule type="expression" dxfId="629" priority="360">
      <formula>AND(IF(COUNTIF(Q$28:Q$32,"=1")=2,TRUE),IF(COUNTIF(Q$28:Q$32,"=2")=2,TRUE))</formula>
    </cfRule>
    <cfRule type="expression" dxfId="628" priority="361">
      <formula>AND(Q28=4,IF(COUNTIF(Q$28:Q$32,"=4")=1,TRUE))</formula>
    </cfRule>
    <cfRule type="expression" dxfId="627" priority="362">
      <formula>AND(Q28=3,IF(COUNTIF(Q$28:Q$32,"=3")=1,TRUE))</formula>
    </cfRule>
    <cfRule type="expression" dxfId="626" priority="363">
      <formula>AND(Q28=2,IF(COUNTIF(Q$28:Q$32,"=2")=1,TRUE))</formula>
    </cfRule>
    <cfRule type="expression" dxfId="625" priority="364">
      <formula>AND(Q28=1,IF(COUNTIF(Q$28:Q$32,"=1")=1,TRUE))</formula>
    </cfRule>
    <cfRule type="expression" dxfId="624" priority="365">
      <formula>OR(Q28=0,Q28=5)</formula>
    </cfRule>
  </conditionalFormatting>
  <conditionalFormatting sqref="O28:O32">
    <cfRule type="expression" dxfId="623" priority="357">
      <formula>OR(AND(J28=1,K28=1,L28=0,M28=1),AND(J28=2,K28=2,L28=0,M28=2))</formula>
    </cfRule>
  </conditionalFormatting>
  <conditionalFormatting sqref="M28:M32">
    <cfRule type="expression" dxfId="622" priority="350">
      <formula>AND(L28&gt;0,IF(COUNTIF(L$28:L$32,L28)&gt;1,TRUE,FALSE))</formula>
    </cfRule>
    <cfRule type="expression" dxfId="621" priority="351">
      <formula>AND(IF(COUNTIF(R$28:R$32,"=1")=2,TRUE),IF(COUNTIF(R$28:R$32,"=2")=2,TRUE))</formula>
    </cfRule>
    <cfRule type="expression" dxfId="620" priority="352">
      <formula>AND(R28=4,IF(COUNTIF(R$28:R$32,"=4")=1,TRUE))</formula>
    </cfRule>
    <cfRule type="expression" dxfId="619" priority="353">
      <formula>AND(R28=3,IF(COUNTIF(R$28:R$32,"=3")=1,TRUE))</formula>
    </cfRule>
    <cfRule type="expression" dxfId="618" priority="354">
      <formula>AND(R28=2,IF(COUNTIF(R$28:R$32,"=2")=1,TRUE))</formula>
    </cfRule>
    <cfRule type="expression" dxfId="617" priority="355">
      <formula>AND(R28=1,IF(COUNTIF(R$28:R$32,"=1")=1,TRUE))</formula>
    </cfRule>
    <cfRule type="expression" dxfId="616" priority="356">
      <formula>OR(R28=0,R28=5)</formula>
    </cfRule>
  </conditionalFormatting>
  <conditionalFormatting sqref="J28:J32">
    <cfRule type="expression" dxfId="615" priority="345">
      <formula>AND(Q28=4,IF(COUNTIF(Q$28:Q$32,"=4")&gt;=2,TRUE))</formula>
    </cfRule>
    <cfRule type="expression" dxfId="614" priority="346">
      <formula>AND(Q28=3,IF(COUNTIF(Q$28:Q$32,"=3")&gt;=2,TRUE))</formula>
    </cfRule>
    <cfRule type="expression" dxfId="613" priority="347">
      <formula>AND(Q28=2,IF(COUNTIF(Q$28:Q$32,"=2")&gt;=2,TRUE))</formula>
    </cfRule>
    <cfRule type="expression" dxfId="612" priority="348">
      <formula>AND(Q28=1,IF(COUNTIF(Q$28:Q$32,"=1")&gt;=2,TRUE))</formula>
    </cfRule>
  </conditionalFormatting>
  <conditionalFormatting sqref="K28:K32">
    <cfRule type="expression" dxfId="611" priority="366">
      <formula>AND(J28&gt;0,IF(COUNTIF(J$28:J$32,"=1")=2,TRUE),IF(COUNTIF(J$28:J$32,"=2")=2,TRUE))</formula>
    </cfRule>
    <cfRule type="expression" dxfId="610" priority="367">
      <formula>IF(COUNTIF(L$28:L$32,"=2")=2,TRUE)</formula>
    </cfRule>
    <cfRule type="expression" dxfId="609" priority="368">
      <formula>IF(COUNTIF(L$28:L$32,"=1")=2,TRUE)</formula>
    </cfRule>
    <cfRule type="expression" dxfId="608" priority="369">
      <formula>AND(IF(COUNTIF(R$28:R$32,"=1")=2,TRUE),IF(COUNTIF(S$28:S$32,"=2")=2,TRUE))</formula>
    </cfRule>
    <cfRule type="expression" dxfId="607" priority="370">
      <formula>AND(R28=4,IF(COUNTIF(R$28:R$32,"=4")=1,TRUE))</formula>
    </cfRule>
    <cfRule type="expression" dxfId="606" priority="371">
      <formula>AND(R28=3,IF(COUNTIF(R$28:R$32,"=3")=1,TRUE))</formula>
    </cfRule>
    <cfRule type="expression" dxfId="605" priority="372">
      <formula>AND(R28=2,IF(COUNTIF(R$28:R$32,"=2")=1,TRUE))</formula>
    </cfRule>
    <cfRule type="expression" dxfId="604" priority="373">
      <formula>AND(R28=1,IF(COUNTIF(R$28:R$32,"=1")=1,TRUE))</formula>
    </cfRule>
    <cfRule type="expression" dxfId="603" priority="374">
      <formula>OR(R28=0,R28=5)</formula>
    </cfRule>
  </conditionalFormatting>
  <conditionalFormatting sqref="H28:H32">
    <cfRule type="expression" dxfId="602" priority="341">
      <formula>AND(Q28=4,IF(COUNTIF(Q$28:Q$32,"=4")&gt;=2,TRUE))</formula>
    </cfRule>
    <cfRule type="expression" dxfId="601" priority="342">
      <formula>AND(Q28=3,IF(COUNTIF(Q$28:Q$32,"=3")&gt;=2,TRUE))</formula>
    </cfRule>
    <cfRule type="expression" dxfId="600" priority="343">
      <formula>AND(Q28=2,IF(COUNTIF(Q$28:Q$32,"=2")&gt;=2,TRUE))</formula>
    </cfRule>
    <cfRule type="expression" dxfId="599" priority="344">
      <formula>AND(Q28=1,IF(COUNTIF(Q$28:Q$32,"=1")&gt;=2,TRUE))</formula>
    </cfRule>
  </conditionalFormatting>
  <conditionalFormatting sqref="L35:L39">
    <cfRule type="expression" dxfId="598" priority="315">
      <formula>K35=0</formula>
    </cfRule>
    <cfRule type="expression" dxfId="597" priority="324">
      <formula>IF(COUNTIF(J$35:J$39,"=2")=2,TRUE)</formula>
    </cfRule>
    <cfRule type="expression" dxfId="596" priority="325">
      <formula>IF(COUNTIF(J$35:J$39,"=1")=2,TRUE)</formula>
    </cfRule>
    <cfRule type="expression" dxfId="595" priority="326">
      <formula>AND(IF(COUNTIF(Q$35:Q$39,"=1")=2,TRUE),IF(COUNTIF(Q$35:Q$39,"=2")=2,TRUE))</formula>
    </cfRule>
    <cfRule type="expression" dxfId="594" priority="327">
      <formula>AND(Q35=4,IF(COUNTIF(Q$35:Q$39,"=4")=1,TRUE))</formula>
    </cfRule>
    <cfRule type="expression" dxfId="593" priority="328">
      <formula>AND(Q35=3,IF(COUNTIF(Q$35:Q$39,"=3")=1,TRUE))</formula>
    </cfRule>
    <cfRule type="expression" dxfId="592" priority="329">
      <formula>AND(Q35=2,IF(COUNTIF(Q$35:Q$39,"=2")=1,TRUE))</formula>
    </cfRule>
    <cfRule type="expression" dxfId="591" priority="330">
      <formula>AND(Q35=1,IF(COUNTIF(Q$35:Q$39,"=1")=1,TRUE))</formula>
    </cfRule>
    <cfRule type="expression" dxfId="590" priority="331">
      <formula>OR(Q35=0,Q35=5)</formula>
    </cfRule>
  </conditionalFormatting>
  <conditionalFormatting sqref="O35:O39">
    <cfRule type="expression" dxfId="589" priority="323">
      <formula>OR(AND(J35=1,K35=1,L35=0,M35=1),AND(J35=2,K35=2,L35=0,M35=2))</formula>
    </cfRule>
  </conditionalFormatting>
  <conditionalFormatting sqref="M35:M39">
    <cfRule type="expression" dxfId="588" priority="316">
      <formula>AND(L35&gt;0,IF(COUNTIF(L$35:L$39,L35)&gt;1,TRUE,FALSE))</formula>
    </cfRule>
    <cfRule type="expression" dxfId="587" priority="317">
      <formula>AND(IF(COUNTIF(R$35:R$39,"=1")=2,TRUE),IF(COUNTIF(R$35:R$39,"=2")=2,TRUE))</formula>
    </cfRule>
    <cfRule type="expression" dxfId="586" priority="318">
      <formula>AND(R35=4,IF(COUNTIF(R$35:R$39,"=4")=1,TRUE))</formula>
    </cfRule>
    <cfRule type="expression" dxfId="585" priority="319">
      <formula>AND(R35=3,IF(COUNTIF(R$35:R$39,"=3")=1,TRUE))</formula>
    </cfRule>
    <cfRule type="expression" dxfId="584" priority="320">
      <formula>AND(R35=2,IF(COUNTIF(R$35:R$39,"=2")=1,TRUE))</formula>
    </cfRule>
    <cfRule type="expression" dxfId="583" priority="321">
      <formula>AND(R35=1,IF(COUNTIF(R$35:R$39,"=1")=1,TRUE))</formula>
    </cfRule>
    <cfRule type="expression" dxfId="582" priority="322">
      <formula>OR(R35=0,R35=5)</formula>
    </cfRule>
  </conditionalFormatting>
  <conditionalFormatting sqref="J35:J39">
    <cfRule type="expression" dxfId="581" priority="311">
      <formula>AND(Q35=4,IF(COUNTIF(Q$35:Q$39,"=4")&gt;=2,TRUE))</formula>
    </cfRule>
    <cfRule type="expression" dxfId="580" priority="312">
      <formula>AND(Q35=3,IF(COUNTIF(Q$35:Q$39,"=3")&gt;=2,TRUE))</formula>
    </cfRule>
    <cfRule type="expression" dxfId="579" priority="313">
      <formula>AND(Q35=2,IF(COUNTIF(Q$35:Q$39,"=2")&gt;=2,TRUE))</formula>
    </cfRule>
    <cfRule type="expression" dxfId="578" priority="314">
      <formula>AND(Q35=1,IF(COUNTIF(Q$35:Q$39,"=1")&gt;=2,TRUE))</formula>
    </cfRule>
  </conditionalFormatting>
  <conditionalFormatting sqref="K35:K39">
    <cfRule type="expression" dxfId="577" priority="332">
      <formula>AND(J35&gt;0,IF(COUNTIF(J$35:J$39,"=1")=2,TRUE),IF(COUNTIF(J$35:J$39,"=2")=2,TRUE))</formula>
    </cfRule>
    <cfRule type="expression" dxfId="576" priority="333">
      <formula>IF(COUNTIF(L$35:L$39,"=2")=2,TRUE)</formula>
    </cfRule>
    <cfRule type="expression" dxfId="575" priority="334">
      <formula>IF(COUNTIF(L$35:L$39,"=1")=2,TRUE)</formula>
    </cfRule>
    <cfRule type="expression" dxfId="574" priority="335">
      <formula>AND(IF(COUNTIF(R$35:R$39,"=1")=2,TRUE),IF(COUNTIF(S$35:S$39,"=2")=2,TRUE))</formula>
    </cfRule>
    <cfRule type="expression" dxfId="573" priority="336">
      <formula>AND(R35=4,IF(COUNTIF(R$35:R$39,"=4")=1,TRUE))</formula>
    </cfRule>
    <cfRule type="expression" dxfId="572" priority="337">
      <formula>AND(R35=3,IF(COUNTIF(R$35:R$39,"=3")=1,TRUE))</formula>
    </cfRule>
    <cfRule type="expression" dxfId="571" priority="338">
      <formula>AND(R35=2,IF(COUNTIF(R$35:R$39,"=2")=1,TRUE))</formula>
    </cfRule>
    <cfRule type="expression" dxfId="570" priority="339">
      <formula>AND(R35=1,IF(COUNTIF(R$35:R$39,"=1")=1,TRUE))</formula>
    </cfRule>
    <cfRule type="expression" dxfId="569" priority="340">
      <formula>OR(R35=0,R35=5)</formula>
    </cfRule>
  </conditionalFormatting>
  <conditionalFormatting sqref="H35:H39">
    <cfRule type="expression" dxfId="568" priority="307">
      <formula>AND(Q35=4,IF(COUNTIF(Q$35:Q$39,"=4")&gt;=2,TRUE))</formula>
    </cfRule>
    <cfRule type="expression" dxfId="567" priority="308">
      <formula>AND(Q35=3,IF(COUNTIF(Q$35:Q$39,"=3")&gt;=2,TRUE))</formula>
    </cfRule>
    <cfRule type="expression" dxfId="566" priority="309">
      <formula>AND(Q35=2,IF(COUNTIF(Q$35:Q$39,"=2")&gt;=2,TRUE))</formula>
    </cfRule>
    <cfRule type="expression" dxfId="565" priority="310">
      <formula>AND(Q35=1,IF(COUNTIF(Q$35:Q$39,"=1")&gt;=2,TRUE))</formula>
    </cfRule>
  </conditionalFormatting>
  <conditionalFormatting sqref="L42:L46">
    <cfRule type="expression" dxfId="564" priority="281">
      <formula>K42=0</formula>
    </cfRule>
    <cfRule type="expression" dxfId="563" priority="290">
      <formula>IF(COUNTIF(J$42:J$46,"=2")=2,TRUE)</formula>
    </cfRule>
    <cfRule type="expression" dxfId="562" priority="291">
      <formula>IF(COUNTIF(J$42:J$46,"=1")=2,TRUE)</formula>
    </cfRule>
    <cfRule type="expression" dxfId="561" priority="292">
      <formula>AND(IF(COUNTIF(Q$42:Q$46,"=1")=2,TRUE),IF(COUNTIF(Q$42:Q$46,"=2")=2,TRUE))</formula>
    </cfRule>
    <cfRule type="expression" dxfId="560" priority="293">
      <formula>AND(Q42=4,IF(COUNTIF(Q$42:Q$46,"=4")=1,TRUE))</formula>
    </cfRule>
    <cfRule type="expression" dxfId="559" priority="294">
      <formula>AND(Q42=3,IF(COUNTIF(Q$42:Q$46,"=3")=1,TRUE))</formula>
    </cfRule>
    <cfRule type="expression" dxfId="558" priority="295">
      <formula>AND(Q42=2,IF(COUNTIF(Q$42:Q$46,"=2")=1,TRUE))</formula>
    </cfRule>
    <cfRule type="expression" dxfId="557" priority="296">
      <formula>AND(Q42=1,IF(COUNTIF(Q$42:Q$46,"=1")=1,TRUE))</formula>
    </cfRule>
    <cfRule type="expression" dxfId="556" priority="297">
      <formula>OR(Q42=0,Q42=5)</formula>
    </cfRule>
  </conditionalFormatting>
  <conditionalFormatting sqref="O42:O46">
    <cfRule type="expression" dxfId="555" priority="289">
      <formula>OR(AND(J42=1,K42=1,L42=0,M42=1),AND(J42=2,K42=2,L42=0,M42=2))</formula>
    </cfRule>
  </conditionalFormatting>
  <conditionalFormatting sqref="M42:M46">
    <cfRule type="expression" dxfId="554" priority="282">
      <formula>AND(L42&gt;0,IF(COUNTIF(L$42:L$46,L42)&gt;1,TRUE,FALSE))</formula>
    </cfRule>
    <cfRule type="expression" dxfId="553" priority="283">
      <formula>AND(IF(COUNTIF(R$42:R$46,"=1")=2,TRUE),IF(COUNTIF(R$42:R$46,"=2")=2,TRUE))</formula>
    </cfRule>
    <cfRule type="expression" dxfId="552" priority="284">
      <formula>AND(R42=4,IF(COUNTIF(R$42:R$46,"=4")=1,TRUE))</formula>
    </cfRule>
    <cfRule type="expression" dxfId="551" priority="285">
      <formula>AND(R42=3,IF(COUNTIF(R$42:R$46,"=3")=1,TRUE))</formula>
    </cfRule>
    <cfRule type="expression" dxfId="550" priority="286">
      <formula>AND(R42=2,IF(COUNTIF(R$42:R$46,"=2")=1,TRUE))</formula>
    </cfRule>
    <cfRule type="expression" dxfId="549" priority="287">
      <formula>AND(R42=1,IF(COUNTIF(R$42:R$46,"=1")=1,TRUE))</formula>
    </cfRule>
    <cfRule type="expression" dxfId="548" priority="288">
      <formula>OR(R42=0,R42=5)</formula>
    </cfRule>
  </conditionalFormatting>
  <conditionalFormatting sqref="J42:J46">
    <cfRule type="expression" dxfId="547" priority="277">
      <formula>AND(Q42=4,IF(COUNTIF(Q$42:Q$46,"=4")&gt;=2,TRUE))</formula>
    </cfRule>
    <cfRule type="expression" dxfId="546" priority="278">
      <formula>AND(Q42=3,IF(COUNTIF(Q$42:Q$46,"=3")&gt;=2,TRUE))</formula>
    </cfRule>
    <cfRule type="expression" dxfId="545" priority="279">
      <formula>AND(Q42=2,IF(COUNTIF(Q$42:Q$46,"=2")&gt;=2,TRUE))</formula>
    </cfRule>
    <cfRule type="expression" dxfId="544" priority="280">
      <formula>AND(Q42=1,IF(COUNTIF(Q$42:Q$46,"=1")&gt;=2,TRUE))</formula>
    </cfRule>
  </conditionalFormatting>
  <conditionalFormatting sqref="K42:K46">
    <cfRule type="expression" dxfId="543" priority="298">
      <formula>AND(J42&gt;0,IF(COUNTIF(J$42:J$46,"=1")=2,TRUE),IF(COUNTIF(J$42:J$46,"=2")=2,TRUE))</formula>
    </cfRule>
    <cfRule type="expression" dxfId="542" priority="299">
      <formula>IF(COUNTIF(L$42:L$46,"=2")=2,TRUE)</formula>
    </cfRule>
    <cfRule type="expression" dxfId="541" priority="300">
      <formula>IF(COUNTIF(L$42:L$46,"=1")=2,TRUE)</formula>
    </cfRule>
    <cfRule type="expression" dxfId="540" priority="301">
      <formula>AND(IF(COUNTIF(R$42:R$46,"=1")=2,TRUE),IF(COUNTIF(S$42:S$46,"=2")=2,TRUE))</formula>
    </cfRule>
    <cfRule type="expression" dxfId="539" priority="302">
      <formula>AND(R42=4,IF(COUNTIF(R$42:R$46,"=4")=1,TRUE))</formula>
    </cfRule>
    <cfRule type="expression" dxfId="538" priority="303">
      <formula>AND(R42=3,IF(COUNTIF(R$42:R$46,"=3")=1,TRUE))</formula>
    </cfRule>
    <cfRule type="expression" dxfId="537" priority="304">
      <formula>AND(R42=2,IF(COUNTIF(R$42:R$46,"=2")=1,TRUE))</formula>
    </cfRule>
    <cfRule type="expression" dxfId="536" priority="305">
      <formula>AND(R42=1,IF(COUNTIF(R$42:R$46,"=1")=1,TRUE))</formula>
    </cfRule>
    <cfRule type="expression" dxfId="535" priority="306">
      <formula>OR(R42=0,R42=5)</formula>
    </cfRule>
  </conditionalFormatting>
  <conditionalFormatting sqref="H42:H46">
    <cfRule type="expression" dxfId="534" priority="273">
      <formula>AND(Q42=4,IF(COUNTIF(Q$42:Q$46,"=4")&gt;=2,TRUE))</formula>
    </cfRule>
    <cfRule type="expression" dxfId="533" priority="274">
      <formula>AND(Q42=3,IF(COUNTIF(Q$42:Q$46,"=3")&gt;=2,TRUE))</formula>
    </cfRule>
    <cfRule type="expression" dxfId="532" priority="275">
      <formula>AND(Q42=2,IF(COUNTIF(Q$42:Q$46,"=2")&gt;=2,TRUE))</formula>
    </cfRule>
    <cfRule type="expression" dxfId="531" priority="276">
      <formula>AND(Q42=1,IF(COUNTIF(Q$42:Q$46,"=1")&gt;=2,TRUE))</formula>
    </cfRule>
  </conditionalFormatting>
  <conditionalFormatting sqref="L49:L53">
    <cfRule type="expression" dxfId="530" priority="247">
      <formula>K49=0</formula>
    </cfRule>
    <cfRule type="expression" dxfId="529" priority="256">
      <formula>IF(COUNTIF(J$49:J$53,"=2")=2,TRUE)</formula>
    </cfRule>
    <cfRule type="expression" dxfId="528" priority="257">
      <formula>IF(COUNTIF(J$49:J$53,"=1")=2,TRUE)</formula>
    </cfRule>
    <cfRule type="expression" dxfId="527" priority="258">
      <formula>AND(IF(COUNTIF(Q$49:Q$53,"=1")=2,TRUE),IF(COUNTIF(Q$49:Q$53,"=2")=2,TRUE))</formula>
    </cfRule>
    <cfRule type="expression" dxfId="526" priority="259">
      <formula>AND(Q49=4,IF(COUNTIF(Q$49:Q$53,"=4")=1,TRUE))</formula>
    </cfRule>
    <cfRule type="expression" dxfId="525" priority="260">
      <formula>AND(Q49=3,IF(COUNTIF(Q$49:Q$53,"=3")=1,TRUE))</formula>
    </cfRule>
    <cfRule type="expression" dxfId="524" priority="261">
      <formula>AND(Q49=2,IF(COUNTIF(Q$49:Q$53,"=2")=1,TRUE))</formula>
    </cfRule>
    <cfRule type="expression" dxfId="523" priority="262">
      <formula>AND(Q49=1,IF(COUNTIF(Q$49:Q$53,"=1")=1,TRUE))</formula>
    </cfRule>
    <cfRule type="expression" dxfId="522" priority="263">
      <formula>OR(Q49=0,Q49=5)</formula>
    </cfRule>
  </conditionalFormatting>
  <conditionalFormatting sqref="O49:O53">
    <cfRule type="expression" dxfId="521" priority="255">
      <formula>OR(AND(J49=1,K49=1,L49=0,M49=1),AND(J49=2,K49=2,L49=0,M49=2))</formula>
    </cfRule>
  </conditionalFormatting>
  <conditionalFormatting sqref="M49:M53">
    <cfRule type="expression" dxfId="520" priority="248">
      <formula>AND(L49&gt;0,IF(COUNTIF(L$49:L$53,L49)&gt;1,TRUE,FALSE))</formula>
    </cfRule>
    <cfRule type="expression" dxfId="519" priority="249">
      <formula>AND(IF(COUNTIF(R$49:R$53,"=1")=2,TRUE),IF(COUNTIF(R$49:R$53,"=2")=2,TRUE))</formula>
    </cfRule>
    <cfRule type="expression" dxfId="518" priority="250">
      <formula>AND(R49=4,IF(COUNTIF(R$49:R$53,"=4")=1,TRUE))</formula>
    </cfRule>
    <cfRule type="expression" dxfId="517" priority="251">
      <formula>AND(R49=3,IF(COUNTIF(R$49:R$53,"=3")=1,TRUE))</formula>
    </cfRule>
    <cfRule type="expression" dxfId="516" priority="252">
      <formula>AND(R49=2,IF(COUNTIF(R$49:R$53,"=2")=1,TRUE))</formula>
    </cfRule>
    <cfRule type="expression" dxfId="515" priority="253">
      <formula>AND(R49=1,IF(COUNTIF(R$49:R$53,"=1")=1,TRUE))</formula>
    </cfRule>
    <cfRule type="expression" dxfId="514" priority="254">
      <formula>OR(R49=0,R49=5)</formula>
    </cfRule>
  </conditionalFormatting>
  <conditionalFormatting sqref="J49:J53">
    <cfRule type="expression" dxfId="513" priority="243">
      <formula>AND(Q49=4,IF(COUNTIF(Q$49:Q$53,"=4")&gt;=2,TRUE))</formula>
    </cfRule>
    <cfRule type="expression" dxfId="512" priority="244">
      <formula>AND(Q49=3,IF(COUNTIF(Q$49:Q$53,"=3")&gt;=2,TRUE))</formula>
    </cfRule>
    <cfRule type="expression" dxfId="511" priority="245">
      <formula>AND(Q49=2,IF(COUNTIF(Q$49:Q$53,"=2")&gt;=2,TRUE))</formula>
    </cfRule>
    <cfRule type="expression" dxfId="510" priority="246">
      <formula>AND(Q49=1,IF(COUNTIF(Q$49:Q$53,"=1")&gt;=2,TRUE))</formula>
    </cfRule>
  </conditionalFormatting>
  <conditionalFormatting sqref="K49:K53">
    <cfRule type="expression" dxfId="509" priority="264">
      <formula>AND(J49&gt;0,IF(COUNTIF(J$49:J$53,"=1")=2,TRUE),IF(COUNTIF(J$49:J$53,"=2")=2,TRUE))</formula>
    </cfRule>
    <cfRule type="expression" dxfId="508" priority="265">
      <formula>IF(COUNTIF(L$49:L$53,"=2")=2,TRUE)</formula>
    </cfRule>
    <cfRule type="expression" dxfId="507" priority="266">
      <formula>IF(COUNTIF(L$49:L$53,"=1")=2,TRUE)</formula>
    </cfRule>
    <cfRule type="expression" dxfId="506" priority="267">
      <formula>AND(IF(COUNTIF(R$49:R$53,"=1")=2,TRUE),IF(COUNTIF(S$49:S$53,"=2")=2,TRUE))</formula>
    </cfRule>
    <cfRule type="expression" dxfId="505" priority="268">
      <formula>AND(R49=4,IF(COUNTIF(R$49:R$53,"=4")=1,TRUE))</formula>
    </cfRule>
    <cfRule type="expression" dxfId="504" priority="269">
      <formula>AND(R49=3,IF(COUNTIF(R$49:R$53,"=3")=1,TRUE))</formula>
    </cfRule>
    <cfRule type="expression" dxfId="503" priority="270">
      <formula>AND(R49=2,IF(COUNTIF(R$49:R$53,"=2")=1,TRUE))</formula>
    </cfRule>
    <cfRule type="expression" dxfId="502" priority="271">
      <formula>AND(R49=1,IF(COUNTIF(R$49:R$53,"=1")=1,TRUE))</formula>
    </cfRule>
    <cfRule type="expression" dxfId="501" priority="272">
      <formula>OR(R49=0,R49=5)</formula>
    </cfRule>
  </conditionalFormatting>
  <conditionalFormatting sqref="H49:H53">
    <cfRule type="expression" dxfId="500" priority="239">
      <formula>AND(Q49=4,IF(COUNTIF(Q$49:Q$53,"=4")&gt;=2,TRUE))</formula>
    </cfRule>
    <cfRule type="expression" dxfId="499" priority="240">
      <formula>AND(Q49=3,IF(COUNTIF(Q$49:Q$53,"=3")&gt;=2,TRUE))</formula>
    </cfRule>
    <cfRule type="expression" dxfId="498" priority="241">
      <formula>AND(Q49=2,IF(COUNTIF(Q$49:Q$53,"=2")&gt;=2,TRUE))</formula>
    </cfRule>
    <cfRule type="expression" dxfId="497" priority="242">
      <formula>AND(Q49=1,IF(COUNTIF(Q$49:Q$53,"=1")&gt;=2,TRUE))</formula>
    </cfRule>
  </conditionalFormatting>
  <conditionalFormatting sqref="L56:L60">
    <cfRule type="expression" dxfId="496" priority="213">
      <formula>K56=0</formula>
    </cfRule>
    <cfRule type="expression" dxfId="495" priority="222">
      <formula>IF(COUNTIF(J$56:J$60,"=2")=2,TRUE)</formula>
    </cfRule>
    <cfRule type="expression" dxfId="494" priority="223">
      <formula>IF(COUNTIF(J$56:J$60,"=1")=2,TRUE)</formula>
    </cfRule>
    <cfRule type="expression" dxfId="493" priority="224">
      <formula>AND(IF(COUNTIF(Q$56:Q$60,"=1")=2,TRUE),IF(COUNTIF(Q$56:Q$60,"=2")=2,TRUE))</formula>
    </cfRule>
    <cfRule type="expression" dxfId="492" priority="225">
      <formula>AND(Q56=4,IF(COUNTIF(Q$56:Q$60,"=4")=1,TRUE))</formula>
    </cfRule>
    <cfRule type="expression" dxfId="491" priority="226">
      <formula>AND(Q56=3,IF(COUNTIF(Q$56:Q$60,"=3")=1,TRUE))</formula>
    </cfRule>
    <cfRule type="expression" dxfId="490" priority="227">
      <formula>AND(Q56=2,IF(COUNTIF(Q$56:Q$60,"=2")=1,TRUE))</formula>
    </cfRule>
    <cfRule type="expression" dxfId="489" priority="228">
      <formula>AND(Q56=1,IF(COUNTIF(Q$56:Q$60,"=1")=1,TRUE))</formula>
    </cfRule>
    <cfRule type="expression" dxfId="488" priority="229">
      <formula>OR(Q56=0,Q56=5)</formula>
    </cfRule>
  </conditionalFormatting>
  <conditionalFormatting sqref="O56:O60">
    <cfRule type="expression" dxfId="487" priority="221">
      <formula>OR(AND(J56=1,K56=1,L56=0,M56=1),AND(J56=2,K56=2,L56=0,M56=2))</formula>
    </cfRule>
  </conditionalFormatting>
  <conditionalFormatting sqref="M56:M60">
    <cfRule type="expression" dxfId="486" priority="214">
      <formula>AND(L56&gt;0,IF(COUNTIF(L$56:L$60,L56)&gt;1,TRUE,FALSE))</formula>
    </cfRule>
    <cfRule type="expression" dxfId="485" priority="215">
      <formula>AND(IF(COUNTIF(R$56:R$60,"=1")=2,TRUE),IF(COUNTIF(R$56:R$60,"=2")=2,TRUE))</formula>
    </cfRule>
    <cfRule type="expression" dxfId="484" priority="216">
      <formula>AND(R56=4,IF(COUNTIF(R$56:R$60,"=4")=1,TRUE))</formula>
    </cfRule>
    <cfRule type="expression" dxfId="483" priority="217">
      <formula>AND(R56=3,IF(COUNTIF(R$56:R$60,"=3")=1,TRUE))</formula>
    </cfRule>
    <cfRule type="expression" dxfId="482" priority="218">
      <formula>AND(R56=2,IF(COUNTIF(R$56:R$60,"=2")=1,TRUE))</formula>
    </cfRule>
    <cfRule type="expression" dxfId="481" priority="219">
      <formula>AND(R56=1,IF(COUNTIF(R$56:R$60,"=1")=1,TRUE))</formula>
    </cfRule>
    <cfRule type="expression" dxfId="480" priority="220">
      <formula>OR(R56=0,R56=5)</formula>
    </cfRule>
  </conditionalFormatting>
  <conditionalFormatting sqref="J56:J60">
    <cfRule type="expression" dxfId="479" priority="209">
      <formula>AND(Q56=4,IF(COUNTIF(Q$56:Q$60,"=4")&gt;=2,TRUE))</formula>
    </cfRule>
    <cfRule type="expression" dxfId="478" priority="210">
      <formula>AND(Q56=3,IF(COUNTIF(Q$56:Q$60,"=3")&gt;=2,TRUE))</formula>
    </cfRule>
    <cfRule type="expression" dxfId="477" priority="211">
      <formula>AND(Q56=2,IF(COUNTIF(Q$56:Q$60,"=2")&gt;=2,TRUE))</formula>
    </cfRule>
    <cfRule type="expression" dxfId="476" priority="212">
      <formula>AND(Q56=1,IF(COUNTIF(Q$56:Q$60,"=1")&gt;=2,TRUE))</formula>
    </cfRule>
  </conditionalFormatting>
  <conditionalFormatting sqref="K56:K60">
    <cfRule type="expression" dxfId="475" priority="230">
      <formula>AND(J56&gt;0,IF(COUNTIF(J$56:J$60,"=1")=2,TRUE),IF(COUNTIF(J$56:J$60,"=2")=2,TRUE))</formula>
    </cfRule>
    <cfRule type="expression" dxfId="474" priority="231">
      <formula>IF(COUNTIF(L$56:L$60,"=2")=2,TRUE)</formula>
    </cfRule>
    <cfRule type="expression" dxfId="473" priority="232">
      <formula>IF(COUNTIF(L$56:L$60,"=1")=2,TRUE)</formula>
    </cfRule>
    <cfRule type="expression" dxfId="472" priority="233">
      <formula>AND(IF(COUNTIF(R$56:R$60,"=1")=2,TRUE),IF(COUNTIF(S$56:S$60,"=2")=2,TRUE))</formula>
    </cfRule>
    <cfRule type="expression" dxfId="471" priority="234">
      <formula>AND(R56=4,IF(COUNTIF(R$56:R$60,"=4")=1,TRUE))</formula>
    </cfRule>
    <cfRule type="expression" dxfId="470" priority="235">
      <formula>AND(R56=3,IF(COUNTIF(R$56:R$60,"=3")=1,TRUE))</formula>
    </cfRule>
    <cfRule type="expression" dxfId="469" priority="236">
      <formula>AND(R56=2,IF(COUNTIF(R$56:R$60,"=2")=1,TRUE))</formula>
    </cfRule>
    <cfRule type="expression" dxfId="468" priority="237">
      <formula>AND(R56=1,IF(COUNTIF(R$56:R$60,"=1")=1,TRUE))</formula>
    </cfRule>
    <cfRule type="expression" dxfId="467" priority="238">
      <formula>OR(R56=0,R56=5)</formula>
    </cfRule>
  </conditionalFormatting>
  <conditionalFormatting sqref="H56:H60">
    <cfRule type="expression" dxfId="466" priority="205">
      <formula>AND(Q56=4,IF(COUNTIF(Q$56:Q$60,"=4")&gt;=2,TRUE))</formula>
    </cfRule>
    <cfRule type="expression" dxfId="465" priority="206">
      <formula>AND(Q56=3,IF(COUNTIF(Q$56:Q$60,"=3")&gt;=2,TRUE))</formula>
    </cfRule>
    <cfRule type="expression" dxfId="464" priority="207">
      <formula>AND(Q56=2,IF(COUNTIF(Q$50:Q$56,"=2")&gt;=2,TRUE))</formula>
    </cfRule>
    <cfRule type="expression" dxfId="463" priority="208">
      <formula>AND(Q56=1,IF(COUNTIF(Q$56:Q$60,"=1")&gt;=2,TRUE))</formula>
    </cfRule>
  </conditionalFormatting>
  <conditionalFormatting sqref="A102:A116">
    <cfRule type="cellIs" dxfId="462" priority="202" operator="equal">
      <formula>"-"</formula>
    </cfRule>
    <cfRule type="duplicateValues" dxfId="461" priority="203"/>
  </conditionalFormatting>
  <conditionalFormatting sqref="A140:A154">
    <cfRule type="cellIs" dxfId="460" priority="173" operator="equal">
      <formula>"-"</formula>
    </cfRule>
    <cfRule type="duplicateValues" dxfId="459" priority="174"/>
  </conditionalFormatting>
  <conditionalFormatting sqref="G124 G128 G131 G133">
    <cfRule type="containsBlanks" dxfId="458" priority="68">
      <formula>LEN(TRIM(G124))=0</formula>
    </cfRule>
  </conditionalFormatting>
  <conditionalFormatting sqref="E123 E125">
    <cfRule type="containsBlanks" dxfId="457" priority="66">
      <formula>LEN(TRIM(E123))=0</formula>
    </cfRule>
  </conditionalFormatting>
  <conditionalFormatting sqref="E127 E129">
    <cfRule type="containsBlanks" dxfId="456" priority="64">
      <formula>LEN(TRIM(E127))=0</formula>
    </cfRule>
  </conditionalFormatting>
  <conditionalFormatting sqref="G124 G128">
    <cfRule type="aboveAverage" dxfId="455" priority="70"/>
  </conditionalFormatting>
  <conditionalFormatting sqref="G131 G133">
    <cfRule type="aboveAverage" dxfId="454" priority="69"/>
  </conditionalFormatting>
  <conditionalFormatting sqref="E123 E125">
    <cfRule type="aboveAverage" dxfId="453" priority="67"/>
  </conditionalFormatting>
  <conditionalFormatting sqref="E127 E129">
    <cfRule type="aboveAverage" dxfId="452" priority="65"/>
  </conditionalFormatting>
  <conditionalFormatting sqref="G117 G119">
    <cfRule type="aboveAverage" dxfId="451" priority="63"/>
  </conditionalFormatting>
  <conditionalFormatting sqref="G117 G119">
    <cfRule type="containsBlanks" dxfId="450" priority="62">
      <formula>LEN(TRIM(G117))=0</formula>
    </cfRule>
  </conditionalFormatting>
  <conditionalFormatting sqref="E103 E107">
    <cfRule type="containsBlanks" dxfId="449" priority="60">
      <formula>LEN(TRIM(E103))=0</formula>
    </cfRule>
    <cfRule type="aboveAverage" dxfId="448" priority="61"/>
  </conditionalFormatting>
  <conditionalFormatting sqref="C106 C108">
    <cfRule type="aboveAverage" dxfId="447" priority="59"/>
  </conditionalFormatting>
  <conditionalFormatting sqref="C110 C112">
    <cfRule type="aboveAverage" dxfId="446" priority="58"/>
  </conditionalFormatting>
  <conditionalFormatting sqref="C114 C116">
    <cfRule type="aboveAverage" dxfId="445" priority="57"/>
  </conditionalFormatting>
  <conditionalFormatting sqref="C106 C108 C110 C112 C114 C116">
    <cfRule type="containsBlanks" dxfId="444" priority="56">
      <formula>LEN(TRIM(C106))=0</formula>
    </cfRule>
  </conditionalFormatting>
  <conditionalFormatting sqref="C102 C104">
    <cfRule type="aboveAverage" dxfId="443" priority="55"/>
  </conditionalFormatting>
  <conditionalFormatting sqref="C102 C104">
    <cfRule type="containsBlanks" dxfId="442" priority="54">
      <formula>LEN(TRIM(C102))=0</formula>
    </cfRule>
  </conditionalFormatting>
  <conditionalFormatting sqref="E111 E115">
    <cfRule type="containsBlanks" dxfId="441" priority="52">
      <formula>LEN(TRIM(E111))=0</formula>
    </cfRule>
    <cfRule type="aboveAverage" dxfId="440" priority="53"/>
  </conditionalFormatting>
  <conditionalFormatting sqref="G105 G113">
    <cfRule type="containsBlanks" dxfId="439" priority="50">
      <formula>LEN(TRIM(G105))=0</formula>
    </cfRule>
    <cfRule type="aboveAverage" dxfId="438" priority="51"/>
  </conditionalFormatting>
  <conditionalFormatting sqref="G162 G166 G169 G171">
    <cfRule type="containsBlanks" dxfId="437" priority="47">
      <formula>LEN(TRIM(G162))=0</formula>
    </cfRule>
  </conditionalFormatting>
  <conditionalFormatting sqref="E161 E163">
    <cfRule type="containsBlanks" dxfId="436" priority="45">
      <formula>LEN(TRIM(E161))=0</formula>
    </cfRule>
  </conditionalFormatting>
  <conditionalFormatting sqref="E165 E167">
    <cfRule type="containsBlanks" dxfId="435" priority="43">
      <formula>LEN(TRIM(E165))=0</formula>
    </cfRule>
  </conditionalFormatting>
  <conditionalFormatting sqref="G162 G166">
    <cfRule type="aboveAverage" dxfId="434" priority="49"/>
  </conditionalFormatting>
  <conditionalFormatting sqref="G169 G171">
    <cfRule type="aboveAverage" dxfId="433" priority="48"/>
  </conditionalFormatting>
  <conditionalFormatting sqref="E161 E163">
    <cfRule type="aboveAverage" dxfId="432" priority="46"/>
  </conditionalFormatting>
  <conditionalFormatting sqref="E165 E167">
    <cfRule type="aboveAverage" dxfId="431" priority="44"/>
  </conditionalFormatting>
  <conditionalFormatting sqref="G155 G157">
    <cfRule type="aboveAverage" dxfId="430" priority="42"/>
  </conditionalFormatting>
  <conditionalFormatting sqref="G155 G157">
    <cfRule type="containsBlanks" dxfId="429" priority="41">
      <formula>LEN(TRIM(G155))=0</formula>
    </cfRule>
  </conditionalFormatting>
  <conditionalFormatting sqref="E141 E145">
    <cfRule type="containsBlanks" dxfId="428" priority="39">
      <formula>LEN(TRIM(E141))=0</formula>
    </cfRule>
    <cfRule type="aboveAverage" dxfId="427" priority="40"/>
  </conditionalFormatting>
  <conditionalFormatting sqref="C144 C146">
    <cfRule type="aboveAverage" dxfId="426" priority="38"/>
  </conditionalFormatting>
  <conditionalFormatting sqref="C148 C150">
    <cfRule type="aboveAverage" dxfId="425" priority="37"/>
  </conditionalFormatting>
  <conditionalFormatting sqref="C152 C154">
    <cfRule type="aboveAverage" dxfId="424" priority="36"/>
  </conditionalFormatting>
  <conditionalFormatting sqref="C144 C146 C148 C150 C152 C154">
    <cfRule type="containsBlanks" dxfId="423" priority="35">
      <formula>LEN(TRIM(C144))=0</formula>
    </cfRule>
  </conditionalFormatting>
  <conditionalFormatting sqref="C140 C142">
    <cfRule type="aboveAverage" dxfId="422" priority="34"/>
  </conditionalFormatting>
  <conditionalFormatting sqref="C140 C142">
    <cfRule type="containsBlanks" dxfId="421" priority="33">
      <formula>LEN(TRIM(C140))=0</formula>
    </cfRule>
  </conditionalFormatting>
  <conditionalFormatting sqref="E149 E153">
    <cfRule type="containsBlanks" dxfId="420" priority="31">
      <formula>LEN(TRIM(E149))=0</formula>
    </cfRule>
    <cfRule type="aboveAverage" dxfId="419" priority="32"/>
  </conditionalFormatting>
  <conditionalFormatting sqref="G143 G151">
    <cfRule type="containsBlanks" dxfId="418" priority="29">
      <formula>LEN(TRIM(G143))=0</formula>
    </cfRule>
    <cfRule type="aboveAverage" dxfId="417" priority="30"/>
  </conditionalFormatting>
  <conditionalFormatting sqref="C116">
    <cfRule type="aboveAverage" dxfId="416" priority="28"/>
  </conditionalFormatting>
  <conditionalFormatting sqref="B300:B315">
    <cfRule type="expression" dxfId="415" priority="582">
      <formula>A300=3</formula>
    </cfRule>
    <cfRule type="expression" dxfId="414" priority="583">
      <formula>A300=2</formula>
    </cfRule>
    <cfRule type="expression" dxfId="413" priority="584">
      <formula>A300=1</formula>
    </cfRule>
    <cfRule type="containsBlanks" dxfId="412" priority="585">
      <formula>LEN(TRIM(B300))=0</formula>
    </cfRule>
    <cfRule type="duplicateValues" dxfId="411" priority="586"/>
  </conditionalFormatting>
  <conditionalFormatting sqref="AJ7:AJ31">
    <cfRule type="expression" dxfId="410" priority="21">
      <formula>AND(AI7="",FIND(",",AJ7))</formula>
    </cfRule>
    <cfRule type="expression" dxfId="409" priority="23">
      <formula>AND(AI7="",COUNTIF(AJ7,"*,*")=0)</formula>
    </cfRule>
  </conditionalFormatting>
  <conditionalFormatting sqref="AH7:AH31">
    <cfRule type="expression" dxfId="408" priority="24">
      <formula>AND(AG7="",FIND(",",AH7))</formula>
    </cfRule>
    <cfRule type="expression" dxfId="407" priority="25">
      <formula>AND(AG7="",COUNTIF(AH7,"*,*")=0)</formula>
    </cfRule>
  </conditionalFormatting>
  <conditionalFormatting sqref="AL7:AL31">
    <cfRule type="expression" dxfId="406" priority="26">
      <formula>AND(AK7="",FIND(",",AL7))</formula>
    </cfRule>
    <cfRule type="expression" dxfId="405" priority="27">
      <formula>AND(AK7="",COUNTIF(AL7,"*,*")=0)</formula>
    </cfRule>
  </conditionalFormatting>
  <conditionalFormatting sqref="AF7:AF31">
    <cfRule type="expression" dxfId="404" priority="22">
      <formula>AND(AE7="",COUNTIF(AF7,"*,*")=0)</formula>
    </cfRule>
  </conditionalFormatting>
  <conditionalFormatting sqref="AN7:AN31">
    <cfRule type="expression" dxfId="403" priority="18">
      <formula>AND(AM7="",COUNTIF(AN7,"*,*")=0)</formula>
    </cfRule>
    <cfRule type="expression" dxfId="402" priority="20">
      <formula>AND(AM7="",FIND(",",AN7))</formula>
    </cfRule>
  </conditionalFormatting>
  <conditionalFormatting sqref="AP7:AP31">
    <cfRule type="expression" dxfId="401" priority="17">
      <formula>AND(AO7="",COUNTIF(AP7,"*,*")=0)</formula>
    </cfRule>
    <cfRule type="expression" dxfId="400" priority="19">
      <formula>AND(AO7="",FIND(",",AP7))</formula>
    </cfRule>
  </conditionalFormatting>
  <conditionalFormatting sqref="I56:I60">
    <cfRule type="expression" dxfId="399" priority="7">
      <formula>FIND(2,I56,1)</formula>
    </cfRule>
    <cfRule type="expression" dxfId="398" priority="8">
      <formula>FIND(1,I56,1)</formula>
    </cfRule>
  </conditionalFormatting>
  <conditionalFormatting sqref="I28:I32">
    <cfRule type="expression" dxfId="397" priority="11">
      <formula>FIND(2,I28,1)</formula>
    </cfRule>
    <cfRule type="expression" dxfId="396" priority="12">
      <formula>FIND(1,I28,1)</formula>
    </cfRule>
  </conditionalFormatting>
  <conditionalFormatting sqref="I21:I25">
    <cfRule type="expression" dxfId="395" priority="13">
      <formula>FIND(2,I21,1)</formula>
    </cfRule>
    <cfRule type="expression" dxfId="394" priority="14">
      <formula>FIND(1,I21,1)</formula>
    </cfRule>
  </conditionalFormatting>
  <conditionalFormatting sqref="I49:I53">
    <cfRule type="expression" dxfId="393" priority="9">
      <formula>FIND(2,I49,1)</formula>
    </cfRule>
    <cfRule type="expression" dxfId="392" priority="10">
      <formula>FIND(1,I49,1)</formula>
    </cfRule>
  </conditionalFormatting>
  <conditionalFormatting sqref="I7:I11">
    <cfRule type="expression" dxfId="391" priority="15">
      <formula>FIND(2,I7,1)</formula>
    </cfRule>
    <cfRule type="expression" dxfId="390" priority="16">
      <formula>FIND(1,I7,1)</formula>
    </cfRule>
  </conditionalFormatting>
  <conditionalFormatting sqref="I35:I39">
    <cfRule type="expression" dxfId="389" priority="5">
      <formula>FIND(2,I35,1)</formula>
    </cfRule>
    <cfRule type="expression" dxfId="388" priority="6">
      <formula>FIND(1,I35,1)</formula>
    </cfRule>
  </conditionalFormatting>
  <conditionalFormatting sqref="I42:I46">
    <cfRule type="expression" dxfId="387" priority="3">
      <formula>FIND(2,I42,1)</formula>
    </cfRule>
    <cfRule type="expression" dxfId="386" priority="4">
      <formula>FIND(1,I42,1)</formula>
    </cfRule>
  </conditionalFormatting>
  <conditionalFormatting sqref="I14:I18">
    <cfRule type="expression" dxfId="385" priority="1">
      <formula>FIND(2,I14,1)</formula>
    </cfRule>
    <cfRule type="expression" dxfId="384" priority="2">
      <formula>FIND(1,I14,1)</formula>
    </cfRule>
  </conditionalFormatting>
  <pageMargins left="0.78740157480314965" right="0.39370078740157483" top="0.78740157480314965" bottom="0.39370078740157483" header="0.59055118110236227" footer="0"/>
  <pageSetup paperSize="9" scale="21" fitToHeight="0" orientation="portrait" verticalDpi="1200" r:id="rId1"/>
  <headerFooter>
    <oddHeader>&amp;R&amp;P. leht &amp;N&amp; -st</oddHeader>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317"/>
  <sheetViews>
    <sheetView showGridLines="0" workbookViewId="0">
      <pane ySplit="1" topLeftCell="A22" activePane="bottomLeft" state="frozen"/>
      <selection pane="bottomLeft" activeCell="I117" sqref="I117"/>
    </sheetView>
  </sheetViews>
  <sheetFormatPr defaultRowHeight="12.75" x14ac:dyDescent="0.2"/>
  <cols>
    <col min="1" max="1" width="3.28515625" style="1" customWidth="1"/>
    <col min="2" max="2" width="38.85546875" style="1" bestFit="1" customWidth="1"/>
    <col min="3" max="9" width="5.85546875" style="1" customWidth="1"/>
    <col min="10" max="15" width="5.5703125" style="1" customWidth="1"/>
    <col min="16" max="18" width="9.140625" style="1" hidden="1" customWidth="1"/>
    <col min="19" max="19" width="11.5703125" style="1" hidden="1" customWidth="1"/>
    <col min="20" max="20" width="9.140625" style="1" hidden="1" customWidth="1"/>
    <col min="21" max="21" width="9.140625" style="1"/>
    <col min="22" max="27" width="0" style="1" hidden="1" customWidth="1"/>
    <col min="28" max="28" width="9.140625" style="1" hidden="1" customWidth="1"/>
    <col min="29" max="29" width="9.140625" style="1" customWidth="1"/>
    <col min="30" max="31" width="9.140625" style="1" hidden="1" customWidth="1"/>
    <col min="32" max="32" width="18.140625" style="1" hidden="1" customWidth="1"/>
    <col min="33" max="33" width="9.140625" style="1" hidden="1" customWidth="1"/>
    <col min="34" max="34" width="29.28515625" style="1" hidden="1" customWidth="1"/>
    <col min="35" max="35" width="9.140625" style="1" hidden="1" customWidth="1"/>
    <col min="36" max="36" width="17.28515625" style="1" hidden="1" customWidth="1"/>
    <col min="37" max="37" width="9.140625" style="1" hidden="1" customWidth="1"/>
    <col min="38" max="38" width="13.85546875" style="1" hidden="1" customWidth="1"/>
    <col min="39" max="39" width="9.140625" style="1" hidden="1" customWidth="1"/>
    <col min="40" max="40" width="17.28515625" style="1" hidden="1" customWidth="1"/>
    <col min="41" max="41" width="0" style="1" hidden="1" customWidth="1"/>
    <col min="42" max="42" width="13.85546875" style="1" hidden="1" customWidth="1"/>
    <col min="43" max="16384" width="9.140625" style="1"/>
  </cols>
  <sheetData>
    <row r="1" spans="1:42" x14ac:dyDescent="0.2">
      <c r="A1" s="400" t="str">
        <f>UPPER((Kalend!E7)&amp;" - "&amp;(Kalend!C7))&amp;" - "&amp;LOWER(Kalend!D7)&amp;" - "&amp;(Kalend!A7)&amp;" kell "&amp;(Kalend!B7)&amp;" - "&amp;(Kalend!F7)</f>
        <v>V2 - VOKA III SISE-KV 2. ETAPP - duo - P, 27.10.2019 kell 11:30 - Voka petangihall</v>
      </c>
      <c r="C1" s="477"/>
      <c r="D1" s="477"/>
      <c r="E1" s="477"/>
      <c r="F1" s="477"/>
      <c r="G1" s="477"/>
      <c r="H1" s="477"/>
      <c r="I1" s="477"/>
      <c r="J1" s="477"/>
      <c r="K1" s="477"/>
      <c r="L1" s="477"/>
      <c r="M1" s="477"/>
      <c r="N1" s="477"/>
      <c r="P1" s="447" t="s">
        <v>94</v>
      </c>
      <c r="Q1" s="448"/>
      <c r="R1" s="448"/>
      <c r="S1" s="448"/>
      <c r="T1" s="448"/>
      <c r="U1" s="70"/>
      <c r="V1" s="291"/>
      <c r="W1" s="271"/>
      <c r="X1" s="271"/>
      <c r="Y1" s="271"/>
      <c r="AD1" s="152" t="s">
        <v>94</v>
      </c>
      <c r="AE1" s="402"/>
      <c r="AF1" s="402"/>
      <c r="AG1" s="402"/>
      <c r="AH1" s="402"/>
      <c r="AI1" s="402"/>
      <c r="AJ1" s="402"/>
      <c r="AK1" s="402"/>
      <c r="AL1" s="402"/>
      <c r="AM1" s="402"/>
      <c r="AN1" s="402"/>
      <c r="AO1" s="532"/>
      <c r="AP1" s="532"/>
    </row>
    <row r="2" spans="1:42" hidden="1" x14ac:dyDescent="0.2">
      <c r="A2" s="477"/>
      <c r="C2" s="477"/>
      <c r="D2" s="477"/>
      <c r="E2" s="477"/>
      <c r="F2" s="477"/>
      <c r="G2" s="477"/>
      <c r="H2" s="477"/>
      <c r="I2" s="477"/>
      <c r="J2" s="477"/>
      <c r="K2" s="477"/>
      <c r="L2" s="477"/>
      <c r="M2" s="477"/>
      <c r="N2" s="477"/>
      <c r="O2" s="477"/>
      <c r="P2" s="271"/>
      <c r="Q2" s="271"/>
      <c r="R2" s="271"/>
      <c r="S2" s="271"/>
      <c r="T2" s="409"/>
      <c r="U2" s="409"/>
      <c r="V2" s="271"/>
      <c r="W2" s="271"/>
      <c r="X2" s="271"/>
      <c r="AD2" s="271"/>
      <c r="AE2" s="271"/>
      <c r="AF2" s="271"/>
      <c r="AG2" s="271"/>
      <c r="AH2" s="271"/>
      <c r="AI2" s="271"/>
      <c r="AJ2" s="412"/>
      <c r="AK2" s="271"/>
      <c r="AL2" s="271"/>
      <c r="AM2" s="271"/>
      <c r="AN2" s="271"/>
    </row>
    <row r="3" spans="1:42" hidden="1" x14ac:dyDescent="0.2">
      <c r="A3" s="477"/>
      <c r="C3" s="477"/>
      <c r="D3" s="477"/>
      <c r="E3" s="477"/>
      <c r="F3" s="477"/>
      <c r="G3" s="477"/>
      <c r="H3" s="477"/>
      <c r="I3" s="477"/>
      <c r="J3" s="477"/>
      <c r="K3" s="477"/>
      <c r="L3" s="477"/>
      <c r="M3" s="477"/>
      <c r="N3" s="477"/>
      <c r="O3" s="477"/>
      <c r="P3" s="271"/>
      <c r="Q3" s="271"/>
      <c r="R3" s="271"/>
      <c r="S3" s="271"/>
      <c r="T3" s="409"/>
      <c r="U3" s="409"/>
      <c r="V3" s="271"/>
      <c r="W3" s="271"/>
      <c r="X3" s="271"/>
      <c r="Y3" s="271"/>
      <c r="AE3" s="271"/>
      <c r="AG3" s="271"/>
      <c r="AH3" s="271"/>
      <c r="AI3" s="271"/>
      <c r="AJ3" s="271"/>
      <c r="AK3" s="271"/>
      <c r="AL3" s="271"/>
      <c r="AM3" s="271"/>
      <c r="AN3" s="271"/>
    </row>
    <row r="4" spans="1:42" hidden="1" x14ac:dyDescent="0.2">
      <c r="A4" s="477"/>
      <c r="C4" s="477"/>
      <c r="D4" s="477"/>
      <c r="E4" s="477"/>
      <c r="F4" s="477"/>
      <c r="G4" s="477"/>
      <c r="H4" s="477"/>
      <c r="I4" s="477"/>
      <c r="J4" s="477"/>
      <c r="K4" s="477"/>
      <c r="L4" s="477"/>
      <c r="M4" s="477"/>
      <c r="N4" s="477"/>
      <c r="O4" s="477"/>
      <c r="P4" s="271"/>
      <c r="Q4" s="271"/>
      <c r="R4" s="271"/>
      <c r="S4" s="271"/>
      <c r="T4" s="271"/>
      <c r="U4" s="271"/>
      <c r="V4" s="271"/>
      <c r="W4" s="271"/>
      <c r="X4" s="271"/>
      <c r="Y4" s="271"/>
      <c r="AE4" s="409"/>
      <c r="AF4" s="409"/>
      <c r="AG4" s="409"/>
      <c r="AH4" s="376"/>
      <c r="AI4" s="409"/>
      <c r="AJ4" s="409"/>
      <c r="AK4" s="409"/>
      <c r="AL4" s="409"/>
      <c r="AM4" s="409"/>
      <c r="AN4" s="409"/>
      <c r="AO4" s="409"/>
      <c r="AP4" s="409"/>
    </row>
    <row r="5" spans="1:42" x14ac:dyDescent="0.2">
      <c r="C5" s="477"/>
      <c r="D5" s="477"/>
      <c r="E5" s="477"/>
      <c r="F5" s="477"/>
      <c r="G5" s="477"/>
      <c r="H5" s="477"/>
      <c r="I5" s="477"/>
      <c r="J5" s="477"/>
      <c r="K5" s="477"/>
      <c r="L5" s="477"/>
      <c r="M5" s="477"/>
      <c r="N5" s="967" t="s">
        <v>476</v>
      </c>
      <c r="O5" s="477"/>
      <c r="P5" s="271"/>
      <c r="Q5" s="271"/>
      <c r="R5" s="271"/>
      <c r="S5" s="271"/>
      <c r="T5" s="271"/>
      <c r="U5" s="271"/>
      <c r="V5" s="271"/>
      <c r="W5" s="271"/>
      <c r="X5" s="271"/>
      <c r="Y5" s="271"/>
      <c r="AA5" s="271"/>
      <c r="AD5" s="964" t="s">
        <v>214</v>
      </c>
    </row>
    <row r="6" spans="1:42" x14ac:dyDescent="0.2">
      <c r="A6" s="316" t="s">
        <v>0</v>
      </c>
      <c r="B6" s="466"/>
      <c r="C6" s="467">
        <v>1</v>
      </c>
      <c r="D6" s="467">
        <v>2</v>
      </c>
      <c r="E6" s="467">
        <v>3</v>
      </c>
      <c r="F6" s="467"/>
      <c r="G6" s="467"/>
      <c r="H6" s="467" t="s">
        <v>168</v>
      </c>
      <c r="I6" s="275" t="s">
        <v>169</v>
      </c>
      <c r="J6" s="469" t="s">
        <v>257</v>
      </c>
      <c r="K6" s="470" t="s">
        <v>258</v>
      </c>
      <c r="L6" s="471" t="s">
        <v>259</v>
      </c>
      <c r="M6" s="471" t="s">
        <v>260</v>
      </c>
      <c r="N6" s="472" t="s">
        <v>170</v>
      </c>
      <c r="O6" s="472" t="s">
        <v>170</v>
      </c>
      <c r="P6" s="473" t="s">
        <v>261</v>
      </c>
      <c r="Q6" s="474" t="s">
        <v>21</v>
      </c>
      <c r="R6" s="474" t="b">
        <f>OR(AND(COUNTA(B7:B11)=3,COUNTA(C7:G11)=6),AND(COUNTA(B7:B11)=4,COUNTA(C7:G11)=12),AND(COUNTA(B7:B11)=5,COUNTA(C7:G11)=20))</f>
        <v>0</v>
      </c>
      <c r="S6" s="475" t="s">
        <v>262</v>
      </c>
      <c r="T6" s="476" t="s">
        <v>263</v>
      </c>
      <c r="U6" s="477"/>
      <c r="V6" s="477"/>
      <c r="W6" s="477"/>
      <c r="X6" s="477"/>
      <c r="Y6" s="477"/>
      <c r="Z6" s="477"/>
      <c r="AA6" s="478"/>
      <c r="AD6" s="272" t="s">
        <v>370</v>
      </c>
      <c r="AE6" s="273"/>
      <c r="AF6" s="273" t="s">
        <v>249</v>
      </c>
      <c r="AG6" s="273"/>
      <c r="AH6" s="403" t="s">
        <v>250</v>
      </c>
      <c r="AI6" s="273"/>
      <c r="AJ6" s="273" t="s">
        <v>251</v>
      </c>
      <c r="AK6" s="274"/>
      <c r="AL6" s="273" t="s">
        <v>252</v>
      </c>
      <c r="AM6" s="274"/>
      <c r="AN6" s="274" t="s">
        <v>472</v>
      </c>
      <c r="AO6" s="945"/>
      <c r="AP6" s="274" t="s">
        <v>473</v>
      </c>
    </row>
    <row r="7" spans="1:42" x14ac:dyDescent="0.2">
      <c r="A7" s="316">
        <v>1</v>
      </c>
      <c r="B7" s="479"/>
      <c r="C7" s="319"/>
      <c r="D7" s="318"/>
      <c r="E7" s="318"/>
      <c r="F7" s="318"/>
      <c r="G7" s="318"/>
      <c r="H7" s="317" t="str">
        <f>(IF(D7-C8&gt;0,1)+IF(E7-C9&gt;0,1)+IF(F7-C10&gt;0,1)+IF(G7-C11&gt;0,1))&amp;"-"&amp;(IF(D7-C8&lt;0,1)+IF(E7-C9&lt;0,1)+IF(F7-C10&lt;0,1)+IF(G7-C11&lt;0,1))</f>
        <v>0-0</v>
      </c>
      <c r="I7" s="318" t="str">
        <f>IF(AND(B7&lt;&gt;"",R$6=TRUE),A$6&amp;RANK(S7,S$7:S$11,0)," ")</f>
        <v xml:space="preserve"> </v>
      </c>
      <c r="J7" s="480">
        <f>IF(AND(Q7=1,Q8=1,D7&gt;C8),1)+IF(AND(Q7=1,Q9=1,E7&gt;C9),1)+IF(AND(Q7=1,Q10=1,F7&gt;C10),1)+IF(AND(Q7=1,Q11=1,G7&gt;C11),1)+IF(AND(Q7=2,Q8=2,D7&gt;C8),1)+IF(AND(Q7=2,Q9=2,E7&gt;C9),1)+IF(AND(Q7=2,Q10=2,F7&gt;C10),1)+IF(AND(Q7=2,Q11=2,G7&gt;C11),1)+IF(AND(Q7=3,Q8=3,D7&gt;C8),1)+IF(AND(Q7=3,Q9=3,E7&gt;C9),1)+IF(AND(Q7=3,Q10=3,F7&gt;C10),1)+IF(AND(Q7=3,Q11=3,G7&gt;C11),1)</f>
        <v>0</v>
      </c>
      <c r="K7" s="481">
        <f>SUM(AND(T7=T8,D7&gt;C8),AND(T7=T9,E7&gt;C9),AND(T7=T10,F7&gt;C10),AND(T7=T11,G7&gt;C11))</f>
        <v>0</v>
      </c>
      <c r="L7" s="482">
        <f>IF(AND(Q7=1,Q8=1),D7-C8)+IF(AND(Q7=1,Q9=1),E7-C9)+IF(AND(Q7=1,Q10=1),F7-C10)+IF(AND(Q7=1,Q11=1),G7-C11)+IF(AND(Q7=2,Q8=2),D7-C8)+IF(AND(Q7=2,Q9=2),E7-C9)+IF(AND(Q7=2,Q10=2),F7-C10)+IF(AND(Q7=2,Q11=2),G7-C11)+IF(AND(Q7=3,Q8=3),D7-C8)+IF(AND(Q7=3,Q9=3),E7-C9)+IF(AND(Q7=3,Q10=3),F7-C10)+IF(AND(Q7=3,Q11=3),G7-C11)+IF(AND(Q7=4,Q8=4),D7-C8)+IF(AND(Q7=4,Q9=4),E7-C9)+IF(AND(Q7=4,Q10=4),F7-C10)+IF(AND(Q7=4,Q11=4),G7-C11)</f>
        <v>0</v>
      </c>
      <c r="M7" s="483">
        <f>SUM(AND(R7=R8,D7&gt;C8),AND(R7=R9,E7&gt;C9),AND(R7=R10,F7&gt;C10),AND(R7=R11,G7&gt;C11))</f>
        <v>0</v>
      </c>
      <c r="N7" s="537" t="str">
        <f>SUM(C7:G7)&amp;"-"&amp;SUM(C7:C11)</f>
        <v>0-0</v>
      </c>
      <c r="O7" s="538">
        <f>D7+E7+F7+G7-C8-C9-C10-C11</f>
        <v>0</v>
      </c>
      <c r="P7" s="485" t="e">
        <f>SUM(C7:G7,C7:C11)/SUM(C7:C11)</f>
        <v>#DIV/0!</v>
      </c>
      <c r="Q7" s="320">
        <f>VALUE(LEFT(H7,1))</f>
        <v>0</v>
      </c>
      <c r="R7" s="321">
        <f>Q7*100000+J7*10000+K7*1000+100*L7</f>
        <v>0</v>
      </c>
      <c r="S7" s="486">
        <f>R7+M7*0.1+IF(ISNONTEXT(B7),0,0.01)+0.0001*O7</f>
        <v>0</v>
      </c>
      <c r="T7" s="487" t="str">
        <f>Q7&amp;J7</f>
        <v>00</v>
      </c>
      <c r="U7" s="477"/>
      <c r="V7" s="477"/>
      <c r="W7" s="477"/>
      <c r="X7" s="477"/>
      <c r="Y7" s="477"/>
      <c r="Z7" s="477"/>
      <c r="AA7" s="477"/>
      <c r="AD7" s="405">
        <f t="shared" ref="AD7:AD44" si="0">SUM(AE7:AP7)</f>
        <v>0</v>
      </c>
      <c r="AE7" s="406" t="str">
        <f>IFERROR(INDEX(V!$R:$R,MATCH(AF7,V!$L:$L,0)),"")</f>
        <v/>
      </c>
      <c r="AF7" s="407" t="str">
        <f>IFERROR(LEFT($B7,(FIND(",",$B7,1)-1)),"")</f>
        <v/>
      </c>
      <c r="AG7" s="406" t="str">
        <f>IFERROR(INDEX(V!$R:$R,MATCH(AH7,V!$L:$L,0)),"")</f>
        <v/>
      </c>
      <c r="AH7" s="407" t="str">
        <f>IFERROR(MID($B7,FIND(", ",$B7)+2,256),"")</f>
        <v/>
      </c>
      <c r="AI7" s="406" t="str">
        <f>IFERROR(INDEX(V!$R:$R,MATCH(AJ7,V!$L:$L,0)),"")</f>
        <v/>
      </c>
      <c r="AJ7" s="407" t="str">
        <f>IFERROR(MID($B7,FIND("^",SUBSTITUTE($B7,", ","^",1))+2,FIND("^",SUBSTITUTE($B7,", ","^",2))-FIND("^",SUBSTITUTE($B7,", ","^",1))-2),"")</f>
        <v/>
      </c>
      <c r="AK7" s="406" t="str">
        <f>IFERROR(INDEX(V!$R:$R,MATCH(AL7,V!$L:$L,0)),"")</f>
        <v/>
      </c>
      <c r="AL7" s="407" t="str">
        <f>IFERROR(MID($B7,FIND(", ",$B7,FIND(", ",$B7,FIND(", ",$B7))+1)+2,30000),"")</f>
        <v/>
      </c>
      <c r="AM7" s="406" t="str">
        <f>IFERROR(INDEX(V!$R:$R,MATCH(AN7,V!$L:$L,0)),"")</f>
        <v/>
      </c>
      <c r="AN7" s="407" t="str">
        <f>IFERROR(MID($B7,FIND(", ",$B7,FIND(", ",$B7)+1)+2,FIND(", ",$B7,FIND(", ",$B7,FIND(", ",$B7)+1)+1)-FIND(", ",$B7,FIND(", ",$B7)+1)-2),"")</f>
        <v/>
      </c>
      <c r="AO7" s="406" t="str">
        <f>IFERROR(INDEX(V!$R:$R,MATCH(AP7,V!$L:$L,0)),"")</f>
        <v/>
      </c>
      <c r="AP7" s="407" t="str">
        <f>IFERROR(MID($B7,FIND(", ",$B7,FIND(", ",$B7,FIND(", ",$B7)+1)+1)+2,30000),"")</f>
        <v/>
      </c>
    </row>
    <row r="8" spans="1:42" x14ac:dyDescent="0.2">
      <c r="A8" s="316">
        <v>2</v>
      </c>
      <c r="B8" s="488"/>
      <c r="C8" s="318"/>
      <c r="D8" s="319"/>
      <c r="E8" s="318"/>
      <c r="F8" s="318"/>
      <c r="G8" s="318"/>
      <c r="H8" s="317" t="str">
        <f>(IF(C8-D7&gt;0,1)+IF(E8-D9&gt;0,1)+IF(F8-D10&gt;0,1)+IF(G8-D11&gt;0,1))&amp;"-"&amp;(IF(C8-D7&lt;0,1)+IF(E8-D9&lt;0,1)+IF(F8-D10&lt;0,1)+IF(G8-D11&lt;0,1))</f>
        <v>0-0</v>
      </c>
      <c r="I8" s="318" t="str">
        <f>IF(AND(B8&lt;&gt;"",R$6=TRUE),A$6&amp;RANK(S8,S$7:S$11,0)," ")</f>
        <v xml:space="preserve"> </v>
      </c>
      <c r="J8" s="489">
        <f>IF(AND(Q8=1,Q7=1,C8&gt;D7),1)+IF(AND(Q8=1,Q9=1,E8&gt;D9),1)+IF(AND(Q8=1,Q10=1,F8&gt;D10),1)+IF(AND(Q8=1,Q11=1,G8&gt;D11),1)+IF(AND(Q8=2,Q7=2,C8&gt;D7),1)+IF(AND(Q8=2,Q9=2,E8&gt;D9),1)+IF(AND(Q8=2,Q10=2,F8&gt;D10),1)+IF(AND(Q8=2,Q11=2,G8&gt;D11),1)+IF(AND(Q8=3,Q7=3,C8&gt;D7),1)+IF(AND(Q8=3,Q9=3,E8&gt;D9),1)+IF(AND(Q8=3,Q10=3,F8&gt;D10),1)+IF(AND(Q8=3,Q11=3,G8&gt;D11),1)</f>
        <v>0</v>
      </c>
      <c r="K8" s="483">
        <f>SUM(AND(T8=T7,C8&gt;D7),AND(T8=T9,E8&gt;D9),AND(T8=T10,F8&gt;D10),AND(T8=T11,G8&gt;D11))</f>
        <v>0</v>
      </c>
      <c r="L8" s="490">
        <f>IF(AND(Q8=1,Q7=1),C8-D7)+IF(AND(Q8=1,Q9=1),E8-D9)+IF(AND(Q8=1,Q10=1),F8-D10)+IF(AND(Q8=1,Q11=1),G8-D11)+IF(AND(Q8=2,Q7=2),C8-D7)+IF(AND(Q8=2,Q9=2),E8-D9)+IF(AND(Q8=2,Q10=2),F8-D10)+IF(AND(Q8=2,Q11=2),G8-D11)+IF(AND(Q8=3,Q7=3),C8-D7)+IF(AND(Q8=3,Q9=3),E8-D9)+IF(AND(Q8=3,Q10=3),F8-D10)+IF(AND(Q8=3,Q11=3),G8-D11)+IF(AND(Q8=4,Q7=4),C8-D7)+IF(AND(Q8=4,Q9=4),E8-D9)+IF(AND(Q8=4,Q10=4),F8-D10)+IF(AND(Q8=4,Q11=4),G8-D11)</f>
        <v>0</v>
      </c>
      <c r="M8" s="483">
        <f>SUM(AND(R8=R7,C8&gt;D7),AND(R8=R9,E8&gt;D9),AND(R8=R10,F8&gt;D10),AND(R8=R11,G8&gt;D11))</f>
        <v>0</v>
      </c>
      <c r="N8" s="537" t="str">
        <f>SUM(C8:G8)&amp;"-"&amp;SUM(D7:D11)</f>
        <v>0-0</v>
      </c>
      <c r="O8" s="538">
        <f>C8+E8+F8+G8-D7-D9-D10-D11</f>
        <v>0</v>
      </c>
      <c r="P8" s="485" t="e">
        <f>SUM(C8:G8,D7:D11)/SUM(D7:D11)</f>
        <v>#DIV/0!</v>
      </c>
      <c r="Q8" s="491">
        <f>VALUE(LEFT(H8,1))</f>
        <v>0</v>
      </c>
      <c r="R8" s="321">
        <f>Q8*100000+J8*10000+K8*1000+100*L8</f>
        <v>0</v>
      </c>
      <c r="S8" s="486">
        <f>R8+M8*0.1+IF(ISNONTEXT(B8),0,0.01)+0.0001*O8</f>
        <v>0</v>
      </c>
      <c r="T8" s="487" t="str">
        <f>Q8&amp;J8</f>
        <v>00</v>
      </c>
      <c r="U8" s="477"/>
      <c r="V8" s="477"/>
      <c r="W8" s="477"/>
      <c r="X8" s="477"/>
      <c r="Y8" s="477"/>
      <c r="Z8" s="477"/>
      <c r="AA8" s="485"/>
      <c r="AD8" s="405">
        <f t="shared" si="0"/>
        <v>0</v>
      </c>
      <c r="AE8" s="406" t="str">
        <f>IFERROR(INDEX(V!$R:$R,MATCH(AF8,V!$L:$L,0)),"")</f>
        <v/>
      </c>
      <c r="AF8" s="407" t="str">
        <f t="shared" ref="AF8:AF44" si="1">IFERROR(LEFT($B8,(FIND(",",$B8,1)-1)),"")</f>
        <v/>
      </c>
      <c r="AG8" s="406" t="str">
        <f>IFERROR(INDEX(V!$R:$R,MATCH(AH8,V!$L:$L,0)),"")</f>
        <v/>
      </c>
      <c r="AH8" s="407" t="str">
        <f t="shared" ref="AH8:AH44" si="2">IFERROR(MID($B8,FIND(", ",$B8)+2,256),"")</f>
        <v/>
      </c>
      <c r="AI8" s="406" t="str">
        <f>IFERROR(INDEX(V!$R:$R,MATCH(AJ8,V!$L:$L,0)),"")</f>
        <v/>
      </c>
      <c r="AJ8" s="407" t="str">
        <f t="shared" ref="AJ8:AJ44" si="3">IFERROR(MID($B8,FIND("^",SUBSTITUTE($B8,", ","^",1))+2,FIND("^",SUBSTITUTE($B8,", ","^",2))-FIND("^",SUBSTITUTE($B8,", ","^",1))-2),"")</f>
        <v/>
      </c>
      <c r="AK8" s="406" t="str">
        <f>IFERROR(INDEX(V!$R:$R,MATCH(AL8,V!$L:$L,0)),"")</f>
        <v/>
      </c>
      <c r="AL8" s="407" t="str">
        <f t="shared" ref="AL8:AL44" si="4">IFERROR(MID($B8,FIND(", ",$B8,FIND(", ",$B8,FIND(", ",$B8))+1)+2,30000),"")</f>
        <v/>
      </c>
      <c r="AM8" s="406" t="str">
        <f>IFERROR(INDEX(V!$R:$R,MATCH(AN8,V!$L:$L,0)),"")</f>
        <v/>
      </c>
      <c r="AN8" s="407" t="str">
        <f t="shared" ref="AN8:AN44" si="5">IFERROR(MID($B8,FIND(", ",$B8,FIND(", ",$B8)+1)+2,FIND(", ",$B8,FIND(", ",$B8,FIND(", ",$B8)+1)+1)-FIND(", ",$B8,FIND(", ",$B8)+1)-2),"")</f>
        <v/>
      </c>
      <c r="AO8" s="406" t="str">
        <f>IFERROR(INDEX(V!$R:$R,MATCH(AP8,V!$L:$L,0)),"")</f>
        <v/>
      </c>
      <c r="AP8" s="407" t="str">
        <f t="shared" ref="AP8:AP44" si="6">IFERROR(MID($B8,FIND(", ",$B8,FIND(", ",$B8,FIND(", ",$B8)+1)+1)+2,30000),"")</f>
        <v/>
      </c>
    </row>
    <row r="9" spans="1:42" x14ac:dyDescent="0.2">
      <c r="A9" s="316">
        <v>3</v>
      </c>
      <c r="B9" s="488"/>
      <c r="C9" s="318"/>
      <c r="D9" s="492"/>
      <c r="E9" s="319"/>
      <c r="F9" s="318"/>
      <c r="G9" s="318"/>
      <c r="H9" s="317" t="str">
        <f>(IF(C9-E7&gt;0,1)+IF(D9-E8&gt;0,1)+IF(F9-E10&gt;0,1)+IF(G9-E11&gt;0,1))&amp;"-"&amp;(IF(C9-E7&lt;0,1)+IF(D9-E8&lt;0,1)+IF(F9-E10&lt;0,1)+IF(G9-E11&lt;0,1))</f>
        <v>0-0</v>
      </c>
      <c r="I9" s="318" t="str">
        <f>IF(AND(B9&lt;&gt;"",R$6=TRUE),A$6&amp;RANK(S9,S$7:S$11,0)," ")</f>
        <v xml:space="preserve"> </v>
      </c>
      <c r="J9" s="489">
        <f>IF(AND(Q9=1,Q7=1,C9&gt;E7),1)+IF(AND(Q9=1,Q8=1,D9&gt;E8),1)+IF(AND(Q9=1,Q10=1,F9&gt;E10),1)+IF(AND(Q9=1,Q11=1,G9&gt;E11),1)+IF(AND(Q9=2,Q7=2,C9&gt;E7),1)+IF(AND(Q9=2,Q8=2,D9&gt;E8),1)+IF(AND(Q9=2,Q10=2,F9&gt;E10),1)+IF(AND(Q9=2,Q11=2,G9&gt;E11),1)+IF(AND(Q9=3,Q7=3,C9&gt;E7),1)+IF(AND(Q9=3,Q8=3,D9&gt;E8),1)+IF(AND(Q9=3,Q10=3,F9&gt;E10),1)+IF(AND(Q9=3,Q11=3,G9&gt;E11),1)</f>
        <v>0</v>
      </c>
      <c r="K9" s="483">
        <f>SUM(AND(T9=T7,C9&gt;E7),AND(T9=T8,D9&gt;E8),AND(T9=T10,F9&gt;E10),AND(T9=T11,G9&gt;E11))</f>
        <v>0</v>
      </c>
      <c r="L9" s="490">
        <f>IF(AND(Q9=1,Q7=1),C9-E7)+IF(AND(Q9=1,Q8=1),D9-E8)+IF(AND(Q9=1,Q10=1),F9-E10)+IF(AND(Q9=1,Q11=1),G9-E11)+IF(AND(Q9=2,Q7=2),C9-E7)+IF(AND(Q9=2,Q8=2),D9-E8)+IF(AND(Q9=2,Q10=2),F9-E10)+IF(AND(Q9=2,Q11=2),G9-E11)+IF(AND(Q9=3,Q7=3),C9-E7)+IF(AND(Q9=3,Q8=3),D9-E8)+IF(AND(Q9=3,Q10=3),F9-E10)+IF(AND(Q9=3,Q11=3),G9-E11)+IF(AND(Q9=4,Q7=4),C9-E7)+IF(AND(Q9=4,Q8=4),D9-E8)+IF(AND(Q9=4,Q10=4),F9-E10)+IF(AND(Q9=4,Q11=4),G9-E11)</f>
        <v>0</v>
      </c>
      <c r="M9" s="483">
        <f>SUM(AND(R9=R7,C9&gt;E7),AND(R9=R8,D9&gt;E8),AND(R9=R10,F9&gt;E10),AND(R9=R11,G9&gt;E11))</f>
        <v>0</v>
      </c>
      <c r="N9" s="537" t="str">
        <f>SUM(C9:G9)&amp;"-"&amp;SUM(E7:E11)</f>
        <v>0-0</v>
      </c>
      <c r="O9" s="538">
        <f>C9+D9+F9+G9-E7-E8-E10-E11</f>
        <v>0</v>
      </c>
      <c r="P9" s="485" t="e">
        <f>SUM(C9:G9,E7:E11)/SUM(E7:E11)</f>
        <v>#DIV/0!</v>
      </c>
      <c r="Q9" s="491">
        <f>VALUE(LEFT(H9,1))</f>
        <v>0</v>
      </c>
      <c r="R9" s="321">
        <f>Q9*100000+J9*10000+K9*1000+100*L9</f>
        <v>0</v>
      </c>
      <c r="S9" s="486">
        <f>R9+M9*0.1+IF(ISNONTEXT(B9),0,0.01)+0.0001*O9</f>
        <v>0</v>
      </c>
      <c r="T9" s="487" t="str">
        <f>Q9&amp;J9</f>
        <v>00</v>
      </c>
      <c r="U9" s="477"/>
      <c r="V9" s="477"/>
      <c r="W9" s="477"/>
      <c r="X9" s="477"/>
      <c r="Y9" s="477"/>
      <c r="Z9" s="477"/>
      <c r="AA9" s="485"/>
      <c r="AD9" s="405">
        <f t="shared" si="0"/>
        <v>0</v>
      </c>
      <c r="AE9" s="406" t="str">
        <f>IFERROR(INDEX(V!$R:$R,MATCH(AF9,V!$L:$L,0)),"")</f>
        <v/>
      </c>
      <c r="AF9" s="407" t="str">
        <f t="shared" si="1"/>
        <v/>
      </c>
      <c r="AG9" s="406" t="str">
        <f>IFERROR(INDEX(V!$R:$R,MATCH(AH9,V!$L:$L,0)),"")</f>
        <v/>
      </c>
      <c r="AH9" s="407" t="str">
        <f t="shared" si="2"/>
        <v/>
      </c>
      <c r="AI9" s="406" t="str">
        <f>IFERROR(INDEX(V!$R:$R,MATCH(AJ9,V!$L:$L,0)),"")</f>
        <v/>
      </c>
      <c r="AJ9" s="407" t="str">
        <f t="shared" si="3"/>
        <v/>
      </c>
      <c r="AK9" s="406" t="str">
        <f>IFERROR(INDEX(V!$R:$R,MATCH(AL9,V!$L:$L,0)),"")</f>
        <v/>
      </c>
      <c r="AL9" s="407" t="str">
        <f t="shared" si="4"/>
        <v/>
      </c>
      <c r="AM9" s="406" t="str">
        <f>IFERROR(INDEX(V!$R:$R,MATCH(AN9,V!$L:$L,0)),"")</f>
        <v/>
      </c>
      <c r="AN9" s="407" t="str">
        <f t="shared" si="5"/>
        <v/>
      </c>
      <c r="AO9" s="406" t="str">
        <f>IFERROR(INDEX(V!$R:$R,MATCH(AP9,V!$L:$L,0)),"")</f>
        <v/>
      </c>
      <c r="AP9" s="407" t="str">
        <f t="shared" si="6"/>
        <v/>
      </c>
    </row>
    <row r="10" spans="1:42" hidden="1" x14ac:dyDescent="0.2">
      <c r="A10" s="316">
        <v>4</v>
      </c>
      <c r="B10" s="493"/>
      <c r="C10" s="318"/>
      <c r="D10" s="492"/>
      <c r="E10" s="318"/>
      <c r="F10" s="319"/>
      <c r="G10" s="318"/>
      <c r="H10" s="317" t="str">
        <f>(IF(C10-F7&gt;0,1)+IF(D10-F8&gt;0,1)+IF(E10-F9&gt;0,1)+IF(G10-F11&gt;0,1))&amp;"-"&amp;(IF(C10-F7&lt;0,1)+IF(D10-F8&lt;0,1)+IF(E10-F9&lt;0,1)+IF(G10-F11&lt;0,1))</f>
        <v>0-0</v>
      </c>
      <c r="I10" s="318" t="str">
        <f>IF(AND(B10&lt;&gt;"",R$6=TRUE),A$6&amp;RANK(S10,S$7:S$11,0)," ")</f>
        <v xml:space="preserve"> </v>
      </c>
      <c r="J10" s="489">
        <f>IF(AND(Q10=1,Q7=1,C10&gt;F7),1)+IF(AND(Q10=1,Q8=1,D10&gt;F8),1)+IF(AND(Q10=1,Q9=1,E10&gt;F9),1)+IF(AND(Q10=1,Q11=1,G10&gt;F11),1)+IF(AND(Q10=2,Q7=2,C10&gt;F7),1)+IF(AND(Q10=2,Q8=2,D10&gt;F8),1)+IF(AND(Q10=2,Q9=2,E10&gt;F9),1)+IF(AND(Q10=2,Q11=2,G10&gt;F11),1)+IF(AND(Q10=3,Q7=3,C10&gt;F7),1)+IF(AND(Q10=3,Q8=3,D10&gt;F8),1)+IF(AND(Q10=3,Q9=3,E10&gt;F9),1)+IF(AND(Q10=3,Q11=3,G10&gt;F11),1)</f>
        <v>0</v>
      </c>
      <c r="K10" s="483">
        <f>SUM(AND(T10=T7,C10&gt;F7),AND(T10=T8,D10&gt;F8),AND(T10=T9,E10&gt;F9),AND(T10=T11,G10&gt;F11))</f>
        <v>0</v>
      </c>
      <c r="L10" s="490">
        <f>IF(AND(Q10=1,Q7=1),C10-F7)+IF(AND(Q10=1,Q8=1),D10-F8)+IF(AND(Q10=1,Q9=1),E10-F9)+IF(AND(Q10=1,Q11=1),G10-F11)+IF(AND(Q10=2,Q7=2),C10-F7)+IF(AND(Q10=2,Q8=2),D10-F8)+IF(AND(Q10=2,Q9=2),E10-F9)+IF(AND(Q10=2,Q11=2),G10-F11)+IF(AND(Q10=3,Q7=3),C10-F7)+IF(AND(Q10=3,Q8=3),D10-F8)+IF(AND(Q10=3,Q9=3),E10-F9)+IF(AND(Q10=3,Q11=3),G10-F11)+IF(AND(Q10=4,Q7=4),C10-F7)+IF(AND(Q10=4,Q8=4),D10-F8)+IF(AND(Q10=4,Q9=4),E10-F9)+IF(AND(Q10=4,Q11=4),G10-F11)</f>
        <v>0</v>
      </c>
      <c r="M10" s="483">
        <f>SUM(AND(R10=R7,C10&gt;F7),AND(R10=R8,D10&gt;F8),AND(R10=R9,E10&gt;F9),AND(R10=R11,G10&gt;F11))</f>
        <v>0</v>
      </c>
      <c r="N10" s="537" t="str">
        <f>SUM(C10:G10)&amp;"-"&amp;SUM(F7:F11)</f>
        <v>0-0</v>
      </c>
      <c r="O10" s="538">
        <f>C10+D10+E10+G10-F7-F8-F9-F11</f>
        <v>0</v>
      </c>
      <c r="P10" s="485" t="e">
        <f>SUM(C10:G10,F7:F11)/SUM(F7:F11)</f>
        <v>#DIV/0!</v>
      </c>
      <c r="Q10" s="491">
        <f>VALUE(LEFT(H10,1))</f>
        <v>0</v>
      </c>
      <c r="R10" s="321">
        <f>Q10*100000+J10*10000+K10*1000+100*L10</f>
        <v>0</v>
      </c>
      <c r="S10" s="486">
        <f>R10+M10*0.1+IF(ISNONTEXT(B10),0,0.01)+0.0001*O10</f>
        <v>0</v>
      </c>
      <c r="T10" s="487" t="str">
        <f>Q10&amp;J10</f>
        <v>00</v>
      </c>
      <c r="U10" s="477"/>
      <c r="V10" s="477"/>
      <c r="W10" s="477"/>
      <c r="X10" s="477"/>
      <c r="Y10" s="477"/>
      <c r="Z10" s="477"/>
      <c r="AA10" s="485"/>
      <c r="AD10" s="405">
        <f t="shared" si="0"/>
        <v>0</v>
      </c>
      <c r="AE10" s="406" t="str">
        <f>IFERROR(INDEX(V!$R:$R,MATCH(AF10,V!$L:$L,0)),"")</f>
        <v/>
      </c>
      <c r="AF10" s="407" t="str">
        <f t="shared" si="1"/>
        <v/>
      </c>
      <c r="AG10" s="406" t="str">
        <f>IFERROR(INDEX(V!$R:$R,MATCH(AH10,V!$L:$L,0)),"")</f>
        <v/>
      </c>
      <c r="AH10" s="407" t="str">
        <f t="shared" si="2"/>
        <v/>
      </c>
      <c r="AI10" s="406" t="str">
        <f>IFERROR(INDEX(V!$R:$R,MATCH(AJ10,V!$L:$L,0)),"")</f>
        <v/>
      </c>
      <c r="AJ10" s="407" t="str">
        <f t="shared" si="3"/>
        <v/>
      </c>
      <c r="AK10" s="406" t="str">
        <f>IFERROR(INDEX(V!$R:$R,MATCH(AL10,V!$L:$L,0)),"")</f>
        <v/>
      </c>
      <c r="AL10" s="407" t="str">
        <f t="shared" si="4"/>
        <v/>
      </c>
      <c r="AM10" s="406" t="str">
        <f>IFERROR(INDEX(V!$R:$R,MATCH(AN10,V!$L:$L,0)),"")</f>
        <v/>
      </c>
      <c r="AN10" s="407" t="str">
        <f t="shared" si="5"/>
        <v/>
      </c>
      <c r="AO10" s="406" t="str">
        <f>IFERROR(INDEX(V!$R:$R,MATCH(AP10,V!$L:$L,0)),"")</f>
        <v/>
      </c>
      <c r="AP10" s="407" t="str">
        <f t="shared" si="6"/>
        <v/>
      </c>
    </row>
    <row r="11" spans="1:42" hidden="1" x14ac:dyDescent="0.2">
      <c r="A11" s="316">
        <v>5</v>
      </c>
      <c r="B11" s="493"/>
      <c r="C11" s="318"/>
      <c r="D11" s="318"/>
      <c r="E11" s="318"/>
      <c r="F11" s="318"/>
      <c r="G11" s="319"/>
      <c r="H11" s="317" t="str">
        <f>(IF(C11-G7&gt;0,1)+IF(D11-G8&gt;0,1)+IF(E11-G9&gt;0,1)+IF(F11-G10&gt;0,1))&amp;"-"&amp;(IF(C11-G7&lt;0,1)+IF(D11-G8&lt;0,1)+IF(E11-G9&lt;0,1)+IF(F11-G10&lt;0,1))</f>
        <v>0-0</v>
      </c>
      <c r="I11" s="318" t="str">
        <f>IF(AND(B11&lt;&gt;"",R$6=TRUE),A$6&amp;RANK(S11,S$7:S$11,0)," ")</f>
        <v xml:space="preserve"> </v>
      </c>
      <c r="J11" s="489">
        <f>IF(AND(Q11=1,Q7=1,C11&gt;G7),1)+IF(AND(Q11=1,Q8=1,D11&gt;G8),1)+IF(AND(Q11=1,Q9=1,E11&gt;G9),1)+IF(AND(Q11=1,Q10=1,F11&gt;G10),1)+IF(AND(Q11=2,Q7=2,C11&gt;G7),1)+IF(AND(Q11=2,Q8=2,D11&gt;G8),1)+IF(AND(Q11=2,Q9=2,E11&gt;G9),1)+IF(AND(Q11=2,Q10=2,F11&gt;G10),1)+IF(AND(Q11=3,Q7=3,C11&gt;G7),1)+IF(AND(Q11=3,Q8=3,D11&gt;G8),1)+IF(AND(Q11=3,Q9=3,E11&gt;G9),1)+IF(AND(Q11=3,Q10=3,F11&gt;G10),1)</f>
        <v>0</v>
      </c>
      <c r="K11" s="483">
        <f>SUM(AND(T11=T7,C11&gt;G7),AND(T11=T8,D11&gt;G8),AND(T11=T9,E11&gt;G9),AND(T11=T10,F11&gt;G10))</f>
        <v>0</v>
      </c>
      <c r="L11" s="490">
        <f>IF(AND(Q11=1,Q7=1),C11-G7)+IF(AND(Q11=1,Q8=1),D11-G8)+IF(AND(Q11=1,Q9=1),E11-G9)+IF(AND(Q11=1,Q10=1),F11-G10)+IF(AND(Q11=2,Q7=2),C11-G7)+IF(AND(Q11=2,Q8=2),D11-G8)+IF(AND(Q11=2,Q9=2),E11-G9)+IF(AND(Q11=2,Q10=2),F11-G10)+IF(AND(Q11=3,Q7=3),C11-G7)+IF(AND(Q11=3,Q8=3),D11-G8)+IF(AND(Q11=3,Q9=3),E11-G9)+IF(AND(Q11=3,Q10=3),F11-G10)+IF(AND(Q11=4,Q7=4),C11-G7)+IF(AND(Q11=4,Q8=4),D11-G8)+IF(AND(Q11=4,Q9=4),E11-G9)+IF(AND(Q11=4,Q10=4),F11-G10)</f>
        <v>0</v>
      </c>
      <c r="M11" s="483">
        <f>SUM(AND(R11=R7,C11&gt;G7),AND(R11=R8,D11&gt;G8),AND(R11=R9,E11&gt;G9),AND(R11=R10,F11&gt;G10))</f>
        <v>0</v>
      </c>
      <c r="N11" s="537" t="str">
        <f>SUM(C11:G11)&amp;"-"&amp;SUM(G7:G11)</f>
        <v>0-0</v>
      </c>
      <c r="O11" s="538">
        <f>C11+D11+E11+F11-G7-G8-G9-G10</f>
        <v>0</v>
      </c>
      <c r="P11" s="485" t="e">
        <f>SUM(C11:G11,G7:G11)/SUM(G7:G11)</f>
        <v>#DIV/0!</v>
      </c>
      <c r="Q11" s="491">
        <f>VALUE(LEFT(H11,1))</f>
        <v>0</v>
      </c>
      <c r="R11" s="321">
        <f>Q11*100000+J11*10000+K11*1000+100*L11</f>
        <v>0</v>
      </c>
      <c r="S11" s="486">
        <f>R11+M11*0.1+IF(ISNONTEXT(B11),0,0.01)+0.0001*O11</f>
        <v>0</v>
      </c>
      <c r="T11" s="487" t="str">
        <f>Q11&amp;J11</f>
        <v>00</v>
      </c>
      <c r="U11" s="477"/>
      <c r="V11" s="477"/>
      <c r="W11" s="477"/>
      <c r="X11" s="477"/>
      <c r="Y11" s="477"/>
      <c r="Z11" s="477"/>
      <c r="AA11" s="485"/>
      <c r="AD11" s="405">
        <f t="shared" si="0"/>
        <v>0</v>
      </c>
      <c r="AE11" s="406" t="str">
        <f>IFERROR(INDEX(V!$R:$R,MATCH(AF11,V!$L:$L,0)),"")</f>
        <v/>
      </c>
      <c r="AF11" s="407" t="str">
        <f t="shared" si="1"/>
        <v/>
      </c>
      <c r="AG11" s="406" t="str">
        <f>IFERROR(INDEX(V!$R:$R,MATCH(AH11,V!$L:$L,0)),"")</f>
        <v/>
      </c>
      <c r="AH11" s="407" t="str">
        <f t="shared" si="2"/>
        <v/>
      </c>
      <c r="AI11" s="406" t="str">
        <f>IFERROR(INDEX(V!$R:$R,MATCH(AJ11,V!$L:$L,0)),"")</f>
        <v/>
      </c>
      <c r="AJ11" s="407" t="str">
        <f t="shared" si="3"/>
        <v/>
      </c>
      <c r="AK11" s="406" t="str">
        <f>IFERROR(INDEX(V!$R:$R,MATCH(AL11,V!$L:$L,0)),"")</f>
        <v/>
      </c>
      <c r="AL11" s="407" t="str">
        <f t="shared" si="4"/>
        <v/>
      </c>
      <c r="AM11" s="406" t="str">
        <f>IFERROR(INDEX(V!$R:$R,MATCH(AN11,V!$L:$L,0)),"")</f>
        <v/>
      </c>
      <c r="AN11" s="407" t="str">
        <f t="shared" si="5"/>
        <v/>
      </c>
      <c r="AO11" s="406" t="str">
        <f>IFERROR(INDEX(V!$R:$R,MATCH(AP11,V!$L:$L,0)),"")</f>
        <v/>
      </c>
      <c r="AP11" s="407" t="str">
        <f t="shared" si="6"/>
        <v/>
      </c>
    </row>
    <row r="12" spans="1:42" x14ac:dyDescent="0.2">
      <c r="A12" s="494"/>
      <c r="B12" s="495"/>
      <c r="C12" s="496"/>
      <c r="D12" s="497"/>
      <c r="E12" s="498"/>
      <c r="F12" s="498"/>
      <c r="G12" s="499"/>
      <c r="H12" s="500"/>
      <c r="I12" s="501"/>
      <c r="J12" s="477"/>
      <c r="K12" s="477"/>
      <c r="L12" s="477"/>
      <c r="M12" s="477"/>
      <c r="N12" s="539"/>
      <c r="O12" s="539"/>
      <c r="P12" s="477"/>
      <c r="Q12" s="477"/>
      <c r="R12" s="502" t="s">
        <v>264</v>
      </c>
      <c r="S12" s="477"/>
      <c r="T12" s="477"/>
      <c r="U12" s="477"/>
      <c r="V12" s="477"/>
      <c r="W12" s="477"/>
      <c r="X12" s="477"/>
      <c r="Y12" s="477"/>
      <c r="Z12" s="477"/>
      <c r="AA12" s="485"/>
      <c r="AD12" s="405">
        <f t="shared" si="0"/>
        <v>0</v>
      </c>
      <c r="AE12" s="406" t="str">
        <f>IFERROR(INDEX(V!$R:$R,MATCH(AF12,V!$L:$L,0)),"")</f>
        <v/>
      </c>
      <c r="AF12" s="407" t="str">
        <f t="shared" si="1"/>
        <v/>
      </c>
      <c r="AG12" s="406" t="str">
        <f>IFERROR(INDEX(V!$R:$R,MATCH(AH12,V!$L:$L,0)),"")</f>
        <v/>
      </c>
      <c r="AH12" s="407" t="str">
        <f t="shared" si="2"/>
        <v/>
      </c>
      <c r="AI12" s="406" t="str">
        <f>IFERROR(INDEX(V!$R:$R,MATCH(AJ12,V!$L:$L,0)),"")</f>
        <v/>
      </c>
      <c r="AJ12" s="407" t="str">
        <f t="shared" si="3"/>
        <v/>
      </c>
      <c r="AK12" s="406" t="str">
        <f>IFERROR(INDEX(V!$R:$R,MATCH(AL12,V!$L:$L,0)),"")</f>
        <v/>
      </c>
      <c r="AL12" s="407" t="str">
        <f t="shared" si="4"/>
        <v/>
      </c>
      <c r="AM12" s="406" t="str">
        <f>IFERROR(INDEX(V!$R:$R,MATCH(AN12,V!$L:$L,0)),"")</f>
        <v/>
      </c>
      <c r="AN12" s="407" t="str">
        <f t="shared" si="5"/>
        <v/>
      </c>
      <c r="AO12" s="406" t="str">
        <f>IFERROR(INDEX(V!$R:$R,MATCH(AP12,V!$L:$L,0)),"")</f>
        <v/>
      </c>
      <c r="AP12" s="407" t="str">
        <f t="shared" si="6"/>
        <v/>
      </c>
    </row>
    <row r="13" spans="1:42" x14ac:dyDescent="0.2">
      <c r="A13" s="316" t="s">
        <v>1</v>
      </c>
      <c r="B13" s="503"/>
      <c r="C13" s="467">
        <v>1</v>
      </c>
      <c r="D13" s="467">
        <v>2</v>
      </c>
      <c r="E13" s="467">
        <v>3</v>
      </c>
      <c r="F13" s="467"/>
      <c r="G13" s="467"/>
      <c r="H13" s="468" t="s">
        <v>168</v>
      </c>
      <c r="I13" s="468" t="s">
        <v>169</v>
      </c>
      <c r="J13" s="504" t="s">
        <v>257</v>
      </c>
      <c r="K13" s="505" t="s">
        <v>258</v>
      </c>
      <c r="L13" s="506" t="s">
        <v>259</v>
      </c>
      <c r="M13" s="506" t="s">
        <v>260</v>
      </c>
      <c r="N13" s="472" t="s">
        <v>170</v>
      </c>
      <c r="O13" s="472" t="s">
        <v>170</v>
      </c>
      <c r="P13" s="473" t="s">
        <v>261</v>
      </c>
      <c r="Q13" s="507" t="s">
        <v>21</v>
      </c>
      <c r="R13" s="507" t="b">
        <f>OR(AND(COUNTA(B14:B18)=3,COUNTA(C14:G18)=6),AND(COUNTA(B14:B18)=4,COUNTA(C14:G18)=12),AND(COUNTA(B14:B18)=5,COUNTA(C14:G18)=20))</f>
        <v>0</v>
      </c>
      <c r="S13" s="508" t="s">
        <v>262</v>
      </c>
      <c r="T13" s="509" t="s">
        <v>263</v>
      </c>
      <c r="U13" s="477"/>
      <c r="V13" s="477"/>
      <c r="W13" s="477"/>
      <c r="X13" s="477"/>
      <c r="Y13" s="477"/>
      <c r="Z13" s="477"/>
      <c r="AA13" s="485"/>
      <c r="AD13" s="405">
        <f t="shared" si="0"/>
        <v>0</v>
      </c>
      <c r="AE13" s="406" t="str">
        <f>IFERROR(INDEX(V!$R:$R,MATCH(AF13,V!$L:$L,0)),"")</f>
        <v/>
      </c>
      <c r="AF13" s="407" t="str">
        <f t="shared" si="1"/>
        <v/>
      </c>
      <c r="AG13" s="406" t="str">
        <f>IFERROR(INDEX(V!$R:$R,MATCH(AH13,V!$L:$L,0)),"")</f>
        <v/>
      </c>
      <c r="AH13" s="407" t="str">
        <f t="shared" si="2"/>
        <v/>
      </c>
      <c r="AI13" s="406" t="str">
        <f>IFERROR(INDEX(V!$R:$R,MATCH(AJ13,V!$L:$L,0)),"")</f>
        <v/>
      </c>
      <c r="AJ13" s="407" t="str">
        <f t="shared" si="3"/>
        <v/>
      </c>
      <c r="AK13" s="406" t="str">
        <f>IFERROR(INDEX(V!$R:$R,MATCH(AL13,V!$L:$L,0)),"")</f>
        <v/>
      </c>
      <c r="AL13" s="407" t="str">
        <f t="shared" si="4"/>
        <v/>
      </c>
      <c r="AM13" s="406" t="str">
        <f>IFERROR(INDEX(V!$R:$R,MATCH(AN13,V!$L:$L,0)),"")</f>
        <v/>
      </c>
      <c r="AN13" s="407" t="str">
        <f t="shared" si="5"/>
        <v/>
      </c>
      <c r="AO13" s="406" t="str">
        <f>IFERROR(INDEX(V!$R:$R,MATCH(AP13,V!$L:$L,0)),"")</f>
        <v/>
      </c>
      <c r="AP13" s="407" t="str">
        <f t="shared" si="6"/>
        <v/>
      </c>
    </row>
    <row r="14" spans="1:42" x14ac:dyDescent="0.2">
      <c r="A14" s="316">
        <v>1</v>
      </c>
      <c r="B14" s="510"/>
      <c r="C14" s="319"/>
      <c r="D14" s="318"/>
      <c r="E14" s="318"/>
      <c r="F14" s="318"/>
      <c r="G14" s="318"/>
      <c r="H14" s="317" t="str">
        <f>(IF(D14-C15&gt;0,1)+IF(E14-C16&gt;0,1)+IF(F14-C17&gt;0,1)+IF(G14-C18&gt;0,1))&amp;"-"&amp;(IF(D14-C15&lt;0,1)+IF(E14-C16&lt;0,1)+IF(F14-C17&lt;0,1)+IF(G14-C18&lt;0,1))</f>
        <v>0-0</v>
      </c>
      <c r="I14" s="318" t="str">
        <f>IF(AND(B14&lt;&gt;"",R$6=TRUE),A$13&amp;RANK(S14,S$14:S$18,0)," ")</f>
        <v xml:space="preserve"> </v>
      </c>
      <c r="J14" s="480">
        <f>IF(AND(Q14=1,Q15=1,D14&gt;C15),1)+IF(AND(Q14=1,Q16=1,E14&gt;C16),1)+IF(AND(Q14=1,Q17=1,F14&gt;C17),1)+IF(AND(Q14=1,Q18=1,G14&gt;C18),1)+IF(AND(Q14=2,Q15=2,D14&gt;C15),1)+IF(AND(Q14=2,Q16=2,E14&gt;C16),1)+IF(AND(Q14=2,Q17=2,F14&gt;C17),1)+IF(AND(Q14=2,Q18=2,G14&gt;C18),1)+IF(AND(Q14=3,Q15=3,D14&gt;C15),1)+IF(AND(Q14=3,Q16=3,E14&gt;C16),1)+IF(AND(Q14=3,Q17=3,F14&gt;C17),1)+IF(AND(Q14=3,Q18=3,G14&gt;C18),1)</f>
        <v>0</v>
      </c>
      <c r="K14" s="481">
        <f>SUM(AND(T14=T15,D14&gt;C15),AND(T14=T16,E14&gt;C16),AND(T14=T17,F14&gt;C17),AND(T14=T18,G14&gt;C18))</f>
        <v>0</v>
      </c>
      <c r="L14" s="482">
        <f>IF(AND(Q14=1,Q15=1),D14-C15)+IF(AND(Q14=1,Q16=1),E14-C16)+IF(AND(Q14=1,Q17=1),F14-C17)+IF(AND(Q14=1,Q18=1),G14-C18)+IF(AND(Q14=2,Q15=2),D14-C15)+IF(AND(Q14=2,Q16=2),E14-C16)+IF(AND(Q14=2,Q17=2),F14-C17)+IF(AND(Q14=2,Q18=2),G14-C18)+IF(AND(Q14=3,Q15=3),D14-C15)+IF(AND(Q14=3,Q16=3),E14-C16)+IF(AND(Q14=3,Q17=3),F14-C17)+IF(AND(Q14=3,Q18=3),G14-C18)+IF(AND(Q14=4,Q15=4),D14-C15)+IF(AND(Q14=4,Q16=4),E14-C16)+IF(AND(Q14=4,Q17=4),F14-C17)+IF(AND(Q14=4,Q18=4),G14-C18)</f>
        <v>0</v>
      </c>
      <c r="M14" s="483">
        <f>SUM(AND(R14=R15,D14&gt;C15),AND(R14=R16,E14&gt;C16),AND(R14=R17,F14&gt;C17),AND(R14=R18,G14&gt;C18))</f>
        <v>0</v>
      </c>
      <c r="N14" s="537" t="str">
        <f>SUM(C14:G14)&amp;"-"&amp;SUM(C14:C18)</f>
        <v>0-0</v>
      </c>
      <c r="O14" s="538">
        <f>D14+E14+F14+G14-C15-C16-C17-C18</f>
        <v>0</v>
      </c>
      <c r="P14" s="485" t="e">
        <f>SUM(C14:G14,C14:C18)/SUM(C14:C18)</f>
        <v>#DIV/0!</v>
      </c>
      <c r="Q14" s="320">
        <f>VALUE(LEFT(H14,1))</f>
        <v>0</v>
      </c>
      <c r="R14" s="321">
        <f>Q14*100000+J14*10000+K14*1000+100*L14</f>
        <v>0</v>
      </c>
      <c r="S14" s="486">
        <f>R14+M14*0.1+IF(ISNONTEXT(B14),0,0.01)+0.0001*O14</f>
        <v>0</v>
      </c>
      <c r="T14" s="487" t="str">
        <f>Q14&amp;J14</f>
        <v>00</v>
      </c>
      <c r="U14" s="477"/>
      <c r="V14" s="477"/>
      <c r="W14" s="477"/>
      <c r="X14" s="477"/>
      <c r="Y14" s="477"/>
      <c r="Z14" s="477"/>
      <c r="AA14" s="485"/>
      <c r="AD14" s="405">
        <f t="shared" si="0"/>
        <v>0</v>
      </c>
      <c r="AE14" s="406" t="str">
        <f>IFERROR(INDEX(V!$R:$R,MATCH(AF14,V!$L:$L,0)),"")</f>
        <v/>
      </c>
      <c r="AF14" s="407" t="str">
        <f t="shared" si="1"/>
        <v/>
      </c>
      <c r="AG14" s="406" t="str">
        <f>IFERROR(INDEX(V!$R:$R,MATCH(AH14,V!$L:$L,0)),"")</f>
        <v/>
      </c>
      <c r="AH14" s="407" t="str">
        <f t="shared" si="2"/>
        <v/>
      </c>
      <c r="AI14" s="406" t="str">
        <f>IFERROR(INDEX(V!$R:$R,MATCH(AJ14,V!$L:$L,0)),"")</f>
        <v/>
      </c>
      <c r="AJ14" s="407" t="str">
        <f t="shared" si="3"/>
        <v/>
      </c>
      <c r="AK14" s="406" t="str">
        <f>IFERROR(INDEX(V!$R:$R,MATCH(AL14,V!$L:$L,0)),"")</f>
        <v/>
      </c>
      <c r="AL14" s="407" t="str">
        <f t="shared" si="4"/>
        <v/>
      </c>
      <c r="AM14" s="406" t="str">
        <f>IFERROR(INDEX(V!$R:$R,MATCH(AN14,V!$L:$L,0)),"")</f>
        <v/>
      </c>
      <c r="AN14" s="407" t="str">
        <f t="shared" si="5"/>
        <v/>
      </c>
      <c r="AO14" s="406" t="str">
        <f>IFERROR(INDEX(V!$R:$R,MATCH(AP14,V!$L:$L,0)),"")</f>
        <v/>
      </c>
      <c r="AP14" s="407" t="str">
        <f t="shared" si="6"/>
        <v/>
      </c>
    </row>
    <row r="15" spans="1:42" x14ac:dyDescent="0.2">
      <c r="A15" s="316">
        <v>2</v>
      </c>
      <c r="B15" s="479"/>
      <c r="C15" s="318"/>
      <c r="D15" s="319"/>
      <c r="E15" s="318"/>
      <c r="F15" s="318"/>
      <c r="G15" s="318"/>
      <c r="H15" s="317" t="str">
        <f>(IF(C15-D14&gt;0,1)+IF(E15-D16&gt;0,1)+IF(F15-D17&gt;0,1)+IF(G15-D18&gt;0,1))&amp;"-"&amp;(IF(C15-D14&lt;0,1)+IF(E15-D16&lt;0,1)+IF(F15-D17&lt;0,1)+IF(G15-D18&lt;0,1))</f>
        <v>0-0</v>
      </c>
      <c r="I15" s="318" t="str">
        <f>IF(AND(B15&lt;&gt;"",R$6=TRUE),A$13&amp;RANK(S15,S$14:S$18,0)," ")</f>
        <v xml:space="preserve"> </v>
      </c>
      <c r="J15" s="489">
        <f>IF(AND(Q15=1,Q14=1,C15&gt;D14),1)+IF(AND(Q15=1,Q16=1,E15&gt;D16),1)+IF(AND(Q15=1,Q17=1,F15&gt;D17),1)+IF(AND(Q15=1,Q18=1,G15&gt;D18),1)+IF(AND(Q15=2,Q14=2,C15&gt;D14),1)+IF(AND(Q15=2,Q16=2,E15&gt;D16),1)+IF(AND(Q15=2,Q17=2,F15&gt;D17),1)+IF(AND(Q15=2,Q18=2,G15&gt;D18),1)+IF(AND(Q15=3,Q14=3,C15&gt;D14),1)+IF(AND(Q15=3,Q16=3,E15&gt;D16),1)+IF(AND(Q15=3,Q17=3,F15&gt;D17),1)+IF(AND(Q15=3,Q18=3,G15&gt;D18),1)</f>
        <v>0</v>
      </c>
      <c r="K15" s="483">
        <f>SUM(AND(T15=T14,C15&gt;D14),AND(T15=T16,E15&gt;D16),AND(T15=T17,F15&gt;D17),AND(T15=T18,G15&gt;D18))</f>
        <v>0</v>
      </c>
      <c r="L15" s="490">
        <f>IF(AND(Q15=1,Q14=1),C15-D14)+IF(AND(Q15=1,Q16=1),E15-D16)+IF(AND(Q15=1,Q17=1),F15-D17)+IF(AND(Q15=1,Q18=1),G15-D18)+IF(AND(Q15=2,Q14=2),C15-D14)+IF(AND(Q15=2,Q16=2),E15-D16)+IF(AND(Q15=2,Q17=2),F15-D17)+IF(AND(Q15=2,Q18=2),G15-D18)+IF(AND(Q15=3,Q14=3),C15-D14)+IF(AND(Q15=3,Q16=3),E15-D16)+IF(AND(Q15=3,Q17=3),F15-D17)+IF(AND(Q15=3,Q18=3),G15-D18)+IF(AND(Q15=4,Q14=4),C15-D14)+IF(AND(Q15=4,Q16=4),E15-D16)+IF(AND(Q15=4,Q17=4),F15-D17)+IF(AND(Q15=4,Q18=4),G15-D18)</f>
        <v>0</v>
      </c>
      <c r="M15" s="483">
        <f>SUM(AND(R15=R14,C15&gt;D14),AND(R15=R16,E15&gt;D16),AND(R15=R17,F15&gt;D17),AND(R15=R18,G15&gt;D18))</f>
        <v>0</v>
      </c>
      <c r="N15" s="537" t="str">
        <f>SUM(C15:G15)&amp;"-"&amp;SUM(D14:D18)</f>
        <v>0-0</v>
      </c>
      <c r="O15" s="538">
        <f>C15+E15+F15+G15-D14-D16-D17-D18</f>
        <v>0</v>
      </c>
      <c r="P15" s="485" t="e">
        <f>SUM(C15:G15,D14:D18)/SUM(D14:D18)</f>
        <v>#DIV/0!</v>
      </c>
      <c r="Q15" s="491">
        <f>VALUE(LEFT(H15,1))</f>
        <v>0</v>
      </c>
      <c r="R15" s="321">
        <f>Q15*100000+J15*10000+K15*1000+100*L15</f>
        <v>0</v>
      </c>
      <c r="S15" s="486">
        <f>R15+M15*0.1+IF(ISNONTEXT(B15),0,0.01)+0.0001*O15</f>
        <v>0</v>
      </c>
      <c r="T15" s="487" t="str">
        <f>Q15&amp;J15</f>
        <v>00</v>
      </c>
      <c r="U15" s="477"/>
      <c r="V15" s="477"/>
      <c r="W15" s="477"/>
      <c r="X15" s="477"/>
      <c r="Y15" s="477"/>
      <c r="Z15" s="477"/>
      <c r="AA15" s="485"/>
      <c r="AD15" s="405">
        <f t="shared" si="0"/>
        <v>0</v>
      </c>
      <c r="AE15" s="406" t="str">
        <f>IFERROR(INDEX(V!$R:$R,MATCH(AF15,V!$L:$L,0)),"")</f>
        <v/>
      </c>
      <c r="AF15" s="407" t="str">
        <f t="shared" si="1"/>
        <v/>
      </c>
      <c r="AG15" s="406" t="str">
        <f>IFERROR(INDEX(V!$R:$R,MATCH(AH15,V!$L:$L,0)),"")</f>
        <v/>
      </c>
      <c r="AH15" s="407" t="str">
        <f t="shared" si="2"/>
        <v/>
      </c>
      <c r="AI15" s="406" t="str">
        <f>IFERROR(INDEX(V!$R:$R,MATCH(AJ15,V!$L:$L,0)),"")</f>
        <v/>
      </c>
      <c r="AJ15" s="407" t="str">
        <f t="shared" si="3"/>
        <v/>
      </c>
      <c r="AK15" s="406" t="str">
        <f>IFERROR(INDEX(V!$R:$R,MATCH(AL15,V!$L:$L,0)),"")</f>
        <v/>
      </c>
      <c r="AL15" s="407" t="str">
        <f t="shared" si="4"/>
        <v/>
      </c>
      <c r="AM15" s="406" t="str">
        <f>IFERROR(INDEX(V!$R:$R,MATCH(AN15,V!$L:$L,0)),"")</f>
        <v/>
      </c>
      <c r="AN15" s="407" t="str">
        <f t="shared" si="5"/>
        <v/>
      </c>
      <c r="AO15" s="406" t="str">
        <f>IFERROR(INDEX(V!$R:$R,MATCH(AP15,V!$L:$L,0)),"")</f>
        <v/>
      </c>
      <c r="AP15" s="407" t="str">
        <f t="shared" si="6"/>
        <v/>
      </c>
    </row>
    <row r="16" spans="1:42" x14ac:dyDescent="0.2">
      <c r="A16" s="316">
        <v>3</v>
      </c>
      <c r="B16" s="488"/>
      <c r="C16" s="318"/>
      <c r="D16" s="492"/>
      <c r="E16" s="319"/>
      <c r="F16" s="318"/>
      <c r="G16" s="318"/>
      <c r="H16" s="317" t="str">
        <f>(IF(C16-E14&gt;0,1)+IF(D16-E15&gt;0,1)+IF(F16-E17&gt;0,1)+IF(G16-E18&gt;0,1))&amp;"-"&amp;(IF(C16-E14&lt;0,1)+IF(D16-E15&lt;0,1)+IF(F16-E17&lt;0,1)+IF(G16-E18&lt;0,1))</f>
        <v>0-0</v>
      </c>
      <c r="I16" s="318" t="str">
        <f>IF(AND(B16&lt;&gt;"",R$6=TRUE),A$13&amp;RANK(S16,S$14:S$18,0)," ")</f>
        <v xml:space="preserve"> </v>
      </c>
      <c r="J16" s="489">
        <f>IF(AND(Q16=1,Q14=1,C16&gt;E14),1)+IF(AND(Q16=1,Q15=1,D16&gt;E15),1)+IF(AND(Q16=1,Q17=1,F16&gt;E17),1)+IF(AND(Q16=1,Q18=1,G16&gt;E18),1)+IF(AND(Q16=2,Q14=2,C16&gt;E14),1)+IF(AND(Q16=2,Q15=2,D16&gt;E15),1)+IF(AND(Q16=2,Q17=2,F16&gt;E17),1)+IF(AND(Q16=2,Q18=2,G16&gt;E18),1)+IF(AND(Q16=3,Q14=3,C16&gt;E14),1)+IF(AND(Q16=3,Q15=3,D16&gt;E15),1)+IF(AND(Q16=3,Q17=3,F16&gt;E17),1)+IF(AND(Q16=3,Q18=3,G16&gt;E18),1)</f>
        <v>0</v>
      </c>
      <c r="K16" s="483">
        <f>SUM(AND(T16=T14,C16&gt;E14),AND(T16=T15,D16&gt;E15),AND(T16=T17,F16&gt;E17),AND(T16=T18,G16&gt;E18))</f>
        <v>0</v>
      </c>
      <c r="L16" s="490">
        <f>IF(AND(Q16=1,Q14=1),C16-E14)+IF(AND(Q16=1,Q15=1),D16-E15)+IF(AND(Q16=1,Q17=1),F16-E17)+IF(AND(Q16=1,Q18=1),G16-E18)+IF(AND(Q16=2,Q14=2),C16-E14)+IF(AND(Q16=2,Q15=2),D16-E15)+IF(AND(Q16=2,Q17=2),F16-E17)+IF(AND(Q16=2,Q18=2),G16-E18)+IF(AND(Q16=3,Q14=3),C16-E14)+IF(AND(Q16=3,Q15=3),D16-E15)+IF(AND(Q16=3,Q17=3),F16-E17)+IF(AND(Q16=3,Q18=3),G16-E18)+IF(AND(Q16=4,Q14=4),C16-E14)+IF(AND(Q16=4,Q15=4),D16-E15)+IF(AND(Q16=4,Q17=4),F16-E17)+IF(AND(Q16=4,Q18=4),G16-E18)</f>
        <v>0</v>
      </c>
      <c r="M16" s="483">
        <f>SUM(AND(R16=R14,C16&gt;E14),AND(R16=R15,D16&gt;E15),AND(R16=R17,F16&gt;E17),AND(R16=R18,G16&gt;E18))</f>
        <v>0</v>
      </c>
      <c r="N16" s="537" t="str">
        <f>SUM(C16:G16)&amp;"-"&amp;SUM(E14:E18)</f>
        <v>0-0</v>
      </c>
      <c r="O16" s="538">
        <f>C16+D16+F16+G16-E14-E15-E17-E18</f>
        <v>0</v>
      </c>
      <c r="P16" s="485" t="e">
        <f>SUM(C16:G16,E14:E18)/SUM(E14:E18)</f>
        <v>#DIV/0!</v>
      </c>
      <c r="Q16" s="491">
        <f>VALUE(LEFT(H16,1))</f>
        <v>0</v>
      </c>
      <c r="R16" s="321">
        <f>Q16*100000+J16*10000+K16*1000+100*L16</f>
        <v>0</v>
      </c>
      <c r="S16" s="486">
        <f>R16+M16*0.1+IF(ISNONTEXT(B16),0,0.01)+0.0001*O16</f>
        <v>0</v>
      </c>
      <c r="T16" s="487" t="str">
        <f>Q16&amp;J16</f>
        <v>00</v>
      </c>
      <c r="U16" s="477"/>
      <c r="V16" s="477"/>
      <c r="W16" s="477"/>
      <c r="X16" s="477"/>
      <c r="Y16" s="477"/>
      <c r="Z16" s="477"/>
      <c r="AA16" s="485"/>
      <c r="AD16" s="405">
        <f t="shared" si="0"/>
        <v>0</v>
      </c>
      <c r="AE16" s="406" t="str">
        <f>IFERROR(INDEX(V!$R:$R,MATCH(AF16,V!$L:$L,0)),"")</f>
        <v/>
      </c>
      <c r="AF16" s="407" t="str">
        <f t="shared" si="1"/>
        <v/>
      </c>
      <c r="AG16" s="406" t="str">
        <f>IFERROR(INDEX(V!$R:$R,MATCH(AH16,V!$L:$L,0)),"")</f>
        <v/>
      </c>
      <c r="AH16" s="407" t="str">
        <f t="shared" si="2"/>
        <v/>
      </c>
      <c r="AI16" s="406" t="str">
        <f>IFERROR(INDEX(V!$R:$R,MATCH(AJ16,V!$L:$L,0)),"")</f>
        <v/>
      </c>
      <c r="AJ16" s="407" t="str">
        <f t="shared" si="3"/>
        <v/>
      </c>
      <c r="AK16" s="406" t="str">
        <f>IFERROR(INDEX(V!$R:$R,MATCH(AL16,V!$L:$L,0)),"")</f>
        <v/>
      </c>
      <c r="AL16" s="407" t="str">
        <f t="shared" si="4"/>
        <v/>
      </c>
      <c r="AM16" s="406" t="str">
        <f>IFERROR(INDEX(V!$R:$R,MATCH(AN16,V!$L:$L,0)),"")</f>
        <v/>
      </c>
      <c r="AN16" s="407" t="str">
        <f t="shared" si="5"/>
        <v/>
      </c>
      <c r="AO16" s="406" t="str">
        <f>IFERROR(INDEX(V!$R:$R,MATCH(AP16,V!$L:$L,0)),"")</f>
        <v/>
      </c>
      <c r="AP16" s="407" t="str">
        <f t="shared" si="6"/>
        <v/>
      </c>
    </row>
    <row r="17" spans="1:42" hidden="1" x14ac:dyDescent="0.2">
      <c r="A17" s="316">
        <v>4</v>
      </c>
      <c r="B17" s="493"/>
      <c r="C17" s="318"/>
      <c r="D17" s="492"/>
      <c r="E17" s="318"/>
      <c r="F17" s="319"/>
      <c r="G17" s="511"/>
      <c r="H17" s="317" t="str">
        <f>(IF(C17-F14&gt;0,1)+IF(D17-F15&gt;0,1)+IF(E17-F16&gt;0,1)+IF(G17-F18&gt;0,1))&amp;"-"&amp;(IF(C17-F14&lt;0,1)+IF(D17-F15&lt;0,1)+IF(E17-F16&lt;0,1)+IF(G17-F18&lt;0,1))</f>
        <v>0-0</v>
      </c>
      <c r="I17" s="318" t="str">
        <f>IF(AND(B17&lt;&gt;"",R$6=TRUE),A$13&amp;RANK(S17,S$14:S$18,0)," ")</f>
        <v xml:space="preserve"> </v>
      </c>
      <c r="J17" s="489">
        <f>IF(AND(Q17=1,Q14=1,C17&gt;F14),1)+IF(AND(Q17=1,Q15=1,D17&gt;F15),1)+IF(AND(Q17=1,Q16=1,E17&gt;F16),1)+IF(AND(Q17=1,Q18=1,G17&gt;F18),1)+IF(AND(Q17=2,Q14=2,C17&gt;F14),1)+IF(AND(Q17=2,Q15=2,D17&gt;F15),1)+IF(AND(Q17=2,Q16=2,E17&gt;F16),1)+IF(AND(Q17=2,Q18=2,G17&gt;F18),1)+IF(AND(Q17=3,Q14=3,C17&gt;F14),1)+IF(AND(Q17=3,Q15=3,D17&gt;F15),1)+IF(AND(Q17=3,Q16=3,E17&gt;F16),1)+IF(AND(Q17=3,Q18=3,G17&gt;F18),1)</f>
        <v>0</v>
      </c>
      <c r="K17" s="483">
        <f>SUM(AND(T17=T14,C17&gt;F14),AND(T17=T15,D17&gt;F15),AND(T17=T16,E17&gt;F16),AND(T17=T18,G17&gt;F18))</f>
        <v>0</v>
      </c>
      <c r="L17" s="490">
        <f>IF(AND(Q17=1,Q14=1),C17-F14)+IF(AND(Q17=1,Q15=1),D17-F15)+IF(AND(Q17=1,Q16=1),E17-F16)+IF(AND(Q17=1,Q18=1),G17-F18)+IF(AND(Q17=2,Q14=2),C17-F14)+IF(AND(Q17=2,Q15=2),D17-F15)+IF(AND(Q17=2,Q16=2),E17-F16)+IF(AND(Q17=2,Q18=2),G17-F18)+IF(AND(Q17=3,Q14=3),C17-F14)+IF(AND(Q17=3,Q15=3),D17-F15)+IF(AND(Q17=3,Q16=3),E17-F16)+IF(AND(Q17=3,Q18=3),G17-F18)+IF(AND(Q17=4,Q14=4),C17-F14)+IF(AND(Q17=4,Q15=4),D17-F15)+IF(AND(Q17=4,Q16=4),E17-F16)+IF(AND(Q17=4,Q18=4),G17-F18)</f>
        <v>0</v>
      </c>
      <c r="M17" s="483">
        <f>SUM(AND(R17=R14,C17&gt;F14),AND(R17=R15,D17&gt;F15),AND(R17=R16,E17&gt;F16),AND(R17=R18,G17&gt;F18))</f>
        <v>0</v>
      </c>
      <c r="N17" s="537" t="str">
        <f>SUM(C17:G17)&amp;"-"&amp;SUM(F14:F18)</f>
        <v>0-0</v>
      </c>
      <c r="O17" s="538">
        <f>C17+D17+E17+G17-F14-F15-F16-F18</f>
        <v>0</v>
      </c>
      <c r="P17" s="485" t="e">
        <f>SUM(C17:G17,F14:F18)/SUM(F14:F18)</f>
        <v>#DIV/0!</v>
      </c>
      <c r="Q17" s="491">
        <f>VALUE(LEFT(H17,1))</f>
        <v>0</v>
      </c>
      <c r="R17" s="321">
        <f>Q17*100000+J17*10000+K17*1000+100*L17</f>
        <v>0</v>
      </c>
      <c r="S17" s="486">
        <f>R17+M17*0.1+IF(ISNONTEXT(B17),0,0.01)+0.0001*O17</f>
        <v>0</v>
      </c>
      <c r="T17" s="487" t="str">
        <f>Q17&amp;J17</f>
        <v>00</v>
      </c>
      <c r="U17" s="477"/>
      <c r="V17" s="477"/>
      <c r="W17" s="477"/>
      <c r="X17" s="477"/>
      <c r="Y17" s="477"/>
      <c r="Z17" s="477"/>
      <c r="AA17" s="485"/>
      <c r="AD17" s="405">
        <f t="shared" si="0"/>
        <v>0</v>
      </c>
      <c r="AE17" s="406" t="str">
        <f>IFERROR(INDEX(V!$R:$R,MATCH(AF17,V!$L:$L,0)),"")</f>
        <v/>
      </c>
      <c r="AF17" s="407" t="str">
        <f t="shared" si="1"/>
        <v/>
      </c>
      <c r="AG17" s="406" t="str">
        <f>IFERROR(INDEX(V!$R:$R,MATCH(AH17,V!$L:$L,0)),"")</f>
        <v/>
      </c>
      <c r="AH17" s="407" t="str">
        <f t="shared" si="2"/>
        <v/>
      </c>
      <c r="AI17" s="406" t="str">
        <f>IFERROR(INDEX(V!$R:$R,MATCH(AJ17,V!$L:$L,0)),"")</f>
        <v/>
      </c>
      <c r="AJ17" s="407" t="str">
        <f t="shared" si="3"/>
        <v/>
      </c>
      <c r="AK17" s="406" t="str">
        <f>IFERROR(INDEX(V!$R:$R,MATCH(AL17,V!$L:$L,0)),"")</f>
        <v/>
      </c>
      <c r="AL17" s="407" t="str">
        <f t="shared" si="4"/>
        <v/>
      </c>
      <c r="AM17" s="406" t="str">
        <f>IFERROR(INDEX(V!$R:$R,MATCH(AN17,V!$L:$L,0)),"")</f>
        <v/>
      </c>
      <c r="AN17" s="407" t="str">
        <f t="shared" si="5"/>
        <v/>
      </c>
      <c r="AO17" s="406" t="str">
        <f>IFERROR(INDEX(V!$R:$R,MATCH(AP17,V!$L:$L,0)),"")</f>
        <v/>
      </c>
      <c r="AP17" s="407" t="str">
        <f t="shared" si="6"/>
        <v/>
      </c>
    </row>
    <row r="18" spans="1:42" hidden="1" x14ac:dyDescent="0.2">
      <c r="A18" s="316">
        <v>5</v>
      </c>
      <c r="B18" s="493"/>
      <c r="C18" s="318"/>
      <c r="D18" s="318"/>
      <c r="E18" s="318"/>
      <c r="F18" s="318"/>
      <c r="G18" s="319"/>
      <c r="H18" s="317" t="str">
        <f>(IF(C18-G14&gt;0,1)+IF(D18-G15&gt;0,1)+IF(E18-G16&gt;0,1)+IF(F18-G17&gt;0,1))&amp;"-"&amp;(IF(C18-G14&lt;0,1)+IF(D18-G15&lt;0,1)+IF(E18-G16&lt;0,1)+IF(F18-G17&lt;0,1))</f>
        <v>0-0</v>
      </c>
      <c r="I18" s="318" t="str">
        <f>IF(AND(B18&lt;&gt;"",R$6=TRUE),A$13&amp;RANK(S18,S$14:S$18,0)," ")</f>
        <v xml:space="preserve"> </v>
      </c>
      <c r="J18" s="489">
        <f>IF(AND(Q18=1,Q14=1,C18&gt;G14),1)+IF(AND(Q18=1,Q15=1,D18&gt;G15),1)+IF(AND(Q18=1,Q16=1,E18&gt;G16),1)+IF(AND(Q18=1,Q17=1,F18&gt;G17),1)+IF(AND(Q18=2,Q14=2,C18&gt;G14),1)+IF(AND(Q18=2,Q15=2,D18&gt;G15),1)+IF(AND(Q18=2,Q16=2,E18&gt;G16),1)+IF(AND(Q18=2,Q17=2,F18&gt;G17),1)+IF(AND(Q18=3,Q14=3,C18&gt;G14),1)+IF(AND(Q18=3,Q15=3,D18&gt;G15),1)+IF(AND(Q18=3,Q16=3,E18&gt;G16),1)+IF(AND(Q18=3,Q17=3,F18&gt;G17),1)</f>
        <v>0</v>
      </c>
      <c r="K18" s="483">
        <f>SUM(AND(T18=T14,C18&gt;G14),AND(T18=T15,D18&gt;G15),AND(T18=T16,E18&gt;G16),AND(T18=T17,F18&gt;G17))</f>
        <v>0</v>
      </c>
      <c r="L18" s="490">
        <f>IF(AND(Q18=1,Q14=1),C18-G14)+IF(AND(Q18=1,Q15=1),D18-G15)+IF(AND(Q18=1,Q16=1),E18-G16)+IF(AND(Q18=1,Q17=1),F18-G17)+IF(AND(Q18=2,Q14=2),C18-G14)+IF(AND(Q18=2,Q15=2),D18-G15)+IF(AND(Q18=2,Q16=2),E18-G16)+IF(AND(Q18=2,Q17=2),F18-G17)+IF(AND(Q18=3,Q14=3),C18-G14)+IF(AND(Q18=3,Q15=3),D18-G15)+IF(AND(Q18=3,Q16=3),E18-G16)+IF(AND(Q18=3,Q17=3),F18-G17)+IF(AND(Q18=4,Q14=4),C18-G14)+IF(AND(Q18=4,Q15=4),D18-G15)+IF(AND(Q18=4,Q16=4),E18-G16)+IF(AND(Q18=4,Q17=4),F18-G17)</f>
        <v>0</v>
      </c>
      <c r="M18" s="483">
        <f>SUM(AND(R18=R14,C18&gt;G14),AND(R18=R15,D18&gt;G15),AND(R18=R16,E18&gt;G16),AND(R18=R17,F18&gt;G17))</f>
        <v>0</v>
      </c>
      <c r="N18" s="537" t="str">
        <f>SUM(C18:G18)&amp;"-"&amp;SUM(G14:G18)</f>
        <v>0-0</v>
      </c>
      <c r="O18" s="538">
        <f>C18+D18+E18+F18-G14-G15-G16-G17</f>
        <v>0</v>
      </c>
      <c r="P18" s="485" t="e">
        <f>SUM(C18:G18,G14:G18)/SUM(G14:G18)</f>
        <v>#DIV/0!</v>
      </c>
      <c r="Q18" s="491">
        <f>VALUE(LEFT(H18,1))</f>
        <v>0</v>
      </c>
      <c r="R18" s="321">
        <f>Q18*100000+J18*10000+K18*1000+100*L18</f>
        <v>0</v>
      </c>
      <c r="S18" s="486">
        <f>R18+M18*0.1+IF(ISNONTEXT(B18),0,0.01)+0.0001*O18</f>
        <v>0</v>
      </c>
      <c r="T18" s="487" t="str">
        <f>Q18&amp;J18</f>
        <v>00</v>
      </c>
      <c r="U18" s="477"/>
      <c r="V18" s="477"/>
      <c r="W18" s="477"/>
      <c r="X18" s="477"/>
      <c r="Y18" s="477"/>
      <c r="Z18" s="477"/>
      <c r="AA18" s="485"/>
      <c r="AD18" s="405">
        <f t="shared" si="0"/>
        <v>0</v>
      </c>
      <c r="AE18" s="406" t="str">
        <f>IFERROR(INDEX(V!$R:$R,MATCH(AF18,V!$L:$L,0)),"")</f>
        <v/>
      </c>
      <c r="AF18" s="407" t="str">
        <f t="shared" si="1"/>
        <v/>
      </c>
      <c r="AG18" s="406" t="str">
        <f>IFERROR(INDEX(V!$R:$R,MATCH(AH18,V!$L:$L,0)),"")</f>
        <v/>
      </c>
      <c r="AH18" s="407" t="str">
        <f t="shared" si="2"/>
        <v/>
      </c>
      <c r="AI18" s="406" t="str">
        <f>IFERROR(INDEX(V!$R:$R,MATCH(AJ18,V!$L:$L,0)),"")</f>
        <v/>
      </c>
      <c r="AJ18" s="407" t="str">
        <f t="shared" si="3"/>
        <v/>
      </c>
      <c r="AK18" s="406" t="str">
        <f>IFERROR(INDEX(V!$R:$R,MATCH(AL18,V!$L:$L,0)),"")</f>
        <v/>
      </c>
      <c r="AL18" s="407" t="str">
        <f t="shared" si="4"/>
        <v/>
      </c>
      <c r="AM18" s="406" t="str">
        <f>IFERROR(INDEX(V!$R:$R,MATCH(AN18,V!$L:$L,0)),"")</f>
        <v/>
      </c>
      <c r="AN18" s="407" t="str">
        <f t="shared" si="5"/>
        <v/>
      </c>
      <c r="AO18" s="406" t="str">
        <f>IFERROR(INDEX(V!$R:$R,MATCH(AP18,V!$L:$L,0)),"")</f>
        <v/>
      </c>
      <c r="AP18" s="407" t="str">
        <f t="shared" si="6"/>
        <v/>
      </c>
    </row>
    <row r="19" spans="1:42" x14ac:dyDescent="0.2">
      <c r="A19" s="494"/>
      <c r="B19" s="495"/>
      <c r="C19" s="496"/>
      <c r="D19" s="497"/>
      <c r="E19" s="496"/>
      <c r="F19" s="498"/>
      <c r="G19" s="499"/>
      <c r="H19" s="500"/>
      <c r="I19" s="512"/>
      <c r="J19" s="477"/>
      <c r="K19" s="477"/>
      <c r="L19" s="477"/>
      <c r="M19" s="477"/>
      <c r="N19" s="539"/>
      <c r="O19" s="539"/>
      <c r="P19" s="477"/>
      <c r="Q19" s="477"/>
      <c r="R19" s="502" t="s">
        <v>264</v>
      </c>
      <c r="S19" s="477"/>
      <c r="T19" s="477"/>
      <c r="U19" s="477"/>
      <c r="V19" s="477"/>
      <c r="W19" s="477"/>
      <c r="X19" s="477"/>
      <c r="Y19" s="477"/>
      <c r="Z19" s="477"/>
      <c r="AA19" s="485"/>
      <c r="AD19" s="405">
        <f t="shared" si="0"/>
        <v>0</v>
      </c>
      <c r="AE19" s="406" t="str">
        <f>IFERROR(INDEX(V!$R:$R,MATCH(AF19,V!$L:$L,0)),"")</f>
        <v/>
      </c>
      <c r="AF19" s="407" t="str">
        <f t="shared" si="1"/>
        <v/>
      </c>
      <c r="AG19" s="406" t="str">
        <f>IFERROR(INDEX(V!$R:$R,MATCH(AH19,V!$L:$L,0)),"")</f>
        <v/>
      </c>
      <c r="AH19" s="407" t="str">
        <f t="shared" si="2"/>
        <v/>
      </c>
      <c r="AI19" s="406" t="str">
        <f>IFERROR(INDEX(V!$R:$R,MATCH(AJ19,V!$L:$L,0)),"")</f>
        <v/>
      </c>
      <c r="AJ19" s="407" t="str">
        <f t="shared" si="3"/>
        <v/>
      </c>
      <c r="AK19" s="406" t="str">
        <f>IFERROR(INDEX(V!$R:$R,MATCH(AL19,V!$L:$L,0)),"")</f>
        <v/>
      </c>
      <c r="AL19" s="407" t="str">
        <f t="shared" si="4"/>
        <v/>
      </c>
      <c r="AM19" s="406" t="str">
        <f>IFERROR(INDEX(V!$R:$R,MATCH(AN19,V!$L:$L,0)),"")</f>
        <v/>
      </c>
      <c r="AN19" s="407" t="str">
        <f t="shared" si="5"/>
        <v/>
      </c>
      <c r="AO19" s="406" t="str">
        <f>IFERROR(INDEX(V!$R:$R,MATCH(AP19,V!$L:$L,0)),"")</f>
        <v/>
      </c>
      <c r="AP19" s="407" t="str">
        <f t="shared" si="6"/>
        <v/>
      </c>
    </row>
    <row r="20" spans="1:42" x14ac:dyDescent="0.2">
      <c r="A20" s="316" t="s">
        <v>2</v>
      </c>
      <c r="B20" s="503"/>
      <c r="C20" s="467">
        <v>1</v>
      </c>
      <c r="D20" s="467">
        <v>2</v>
      </c>
      <c r="E20" s="467">
        <v>3</v>
      </c>
      <c r="F20" s="467"/>
      <c r="G20" s="467"/>
      <c r="H20" s="468" t="s">
        <v>168</v>
      </c>
      <c r="I20" s="468" t="s">
        <v>169</v>
      </c>
      <c r="J20" s="504" t="s">
        <v>257</v>
      </c>
      <c r="K20" s="505" t="s">
        <v>258</v>
      </c>
      <c r="L20" s="506" t="s">
        <v>259</v>
      </c>
      <c r="M20" s="506" t="s">
        <v>260</v>
      </c>
      <c r="N20" s="472" t="s">
        <v>170</v>
      </c>
      <c r="O20" s="472" t="s">
        <v>170</v>
      </c>
      <c r="P20" s="473" t="s">
        <v>261</v>
      </c>
      <c r="Q20" s="507" t="s">
        <v>21</v>
      </c>
      <c r="R20" s="507" t="b">
        <f>OR(AND(COUNTA(B21:B25)=3,COUNTA(C21:G25)=6),AND(COUNTA(B21:B25)=4,COUNTA(C21:G25)=12),AND(COUNTA(B21:B25)=5,COUNTA(C21:G25)=20))</f>
        <v>0</v>
      </c>
      <c r="S20" s="508" t="s">
        <v>262</v>
      </c>
      <c r="T20" s="509" t="s">
        <v>263</v>
      </c>
      <c r="U20" s="477"/>
      <c r="V20" s="477"/>
      <c r="W20" s="477"/>
      <c r="X20" s="477"/>
      <c r="Y20" s="477"/>
      <c r="Z20" s="477"/>
      <c r="AA20" s="477"/>
      <c r="AD20" s="405">
        <f t="shared" si="0"/>
        <v>0</v>
      </c>
      <c r="AE20" s="406" t="str">
        <f>IFERROR(INDEX(V!$R:$R,MATCH(AF20,V!$L:$L,0)),"")</f>
        <v/>
      </c>
      <c r="AF20" s="407" t="str">
        <f t="shared" si="1"/>
        <v/>
      </c>
      <c r="AG20" s="406" t="str">
        <f>IFERROR(INDEX(V!$R:$R,MATCH(AH20,V!$L:$L,0)),"")</f>
        <v/>
      </c>
      <c r="AH20" s="407" t="str">
        <f t="shared" si="2"/>
        <v/>
      </c>
      <c r="AI20" s="406" t="str">
        <f>IFERROR(INDEX(V!$R:$R,MATCH(AJ20,V!$L:$L,0)),"")</f>
        <v/>
      </c>
      <c r="AJ20" s="407" t="str">
        <f t="shared" si="3"/>
        <v/>
      </c>
      <c r="AK20" s="406" t="str">
        <f>IFERROR(INDEX(V!$R:$R,MATCH(AL20,V!$L:$L,0)),"")</f>
        <v/>
      </c>
      <c r="AL20" s="407" t="str">
        <f t="shared" si="4"/>
        <v/>
      </c>
      <c r="AM20" s="406" t="str">
        <f>IFERROR(INDEX(V!$R:$R,MATCH(AN20,V!$L:$L,0)),"")</f>
        <v/>
      </c>
      <c r="AN20" s="407" t="str">
        <f t="shared" si="5"/>
        <v/>
      </c>
      <c r="AO20" s="406" t="str">
        <f>IFERROR(INDEX(V!$R:$R,MATCH(AP20,V!$L:$L,0)),"")</f>
        <v/>
      </c>
      <c r="AP20" s="407" t="str">
        <f t="shared" si="6"/>
        <v/>
      </c>
    </row>
    <row r="21" spans="1:42" x14ac:dyDescent="0.2">
      <c r="A21" s="316">
        <v>1</v>
      </c>
      <c r="B21" s="479"/>
      <c r="C21" s="319"/>
      <c r="D21" s="318"/>
      <c r="E21" s="318"/>
      <c r="F21" s="318"/>
      <c r="G21" s="318"/>
      <c r="H21" s="317" t="str">
        <f>(IF(D21-C22&gt;0,1)+IF(E21-C23&gt;0,1)+IF(F21-C24&gt;0,1)+IF(G21-C25&gt;0,1))&amp;"-"&amp;(IF(D21-C22&lt;0,1)+IF(E21-C23&lt;0,1)+IF(F21-C24&lt;0,1)+IF(G21-C25&lt;0,1))</f>
        <v>0-0</v>
      </c>
      <c r="I21" s="318" t="str">
        <f>IF(AND(B21&lt;&gt;"",R$20=TRUE),A$20&amp;RANK(S21,S$21:S$25,0)," ")</f>
        <v xml:space="preserve"> </v>
      </c>
      <c r="J21" s="480">
        <f>IF(AND(Q21=1,Q22=1,D21&gt;C22),1)+IF(AND(Q21=1,Q23=1,E21&gt;C23),1)+IF(AND(Q21=1,Q24=1,F21&gt;C24),1)+IF(AND(Q21=1,Q25=1,G21&gt;C25),1)+IF(AND(Q21=2,Q22=2,D21&gt;C22),1)+IF(AND(Q21=2,Q23=2,E21&gt;C23),1)+IF(AND(Q21=2,Q24=2,F21&gt;C24),1)+IF(AND(Q21=2,Q25=2,G21&gt;C25),1)+IF(AND(Q21=3,Q22=3,D21&gt;C22),1)+IF(AND(Q21=3,Q23=3,E21&gt;C23),1)+IF(AND(Q21=3,Q24=3,F21&gt;C24),1)+IF(AND(Q21=3,Q25=3,G21&gt;C25),1)</f>
        <v>0</v>
      </c>
      <c r="K21" s="481">
        <f>SUM(AND(T21=T22,D21&gt;C22),AND(T21=T23,E21&gt;C23),AND(T21=T24,F21&gt;C24),AND(T21=T25,G21&gt;C25))</f>
        <v>0</v>
      </c>
      <c r="L21" s="482">
        <f>IF(AND(Q21=1,Q22=1),D21-C22)+IF(AND(Q21=1,Q23=1),E21-C23)+IF(AND(Q21=1,Q24=1),F21-C24)+IF(AND(Q21=1,Q25=1),G21-C25)+IF(AND(Q21=2,Q22=2),D21-C22)+IF(AND(Q21=2,Q23=2),E21-C23)+IF(AND(Q21=2,Q24=2),F21-C24)+IF(AND(Q21=2,Q25=2),G21-C25)+IF(AND(Q21=3,Q22=3),D21-C22)+IF(AND(Q21=3,Q23=3),E21-C23)+IF(AND(Q21=3,Q24=3),F21-C24)+IF(AND(Q21=3,Q25=3),G21-C25)+IF(AND(Q21=4,Q22=4),D21-C22)+IF(AND(Q21=4,Q23=4),E21-C23)+IF(AND(Q21=4,Q24=4),F21-C24)+IF(AND(Q21=4,Q25=4),G21-C25)</f>
        <v>0</v>
      </c>
      <c r="M21" s="483">
        <f>SUM(AND(R21=R22,D21&gt;C22),AND(R21=R23,E21&gt;C23),AND(R21=R24,F21&gt;C24),AND(R21=R25,G21&gt;C25))</f>
        <v>0</v>
      </c>
      <c r="N21" s="537" t="str">
        <f>SUM(C21:G21)&amp;"-"&amp;SUM(C21:C25)</f>
        <v>0-0</v>
      </c>
      <c r="O21" s="538">
        <f>D21+E21+F21+G21-C22-C23-C24-C25</f>
        <v>0</v>
      </c>
      <c r="P21" s="485" t="e">
        <f>SUM(C21:G21,C21:C25)/SUM(C21:C25)</f>
        <v>#DIV/0!</v>
      </c>
      <c r="Q21" s="320">
        <f>VALUE(LEFT(H21,1))</f>
        <v>0</v>
      </c>
      <c r="R21" s="321">
        <f>Q21*100000+J21*10000+K21*1000+100*L21</f>
        <v>0</v>
      </c>
      <c r="S21" s="486">
        <f>R21+M21*0.1+IF(ISNONTEXT(B21),0,0.01)+0.0001*O21</f>
        <v>0</v>
      </c>
      <c r="T21" s="487" t="str">
        <f>Q21&amp;J21</f>
        <v>00</v>
      </c>
      <c r="U21" s="477"/>
      <c r="V21" s="477"/>
      <c r="W21" s="477"/>
      <c r="X21" s="477"/>
      <c r="Y21" s="477"/>
      <c r="Z21" s="477"/>
      <c r="AA21" s="477"/>
      <c r="AD21" s="405">
        <f t="shared" si="0"/>
        <v>0</v>
      </c>
      <c r="AE21" s="406" t="str">
        <f>IFERROR(INDEX(V!$R:$R,MATCH(AF21,V!$L:$L,0)),"")</f>
        <v/>
      </c>
      <c r="AF21" s="407" t="str">
        <f t="shared" si="1"/>
        <v/>
      </c>
      <c r="AG21" s="406" t="str">
        <f>IFERROR(INDEX(V!$R:$R,MATCH(AH21,V!$L:$L,0)),"")</f>
        <v/>
      </c>
      <c r="AH21" s="407" t="str">
        <f t="shared" si="2"/>
        <v/>
      </c>
      <c r="AI21" s="406" t="str">
        <f>IFERROR(INDEX(V!$R:$R,MATCH(AJ21,V!$L:$L,0)),"")</f>
        <v/>
      </c>
      <c r="AJ21" s="407" t="str">
        <f t="shared" si="3"/>
        <v/>
      </c>
      <c r="AK21" s="406" t="str">
        <f>IFERROR(INDEX(V!$R:$R,MATCH(AL21,V!$L:$L,0)),"")</f>
        <v/>
      </c>
      <c r="AL21" s="407" t="str">
        <f t="shared" si="4"/>
        <v/>
      </c>
      <c r="AM21" s="406" t="str">
        <f>IFERROR(INDEX(V!$R:$R,MATCH(AN21,V!$L:$L,0)),"")</f>
        <v/>
      </c>
      <c r="AN21" s="407" t="str">
        <f t="shared" si="5"/>
        <v/>
      </c>
      <c r="AO21" s="406" t="str">
        <f>IFERROR(INDEX(V!$R:$R,MATCH(AP21,V!$L:$L,0)),"")</f>
        <v/>
      </c>
      <c r="AP21" s="407" t="str">
        <f t="shared" si="6"/>
        <v/>
      </c>
    </row>
    <row r="22" spans="1:42" x14ac:dyDescent="0.2">
      <c r="A22" s="316">
        <v>2</v>
      </c>
      <c r="B22" s="488"/>
      <c r="C22" s="318"/>
      <c r="D22" s="319"/>
      <c r="E22" s="318"/>
      <c r="F22" s="318"/>
      <c r="G22" s="318"/>
      <c r="H22" s="317" t="str">
        <f>(IF(C22-D21&gt;0,1)+IF(E22-D23&gt;0,1)+IF(F22-D24&gt;0,1)+IF(G22-D25&gt;0,1))&amp;"-"&amp;(IF(C22-D21&lt;0,1)+IF(E22-D23&lt;0,1)+IF(F22-D24&lt;0,1)+IF(G22-D25&lt;0,1))</f>
        <v>0-0</v>
      </c>
      <c r="I22" s="318" t="str">
        <f t="shared" ref="I22:I25" si="7">IF(AND(B22&lt;&gt;"",R$20=TRUE),A$20&amp;RANK(S22,S$21:S$25,0)," ")</f>
        <v xml:space="preserve"> </v>
      </c>
      <c r="J22" s="489">
        <f>IF(AND(Q22=1,Q21=1,C22&gt;D21),1)+IF(AND(Q22=1,Q23=1,E22&gt;D23),1)+IF(AND(Q22=1,Q24=1,F22&gt;D24),1)+IF(AND(Q22=1,Q25=1,G22&gt;D25),1)+IF(AND(Q22=2,Q21=2,C22&gt;D21),1)+IF(AND(Q22=2,Q23=2,E22&gt;D23),1)+IF(AND(Q22=2,Q24=2,F22&gt;D24),1)+IF(AND(Q22=2,Q25=2,G22&gt;D25),1)+IF(AND(Q22=3,Q21=3,C22&gt;D21),1)+IF(AND(Q22=3,Q23=3,E22&gt;D23),1)+IF(AND(Q22=3,Q24=3,F22&gt;D24),1)+IF(AND(Q22=3,Q25=3,G22&gt;D25),1)</f>
        <v>0</v>
      </c>
      <c r="K22" s="483">
        <f>SUM(AND(T22=T21,C22&gt;D21),AND(T22=T23,E22&gt;D23),AND(T22=T24,F22&gt;D24),AND(T22=T25,G22&gt;D25))</f>
        <v>0</v>
      </c>
      <c r="L22" s="490">
        <f>IF(AND(Q22=1,Q21=1),C22-D21)+IF(AND(Q22=1,Q23=1),E22-D23)+IF(AND(Q22=1,Q24=1),F22-D24)+IF(AND(Q22=1,Q25=1),G22-D25)+IF(AND(Q22=2,Q21=2),C22-D21)+IF(AND(Q22=2,Q23=2),E22-D23)+IF(AND(Q22=2,Q24=2),F22-D24)+IF(AND(Q22=2,Q25=2),G22-D25)+IF(AND(Q22=3,Q21=3),C22-D21)+IF(AND(Q22=3,Q23=3),E22-D23)+IF(AND(Q22=3,Q24=3),F22-D24)+IF(AND(Q22=3,Q25=3),G22-D25)+IF(AND(Q22=4,Q21=4),C22-D21)+IF(AND(Q22=4,Q23=4),E22-D23)+IF(AND(Q22=4,Q24=4),F22-D24)+IF(AND(Q22=4,Q25=4),G22-D25)</f>
        <v>0</v>
      </c>
      <c r="M22" s="483">
        <f>SUM(AND(R22=R21,C22&gt;D21),AND(R22=R23,E22&gt;D23),AND(R22=R24,F22&gt;D24),AND(R22=R25,G22&gt;D25))</f>
        <v>0</v>
      </c>
      <c r="N22" s="537" t="str">
        <f>SUM(C22:G22)&amp;"-"&amp;SUM(D21:D25)</f>
        <v>0-0</v>
      </c>
      <c r="O22" s="538">
        <f>C22+E22+F22+G22-D21-D23-D24-D25</f>
        <v>0</v>
      </c>
      <c r="P22" s="485" t="e">
        <f>SUM(C22:G22,D21:D25)/SUM(D21:D25)</f>
        <v>#DIV/0!</v>
      </c>
      <c r="Q22" s="491">
        <f>VALUE(LEFT(H22,1))</f>
        <v>0</v>
      </c>
      <c r="R22" s="321">
        <f>Q22*100000+J22*10000+K22*1000+100*L22</f>
        <v>0</v>
      </c>
      <c r="S22" s="486">
        <f>R22+M22*0.1+IF(ISNONTEXT(B22),0,0.01)+0.0001*O22</f>
        <v>0</v>
      </c>
      <c r="T22" s="487" t="str">
        <f>Q22&amp;J22</f>
        <v>00</v>
      </c>
      <c r="U22" s="477"/>
      <c r="V22" s="477"/>
      <c r="W22" s="477"/>
      <c r="X22" s="477"/>
      <c r="Y22" s="477"/>
      <c r="Z22" s="477"/>
      <c r="AA22" s="477"/>
      <c r="AD22" s="405">
        <f t="shared" si="0"/>
        <v>0</v>
      </c>
      <c r="AE22" s="406" t="str">
        <f>IFERROR(INDEX(V!$R:$R,MATCH(AF22,V!$L:$L,0)),"")</f>
        <v/>
      </c>
      <c r="AF22" s="407" t="str">
        <f t="shared" si="1"/>
        <v/>
      </c>
      <c r="AG22" s="406" t="str">
        <f>IFERROR(INDEX(V!$R:$R,MATCH(AH22,V!$L:$L,0)),"")</f>
        <v/>
      </c>
      <c r="AH22" s="407" t="str">
        <f t="shared" si="2"/>
        <v/>
      </c>
      <c r="AI22" s="406" t="str">
        <f>IFERROR(INDEX(V!$R:$R,MATCH(AJ22,V!$L:$L,0)),"")</f>
        <v/>
      </c>
      <c r="AJ22" s="407" t="str">
        <f t="shared" si="3"/>
        <v/>
      </c>
      <c r="AK22" s="406" t="str">
        <f>IFERROR(INDEX(V!$R:$R,MATCH(AL22,V!$L:$L,0)),"")</f>
        <v/>
      </c>
      <c r="AL22" s="407" t="str">
        <f t="shared" si="4"/>
        <v/>
      </c>
      <c r="AM22" s="406" t="str">
        <f>IFERROR(INDEX(V!$R:$R,MATCH(AN22,V!$L:$L,0)),"")</f>
        <v/>
      </c>
      <c r="AN22" s="407" t="str">
        <f t="shared" si="5"/>
        <v/>
      </c>
      <c r="AO22" s="406" t="str">
        <f>IFERROR(INDEX(V!$R:$R,MATCH(AP22,V!$L:$L,0)),"")</f>
        <v/>
      </c>
      <c r="AP22" s="407" t="str">
        <f t="shared" si="6"/>
        <v/>
      </c>
    </row>
    <row r="23" spans="1:42" x14ac:dyDescent="0.2">
      <c r="A23" s="316">
        <v>3</v>
      </c>
      <c r="B23" s="488"/>
      <c r="C23" s="318"/>
      <c r="D23" s="492"/>
      <c r="E23" s="319"/>
      <c r="F23" s="318"/>
      <c r="G23" s="318"/>
      <c r="H23" s="317" t="str">
        <f>(IF(C23-E21&gt;0,1)+IF(D23-E22&gt;0,1)+IF(F23-E24&gt;0,1)+IF(G23-E25&gt;0,1))&amp;"-"&amp;(IF(C23-E21&lt;0,1)+IF(D23-E22&lt;0,1)+IF(F23-E24&lt;0,1)+IF(G23-E25&lt;0,1))</f>
        <v>0-0</v>
      </c>
      <c r="I23" s="318" t="str">
        <f t="shared" si="7"/>
        <v xml:space="preserve"> </v>
      </c>
      <c r="J23" s="489">
        <f>IF(AND(Q23=1,Q21=1,C23&gt;E21),1)+IF(AND(Q23=1,Q22=1,D23&gt;E22),1)+IF(AND(Q23=1,Q24=1,F23&gt;E24),1)+IF(AND(Q23=1,Q25=1,G23&gt;E25),1)+IF(AND(Q23=2,Q21=2,C23&gt;E21),1)+IF(AND(Q23=2,Q22=2,D23&gt;E22),1)+IF(AND(Q23=2,Q24=2,F23&gt;E24),1)+IF(AND(Q23=2,Q25=2,G23&gt;E25),1)+IF(AND(Q23=3,Q21=3,C23&gt;E21),1)+IF(AND(Q23=3,Q22=3,D23&gt;E22),1)+IF(AND(Q23=3,Q24=3,F23&gt;E24),1)+IF(AND(Q23=3,Q25=3,G23&gt;E25),1)</f>
        <v>0</v>
      </c>
      <c r="K23" s="483">
        <f>SUM(AND(T23=T21,C23&gt;E21),AND(T23=T22,D23&gt;E22),AND(T23=T24,F23&gt;E24),AND(T23=T25,G23&gt;E25))</f>
        <v>0</v>
      </c>
      <c r="L23" s="490">
        <f>IF(AND(Q23=1,Q21=1),C23-E21)+IF(AND(Q23=1,Q22=1),D23-E22)+IF(AND(Q23=1,Q24=1),F23-E24)+IF(AND(Q23=1,Q25=1),G23-E25)+IF(AND(Q23=2,Q21=2),C23-E21)+IF(AND(Q23=2,Q22=2),D23-E22)+IF(AND(Q23=2,Q24=2),F23-E24)+IF(AND(Q23=2,Q25=2),G23-E25)+IF(AND(Q23=3,Q21=3),C23-E21)+IF(AND(Q23=3,Q22=3),D23-E22)+IF(AND(Q23=3,Q24=3),F23-E24)+IF(AND(Q23=3,Q25=3),G23-E25)+IF(AND(Q23=4,Q21=4),C23-E21)+IF(AND(Q23=4,Q22=4),D23-E22)+IF(AND(Q23=4,Q24=4),F23-E24)+IF(AND(Q23=4,Q25=4),G23-E25)</f>
        <v>0</v>
      </c>
      <c r="M23" s="483">
        <f>SUM(AND(R23=R21,C23&gt;E21),AND(R23=R22,D23&gt;E22),AND(R23=R24,F23&gt;E24),AND(R23=R25,G23&gt;E25))</f>
        <v>0</v>
      </c>
      <c r="N23" s="537" t="str">
        <f>SUM(C23:G23)&amp;"-"&amp;SUM(E21:E25)</f>
        <v>0-0</v>
      </c>
      <c r="O23" s="538">
        <f>C23+D23+F23+G23-E21-E22-E24-E25</f>
        <v>0</v>
      </c>
      <c r="P23" s="485" t="e">
        <f>SUM(C23:G23,E21:E25)/SUM(E21:E25)</f>
        <v>#DIV/0!</v>
      </c>
      <c r="Q23" s="491">
        <f>VALUE(LEFT(H23,1))</f>
        <v>0</v>
      </c>
      <c r="R23" s="321">
        <f>Q23*100000+J23*10000+K23*1000+100*L23</f>
        <v>0</v>
      </c>
      <c r="S23" s="486">
        <f>R23+M23*0.1+IF(ISNONTEXT(B23),0,0.01)+0.0001*O23</f>
        <v>0</v>
      </c>
      <c r="T23" s="487" t="str">
        <f>Q23&amp;J23</f>
        <v>00</v>
      </c>
      <c r="U23" s="477"/>
      <c r="V23" s="477"/>
      <c r="W23" s="477"/>
      <c r="X23" s="477"/>
      <c r="Y23" s="477"/>
      <c r="Z23" s="477"/>
      <c r="AA23" s="477"/>
      <c r="AD23" s="405">
        <f t="shared" si="0"/>
        <v>0</v>
      </c>
      <c r="AE23" s="406" t="str">
        <f>IFERROR(INDEX(V!$R:$R,MATCH(AF23,V!$L:$L,0)),"")</f>
        <v/>
      </c>
      <c r="AF23" s="407" t="str">
        <f t="shared" si="1"/>
        <v/>
      </c>
      <c r="AG23" s="406" t="str">
        <f>IFERROR(INDEX(V!$R:$R,MATCH(AH23,V!$L:$L,0)),"")</f>
        <v/>
      </c>
      <c r="AH23" s="407" t="str">
        <f t="shared" si="2"/>
        <v/>
      </c>
      <c r="AI23" s="406" t="str">
        <f>IFERROR(INDEX(V!$R:$R,MATCH(AJ23,V!$L:$L,0)),"")</f>
        <v/>
      </c>
      <c r="AJ23" s="407" t="str">
        <f t="shared" si="3"/>
        <v/>
      </c>
      <c r="AK23" s="406" t="str">
        <f>IFERROR(INDEX(V!$R:$R,MATCH(AL23,V!$L:$L,0)),"")</f>
        <v/>
      </c>
      <c r="AL23" s="407" t="str">
        <f t="shared" si="4"/>
        <v/>
      </c>
      <c r="AM23" s="406" t="str">
        <f>IFERROR(INDEX(V!$R:$R,MATCH(AN23,V!$L:$L,0)),"")</f>
        <v/>
      </c>
      <c r="AN23" s="407" t="str">
        <f t="shared" si="5"/>
        <v/>
      </c>
      <c r="AO23" s="406" t="str">
        <f>IFERROR(INDEX(V!$R:$R,MATCH(AP23,V!$L:$L,0)),"")</f>
        <v/>
      </c>
      <c r="AP23" s="407" t="str">
        <f t="shared" si="6"/>
        <v/>
      </c>
    </row>
    <row r="24" spans="1:42" hidden="1" x14ac:dyDescent="0.2">
      <c r="A24" s="316">
        <v>4</v>
      </c>
      <c r="B24" s="488"/>
      <c r="C24" s="318"/>
      <c r="D24" s="492"/>
      <c r="E24" s="318"/>
      <c r="F24" s="319"/>
      <c r="G24" s="511"/>
      <c r="H24" s="317" t="str">
        <f>(IF(C24-F21&gt;0,1)+IF(D24-F22&gt;0,1)+IF(E24-F23&gt;0,1)+IF(G24-F25&gt;0,1))&amp;"-"&amp;(IF(C24-F21&lt;0,1)+IF(D24-F22&lt;0,1)+IF(E24-F23&lt;0,1)+IF(G24-F25&lt;0,1))</f>
        <v>0-0</v>
      </c>
      <c r="I24" s="318" t="str">
        <f t="shared" si="7"/>
        <v xml:space="preserve"> </v>
      </c>
      <c r="J24" s="489">
        <f>IF(AND(Q24=1,Q21=1,C24&gt;F21),1)+IF(AND(Q24=1,Q22=1,D24&gt;F22),1)+IF(AND(Q24=1,Q23=1,E24&gt;F23),1)+IF(AND(Q24=1,Q25=1,G24&gt;F25),1)+IF(AND(Q24=2,Q21=2,C24&gt;F21),1)+IF(AND(Q24=2,Q22=2,D24&gt;F22),1)+IF(AND(Q24=2,Q23=2,E24&gt;F23),1)+IF(AND(Q24=2,Q25=2,G24&gt;F25),1)+IF(AND(Q24=3,Q21=3,C24&gt;F21),1)+IF(AND(Q24=3,Q22=3,D24&gt;F22),1)+IF(AND(Q24=3,Q23=3,E24&gt;F23),1)+IF(AND(Q24=3,Q25=3,G24&gt;F25),1)</f>
        <v>0</v>
      </c>
      <c r="K24" s="483">
        <f>SUM(AND(T24=T21,C24&gt;F21),AND(T24=T22,D24&gt;F22),AND(T24=T23,E24&gt;F23),AND(T24=T25,G24&gt;F25))</f>
        <v>0</v>
      </c>
      <c r="L24" s="490">
        <f>IF(AND(Q24=1,Q21=1),C24-F21)+IF(AND(Q24=1,Q22=1),D24-F22)+IF(AND(Q24=1,Q23=1),E24-F23)+IF(AND(Q24=1,Q25=1),G24-F25)+IF(AND(Q24=2,Q21=2),C24-F21)+IF(AND(Q24=2,Q22=2),D24-F22)+IF(AND(Q24=2,Q23=2),E24-F23)+IF(AND(Q24=2,Q25=2),G24-F25)+IF(AND(Q24=3,Q21=3),C24-F21)+IF(AND(Q24=3,Q22=3),D24-F22)+IF(AND(Q24=3,Q23=3),E24-F23)+IF(AND(Q24=3,Q25=3),G24-F25)+IF(AND(Q24=4,Q21=4),C24-F21)+IF(AND(Q24=4,Q22=4),D24-F22)+IF(AND(Q24=4,Q23=4),E24-F23)+IF(AND(Q24=4,Q25=4),G24-F25)</f>
        <v>0</v>
      </c>
      <c r="M24" s="483">
        <f>SUM(AND(R24=R21,C24&gt;F21),AND(R24=R22,D24&gt;F22),AND(R24=R23,E24&gt;F23),AND(R24=R25,G24&gt;F25))</f>
        <v>0</v>
      </c>
      <c r="N24" s="537" t="str">
        <f>SUM(C24:G24)&amp;"-"&amp;SUM(F21:F25)</f>
        <v>0-0</v>
      </c>
      <c r="O24" s="538">
        <f>C24+D24+E24+G24-F21-F22-F23-F25</f>
        <v>0</v>
      </c>
      <c r="P24" s="485" t="e">
        <f>SUM(C24:G24,F21:F25)/SUM(F21:F25)</f>
        <v>#DIV/0!</v>
      </c>
      <c r="Q24" s="491">
        <f>VALUE(LEFT(H24,1))</f>
        <v>0</v>
      </c>
      <c r="R24" s="321">
        <f>Q24*100000+J24*10000+K24*1000+100*L24</f>
        <v>0</v>
      </c>
      <c r="S24" s="486">
        <f>R24+M24*0.1+IF(ISNONTEXT(B24),0,0.01)+0.0001*O24</f>
        <v>0</v>
      </c>
      <c r="T24" s="487" t="str">
        <f>Q24&amp;J24</f>
        <v>00</v>
      </c>
      <c r="U24" s="477"/>
      <c r="V24" s="477"/>
      <c r="W24" s="477"/>
      <c r="X24" s="477"/>
      <c r="Y24" s="477"/>
      <c r="Z24" s="477"/>
      <c r="AA24" s="477"/>
      <c r="AD24" s="405">
        <f t="shared" si="0"/>
        <v>0</v>
      </c>
      <c r="AE24" s="406" t="str">
        <f>IFERROR(INDEX(V!$R:$R,MATCH(AF24,V!$L:$L,0)),"")</f>
        <v/>
      </c>
      <c r="AF24" s="407" t="str">
        <f t="shared" si="1"/>
        <v/>
      </c>
      <c r="AG24" s="406" t="str">
        <f>IFERROR(INDEX(V!$R:$R,MATCH(AH24,V!$L:$L,0)),"")</f>
        <v/>
      </c>
      <c r="AH24" s="407" t="str">
        <f t="shared" si="2"/>
        <v/>
      </c>
      <c r="AI24" s="406" t="str">
        <f>IFERROR(INDEX(V!$R:$R,MATCH(AJ24,V!$L:$L,0)),"")</f>
        <v/>
      </c>
      <c r="AJ24" s="407" t="str">
        <f t="shared" si="3"/>
        <v/>
      </c>
      <c r="AK24" s="406" t="str">
        <f>IFERROR(INDEX(V!$R:$R,MATCH(AL24,V!$L:$L,0)),"")</f>
        <v/>
      </c>
      <c r="AL24" s="407" t="str">
        <f t="shared" si="4"/>
        <v/>
      </c>
      <c r="AM24" s="406" t="str">
        <f>IFERROR(INDEX(V!$R:$R,MATCH(AN24,V!$L:$L,0)),"")</f>
        <v/>
      </c>
      <c r="AN24" s="407" t="str">
        <f t="shared" si="5"/>
        <v/>
      </c>
      <c r="AO24" s="406" t="str">
        <f>IFERROR(INDEX(V!$R:$R,MATCH(AP24,V!$L:$L,0)),"")</f>
        <v/>
      </c>
      <c r="AP24" s="407" t="str">
        <f t="shared" si="6"/>
        <v/>
      </c>
    </row>
    <row r="25" spans="1:42" hidden="1" x14ac:dyDescent="0.2">
      <c r="A25" s="316">
        <v>5</v>
      </c>
      <c r="B25" s="493"/>
      <c r="C25" s="318"/>
      <c r="D25" s="318"/>
      <c r="E25" s="318"/>
      <c r="F25" s="318"/>
      <c r="G25" s="319"/>
      <c r="H25" s="317" t="str">
        <f>(IF(C25-G21&gt;0,1)+IF(D25-G22&gt;0,1)+IF(E25-G23&gt;0,1)+IF(F25-G24&gt;0,1))&amp;"-"&amp;(IF(C25-G21&lt;0,1)+IF(D25-G22&lt;0,1)+IF(E25-G23&lt;0,1)+IF(F25-G24&lt;0,1))</f>
        <v>0-0</v>
      </c>
      <c r="I25" s="318" t="str">
        <f t="shared" si="7"/>
        <v xml:space="preserve"> </v>
      </c>
      <c r="J25" s="489">
        <f>IF(AND(Q25=1,Q21=1,C25&gt;G21),1)+IF(AND(Q25=1,Q22=1,D25&gt;G22),1)+IF(AND(Q25=1,Q23=1,E25&gt;G23),1)+IF(AND(Q25=1,Q24=1,F25&gt;G24),1)+IF(AND(Q25=2,Q21=2,C25&gt;G21),1)+IF(AND(Q25=2,Q22=2,D25&gt;G22),1)+IF(AND(Q25=2,Q23=2,E25&gt;G23),1)+IF(AND(Q25=2,Q24=2,F25&gt;G24),1)+IF(AND(Q25=3,Q21=3,C25&gt;G21),1)+IF(AND(Q25=3,Q22=3,D25&gt;G22),1)+IF(AND(Q25=3,Q23=3,E25&gt;G23),1)+IF(AND(Q25=3,Q24=3,F25&gt;G24),1)</f>
        <v>0</v>
      </c>
      <c r="K25" s="483">
        <f>SUM(AND(T25=T21,C25&gt;G21),AND(T25=T22,D25&gt;G22),AND(T25=T23,E25&gt;G23),AND(T25=T24,F25&gt;G24))</f>
        <v>0</v>
      </c>
      <c r="L25" s="490">
        <f>IF(AND(Q25=1,Q21=1),C25-G21)+IF(AND(Q25=1,Q22=1),D25-G22)+IF(AND(Q25=1,Q23=1),E25-G23)+IF(AND(Q25=1,Q24=1),F25-G24)+IF(AND(Q25=2,Q21=2),C25-G21)+IF(AND(Q25=2,Q22=2),D25-G22)+IF(AND(Q25=2,Q23=2),E25-G23)+IF(AND(Q25=2,Q24=2),F25-G24)+IF(AND(Q25=3,Q21=3),C25-G21)+IF(AND(Q25=3,Q22=3),D25-G22)+IF(AND(Q25=3,Q23=3),E25-G23)+IF(AND(Q25=3,Q24=3),F25-G24)+IF(AND(Q25=4,Q21=4),C25-G21)+IF(AND(Q25=4,Q22=4),D25-G22)+IF(AND(Q25=4,Q23=4),E25-G23)+IF(AND(Q25=4,Q24=4),F25-G24)</f>
        <v>0</v>
      </c>
      <c r="M25" s="483">
        <f>SUM(AND(R25=R21,C25&gt;G21),AND(R25=R22,D25&gt;G22),AND(R25=R23,E25&gt;G23),AND(R25=R24,F25&gt;G24))</f>
        <v>0</v>
      </c>
      <c r="N25" s="537" t="str">
        <f>SUM(C25:G25)&amp;"-"&amp;SUM(G21:G25)</f>
        <v>0-0</v>
      </c>
      <c r="O25" s="538">
        <f>C25+D25+E25+F25-G21-G22-G23-G24</f>
        <v>0</v>
      </c>
      <c r="P25" s="485" t="e">
        <f>SUM(C25:G25,G21:G25)/SUM(G21:G25)</f>
        <v>#DIV/0!</v>
      </c>
      <c r="Q25" s="491">
        <f>VALUE(LEFT(H25,1))</f>
        <v>0</v>
      </c>
      <c r="R25" s="321">
        <f>Q25*100000+J25*10000+K25*1000+100*L25</f>
        <v>0</v>
      </c>
      <c r="S25" s="486">
        <f>R25+M25*0.1+IF(ISNONTEXT(B25),0,0.01)+0.0001*O25</f>
        <v>0</v>
      </c>
      <c r="T25" s="487" t="str">
        <f>Q25&amp;J25</f>
        <v>00</v>
      </c>
      <c r="U25" s="477"/>
      <c r="V25" s="477"/>
      <c r="W25" s="477"/>
      <c r="X25" s="477"/>
      <c r="Y25" s="477"/>
      <c r="Z25" s="477"/>
      <c r="AA25" s="477"/>
      <c r="AD25" s="405">
        <f t="shared" si="0"/>
        <v>0</v>
      </c>
      <c r="AE25" s="406" t="str">
        <f>IFERROR(INDEX(V!$R:$R,MATCH(AF25,V!$L:$L,0)),"")</f>
        <v/>
      </c>
      <c r="AF25" s="407" t="str">
        <f t="shared" si="1"/>
        <v/>
      </c>
      <c r="AG25" s="406" t="str">
        <f>IFERROR(INDEX(V!$R:$R,MATCH(AH25,V!$L:$L,0)),"")</f>
        <v/>
      </c>
      <c r="AH25" s="407" t="str">
        <f t="shared" si="2"/>
        <v/>
      </c>
      <c r="AI25" s="406" t="str">
        <f>IFERROR(INDEX(V!$R:$R,MATCH(AJ25,V!$L:$L,0)),"")</f>
        <v/>
      </c>
      <c r="AJ25" s="407" t="str">
        <f t="shared" si="3"/>
        <v/>
      </c>
      <c r="AK25" s="406" t="str">
        <f>IFERROR(INDEX(V!$R:$R,MATCH(AL25,V!$L:$L,0)),"")</f>
        <v/>
      </c>
      <c r="AL25" s="407" t="str">
        <f t="shared" si="4"/>
        <v/>
      </c>
      <c r="AM25" s="406" t="str">
        <f>IFERROR(INDEX(V!$R:$R,MATCH(AN25,V!$L:$L,0)),"")</f>
        <v/>
      </c>
      <c r="AN25" s="407" t="str">
        <f t="shared" si="5"/>
        <v/>
      </c>
      <c r="AO25" s="406" t="str">
        <f>IFERROR(INDEX(V!$R:$R,MATCH(AP25,V!$L:$L,0)),"")</f>
        <v/>
      </c>
      <c r="AP25" s="407" t="str">
        <f t="shared" si="6"/>
        <v/>
      </c>
    </row>
    <row r="26" spans="1:42" x14ac:dyDescent="0.2">
      <c r="A26" s="513"/>
      <c r="B26" s="514"/>
      <c r="C26" s="499"/>
      <c r="D26" s="499"/>
      <c r="E26" s="499"/>
      <c r="F26" s="515"/>
      <c r="G26" s="515"/>
      <c r="H26" s="516"/>
      <c r="I26" s="517"/>
      <c r="J26" s="477"/>
      <c r="K26" s="477"/>
      <c r="L26" s="477"/>
      <c r="M26" s="477"/>
      <c r="N26" s="539"/>
      <c r="O26" s="539"/>
      <c r="P26" s="477"/>
      <c r="Q26" s="477"/>
      <c r="R26" s="502" t="s">
        <v>264</v>
      </c>
      <c r="S26" s="477"/>
      <c r="T26" s="477"/>
      <c r="U26" s="477"/>
      <c r="V26" s="477"/>
      <c r="W26" s="477"/>
      <c r="X26" s="477"/>
      <c r="Y26" s="477"/>
      <c r="Z26" s="477"/>
      <c r="AA26" s="477"/>
      <c r="AD26" s="405">
        <f t="shared" si="0"/>
        <v>0</v>
      </c>
      <c r="AE26" s="406" t="str">
        <f>IFERROR(INDEX(V!$R:$R,MATCH(AF26,V!$L:$L,0)),"")</f>
        <v/>
      </c>
      <c r="AF26" s="407" t="str">
        <f t="shared" si="1"/>
        <v/>
      </c>
      <c r="AG26" s="406" t="str">
        <f>IFERROR(INDEX(V!$R:$R,MATCH(AH26,V!$L:$L,0)),"")</f>
        <v/>
      </c>
      <c r="AH26" s="407" t="str">
        <f t="shared" si="2"/>
        <v/>
      </c>
      <c r="AI26" s="406" t="str">
        <f>IFERROR(INDEX(V!$R:$R,MATCH(AJ26,V!$L:$L,0)),"")</f>
        <v/>
      </c>
      <c r="AJ26" s="407" t="str">
        <f t="shared" si="3"/>
        <v/>
      </c>
      <c r="AK26" s="406" t="str">
        <f>IFERROR(INDEX(V!$R:$R,MATCH(AL26,V!$L:$L,0)),"")</f>
        <v/>
      </c>
      <c r="AL26" s="407" t="str">
        <f t="shared" si="4"/>
        <v/>
      </c>
      <c r="AM26" s="406" t="str">
        <f>IFERROR(INDEX(V!$R:$R,MATCH(AN26,V!$L:$L,0)),"")</f>
        <v/>
      </c>
      <c r="AN26" s="407" t="str">
        <f t="shared" si="5"/>
        <v/>
      </c>
      <c r="AO26" s="406" t="str">
        <f>IFERROR(INDEX(V!$R:$R,MATCH(AP26,V!$L:$L,0)),"")</f>
        <v/>
      </c>
      <c r="AP26" s="407" t="str">
        <f t="shared" si="6"/>
        <v/>
      </c>
    </row>
    <row r="27" spans="1:42" x14ac:dyDescent="0.2">
      <c r="A27" s="316" t="s">
        <v>3</v>
      </c>
      <c r="B27" s="503"/>
      <c r="C27" s="467">
        <v>1</v>
      </c>
      <c r="D27" s="467">
        <v>2</v>
      </c>
      <c r="E27" s="467">
        <v>3</v>
      </c>
      <c r="F27" s="467"/>
      <c r="G27" s="467"/>
      <c r="H27" s="468" t="s">
        <v>168</v>
      </c>
      <c r="I27" s="468" t="s">
        <v>169</v>
      </c>
      <c r="J27" s="504" t="s">
        <v>257</v>
      </c>
      <c r="K27" s="505" t="s">
        <v>258</v>
      </c>
      <c r="L27" s="506" t="s">
        <v>259</v>
      </c>
      <c r="M27" s="506" t="s">
        <v>260</v>
      </c>
      <c r="N27" s="472" t="s">
        <v>170</v>
      </c>
      <c r="O27" s="472" t="s">
        <v>170</v>
      </c>
      <c r="P27" s="473" t="s">
        <v>261</v>
      </c>
      <c r="Q27" s="507" t="s">
        <v>21</v>
      </c>
      <c r="R27" s="507" t="b">
        <f>OR(AND(COUNTA(B28:B32)=3,COUNTA(C28:G32)=6),AND(COUNTA(B28:B32)=4,COUNTA(C28:G32)=12),AND(COUNTA(B28:B32)=5,COUNTA(C28:G32)=20))</f>
        <v>0</v>
      </c>
      <c r="S27" s="508" t="s">
        <v>262</v>
      </c>
      <c r="T27" s="509" t="s">
        <v>263</v>
      </c>
      <c r="U27" s="477"/>
      <c r="V27" s="477"/>
      <c r="W27" s="477"/>
      <c r="X27" s="477"/>
      <c r="Y27" s="477"/>
      <c r="Z27" s="477"/>
      <c r="AA27" s="477"/>
      <c r="AD27" s="405">
        <f t="shared" si="0"/>
        <v>0</v>
      </c>
      <c r="AE27" s="406" t="str">
        <f>IFERROR(INDEX(V!$R:$R,MATCH(AF27,V!$L:$L,0)),"")</f>
        <v/>
      </c>
      <c r="AF27" s="407" t="str">
        <f t="shared" si="1"/>
        <v/>
      </c>
      <c r="AG27" s="406" t="str">
        <f>IFERROR(INDEX(V!$R:$R,MATCH(AH27,V!$L:$L,0)),"")</f>
        <v/>
      </c>
      <c r="AH27" s="407" t="str">
        <f t="shared" si="2"/>
        <v/>
      </c>
      <c r="AI27" s="406" t="str">
        <f>IFERROR(INDEX(V!$R:$R,MATCH(AJ27,V!$L:$L,0)),"")</f>
        <v/>
      </c>
      <c r="AJ27" s="407" t="str">
        <f t="shared" si="3"/>
        <v/>
      </c>
      <c r="AK27" s="406" t="str">
        <f>IFERROR(INDEX(V!$R:$R,MATCH(AL27,V!$L:$L,0)),"")</f>
        <v/>
      </c>
      <c r="AL27" s="407" t="str">
        <f t="shared" si="4"/>
        <v/>
      </c>
      <c r="AM27" s="406" t="str">
        <f>IFERROR(INDEX(V!$R:$R,MATCH(AN27,V!$L:$L,0)),"")</f>
        <v/>
      </c>
      <c r="AN27" s="407" t="str">
        <f t="shared" si="5"/>
        <v/>
      </c>
      <c r="AO27" s="406" t="str">
        <f>IFERROR(INDEX(V!$R:$R,MATCH(AP27,V!$L:$L,0)),"")</f>
        <v/>
      </c>
      <c r="AP27" s="407" t="str">
        <f t="shared" si="6"/>
        <v/>
      </c>
    </row>
    <row r="28" spans="1:42" x14ac:dyDescent="0.2">
      <c r="A28" s="316">
        <v>1</v>
      </c>
      <c r="B28" s="518"/>
      <c r="C28" s="319"/>
      <c r="D28" s="318"/>
      <c r="E28" s="318"/>
      <c r="F28" s="318"/>
      <c r="G28" s="318"/>
      <c r="H28" s="317" t="str">
        <f>(IF(D28-C29&gt;0,1)+IF(E28-C30&gt;0,1)+IF(F28-C31&gt;0,1)+IF(G28-C32&gt;0,1))&amp;"-"&amp;(IF(D28-C29&lt;0,1)+IF(E28-C30&lt;0,1)+IF(F28-C31&lt;0,1)+IF(G28-C32&lt;0,1))</f>
        <v>0-0</v>
      </c>
      <c r="I28" s="318" t="str">
        <f>IF(AND(B28&lt;&gt;"",R$27=TRUE),A$27&amp;RANK(S28,S$28:S$32,0)," ")</f>
        <v xml:space="preserve"> </v>
      </c>
      <c r="J28" s="480">
        <f>IF(AND(Q28=1,Q29=1,D28&gt;C29),1)+IF(AND(Q28=1,Q30=1,E28&gt;C30),1)+IF(AND(Q28=1,Q31=1,F28&gt;C31),1)+IF(AND(Q28=1,Q32=1,G28&gt;C32),1)+IF(AND(Q28=2,Q29=2,D28&gt;C29),1)+IF(AND(Q28=2,Q30=2,E28&gt;C30),1)+IF(AND(Q28=2,Q31=2,F28&gt;C31),1)+IF(AND(Q28=2,Q32=2,G28&gt;C32),1)+IF(AND(Q28=3,Q29=3,D28&gt;C29),1)+IF(AND(Q28=3,Q30=3,E28&gt;C30),1)+IF(AND(Q28=3,Q31=3,F28&gt;C31),1)+IF(AND(Q28=3,Q32=3,G28&gt;C32),1)</f>
        <v>0</v>
      </c>
      <c r="K28" s="481">
        <f>SUM(AND(T28=T29,D28&gt;C29),AND(T28=T30,E28&gt;C30),AND(T28=T31,F28&gt;C31),AND(T28=T32,G28&gt;C32))</f>
        <v>0</v>
      </c>
      <c r="L28" s="482">
        <f>IF(AND(Q28=1,Q29=1),D28-C29)+IF(AND(Q28=1,Q30=1),E28-C30)+IF(AND(Q28=1,Q31=1),F28-C31)+IF(AND(Q28=1,Q32=1),G28-C32)+IF(AND(Q28=2,Q29=2),D28-C29)+IF(AND(Q28=2,Q30=2),E28-C30)+IF(AND(Q28=2,Q31=2),F28-C31)+IF(AND(Q28=2,Q32=2),G28-C32)+IF(AND(Q28=3,Q29=3),D28-C29)+IF(AND(Q28=3,Q30=3),E28-C30)+IF(AND(Q28=3,Q31=3),F28-C31)+IF(AND(Q28=3,Q32=3),G28-C32)+IF(AND(Q28=4,Q29=4),D28-C29)+IF(AND(Q28=4,Q30=4),E28-C30)+IF(AND(Q28=4,Q31=4),F28-C31)+IF(AND(Q28=4,Q32=4),G28-C32)</f>
        <v>0</v>
      </c>
      <c r="M28" s="483">
        <f>SUM(AND(R28=R29,D28&gt;C29),AND(R28=R30,E28&gt;C30),AND(R28=R31,F28&gt;C31),AND(R28=R32,G28&gt;C32))</f>
        <v>0</v>
      </c>
      <c r="N28" s="537" t="str">
        <f>SUM(C28:G28)&amp;"-"&amp;SUM(C28:C32)</f>
        <v>0-0</v>
      </c>
      <c r="O28" s="538">
        <f>D28+E28+F28+G28-C29-C30-C31-C32</f>
        <v>0</v>
      </c>
      <c r="P28" s="485" t="e">
        <f>SUM(C28:G28,C28:C32)/SUM(C28:C32)</f>
        <v>#DIV/0!</v>
      </c>
      <c r="Q28" s="320">
        <f>VALUE(LEFT(H28,1))</f>
        <v>0</v>
      </c>
      <c r="R28" s="321">
        <f>Q28*100000+J28*10000+K28*1000+100*L28</f>
        <v>0</v>
      </c>
      <c r="S28" s="486">
        <f>R28+M28*0.1+IF(ISNONTEXT(B28),0,0.01)+0.0001*O28</f>
        <v>0</v>
      </c>
      <c r="T28" s="487" t="str">
        <f>Q28&amp;J28</f>
        <v>00</v>
      </c>
      <c r="U28" s="477"/>
      <c r="V28" s="477"/>
      <c r="W28" s="477"/>
      <c r="X28" s="477"/>
      <c r="Y28" s="477"/>
      <c r="Z28" s="477"/>
      <c r="AA28" s="477"/>
      <c r="AD28" s="405">
        <f t="shared" si="0"/>
        <v>0</v>
      </c>
      <c r="AE28" s="406" t="str">
        <f>IFERROR(INDEX(V!$R:$R,MATCH(AF28,V!$L:$L,0)),"")</f>
        <v/>
      </c>
      <c r="AF28" s="407" t="str">
        <f t="shared" si="1"/>
        <v/>
      </c>
      <c r="AG28" s="406" t="str">
        <f>IFERROR(INDEX(V!$R:$R,MATCH(AH28,V!$L:$L,0)),"")</f>
        <v/>
      </c>
      <c r="AH28" s="407" t="str">
        <f t="shared" si="2"/>
        <v/>
      </c>
      <c r="AI28" s="406" t="str">
        <f>IFERROR(INDEX(V!$R:$R,MATCH(AJ28,V!$L:$L,0)),"")</f>
        <v/>
      </c>
      <c r="AJ28" s="407" t="str">
        <f t="shared" si="3"/>
        <v/>
      </c>
      <c r="AK28" s="406" t="str">
        <f>IFERROR(INDEX(V!$R:$R,MATCH(AL28,V!$L:$L,0)),"")</f>
        <v/>
      </c>
      <c r="AL28" s="407" t="str">
        <f t="shared" si="4"/>
        <v/>
      </c>
      <c r="AM28" s="406" t="str">
        <f>IFERROR(INDEX(V!$R:$R,MATCH(AN28,V!$L:$L,0)),"")</f>
        <v/>
      </c>
      <c r="AN28" s="407" t="str">
        <f t="shared" si="5"/>
        <v/>
      </c>
      <c r="AO28" s="406" t="str">
        <f>IFERROR(INDEX(V!$R:$R,MATCH(AP28,V!$L:$L,0)),"")</f>
        <v/>
      </c>
      <c r="AP28" s="407" t="str">
        <f t="shared" si="6"/>
        <v/>
      </c>
    </row>
    <row r="29" spans="1:42" x14ac:dyDescent="0.2">
      <c r="A29" s="316">
        <v>2</v>
      </c>
      <c r="B29" s="488"/>
      <c r="C29" s="318"/>
      <c r="D29" s="319"/>
      <c r="E29" s="318"/>
      <c r="F29" s="318"/>
      <c r="G29" s="318"/>
      <c r="H29" s="317" t="str">
        <f>(IF(C29-D28&gt;0,1)+IF(E29-D30&gt;0,1)+IF(F29-D31&gt;0,1)+IF(G29-D32&gt;0,1))&amp;"-"&amp;(IF(C29-D28&lt;0,1)+IF(E29-D30&lt;0,1)+IF(F29-D31&lt;0,1)+IF(G29-D32&lt;0,1))</f>
        <v>0-0</v>
      </c>
      <c r="I29" s="318" t="str">
        <f t="shared" ref="I29:I32" si="8">IF(AND(B29&lt;&gt;"",R$27=TRUE),A$27&amp;RANK(S29,S$28:S$32,0)," ")</f>
        <v xml:space="preserve"> </v>
      </c>
      <c r="J29" s="489">
        <f>IF(AND(Q29=1,Q28=1,C29&gt;D28),1)+IF(AND(Q29=1,Q30=1,E29&gt;D30),1)+IF(AND(Q29=1,Q31=1,F29&gt;D31),1)+IF(AND(Q29=1,Q32=1,G29&gt;D32),1)+IF(AND(Q29=2,Q28=2,C29&gt;D28),1)+IF(AND(Q29=2,Q30=2,E29&gt;D30),1)+IF(AND(Q29=2,Q31=2,F29&gt;D31),1)+IF(AND(Q29=2,Q32=2,G29&gt;D32),1)+IF(AND(Q29=3,Q28=3,C29&gt;D28),1)+IF(AND(Q29=3,Q30=3,E29&gt;D30),1)+IF(AND(Q29=3,Q31=3,F29&gt;D31),1)+IF(AND(Q29=3,Q32=3,G29&gt;D32),1)</f>
        <v>0</v>
      </c>
      <c r="K29" s="483">
        <f>SUM(AND(T29=T28,C29&gt;D28),AND(T29=T30,E29&gt;D30),AND(T29=T31,F29&gt;D31),AND(T29=T32,G29&gt;D32))</f>
        <v>0</v>
      </c>
      <c r="L29" s="490">
        <f>IF(AND(Q29=1,Q28=1),C29-D28)+IF(AND(Q29=1,Q30=1),E29-D30)+IF(AND(Q29=1,Q31=1),F29-D31)+IF(AND(Q29=1,Q32=1),G29-D32)+IF(AND(Q29=2,Q28=2),C29-D28)+IF(AND(Q29=2,Q30=2),E29-D30)+IF(AND(Q29=2,Q31=2),F29-D31)+IF(AND(Q29=2,Q32=2),G29-D32)+IF(AND(Q29=3,Q28=3),C29-D28)+IF(AND(Q29=3,Q30=3),E29-D30)+IF(AND(Q29=3,Q31=3),F29-D31)+IF(AND(Q29=3,Q32=3),G29-D32)+IF(AND(Q29=4,Q28=4),C29-D28)+IF(AND(Q29=4,Q30=4),E29-D30)+IF(AND(Q29=4,Q31=4),F29-D31)+IF(AND(Q29=4,Q32=4),G29-D32)</f>
        <v>0</v>
      </c>
      <c r="M29" s="483">
        <f>SUM(AND(R29=R28,C29&gt;D28),AND(R29=R30,E29&gt;D30),AND(R29=R31,F29&gt;D31),AND(R29=R32,G29&gt;D32))</f>
        <v>0</v>
      </c>
      <c r="N29" s="537" t="str">
        <f>SUM(C29:G29)&amp;"-"&amp;SUM(D28:D32)</f>
        <v>0-0</v>
      </c>
      <c r="O29" s="538">
        <f>C29+E29+F29+G29-D28-D30-D31-D32</f>
        <v>0</v>
      </c>
      <c r="P29" s="485" t="e">
        <f>SUM(C29:G29,D28:D32)/SUM(D28:D32)</f>
        <v>#DIV/0!</v>
      </c>
      <c r="Q29" s="491">
        <f>VALUE(LEFT(H29,1))</f>
        <v>0</v>
      </c>
      <c r="R29" s="321">
        <f>Q29*100000+J29*10000+K29*1000+100*L29</f>
        <v>0</v>
      </c>
      <c r="S29" s="486">
        <f>R29+M29*0.1+IF(ISNONTEXT(B29),0,0.01)+0.0001*O29</f>
        <v>0</v>
      </c>
      <c r="T29" s="487" t="str">
        <f>Q29&amp;J29</f>
        <v>00</v>
      </c>
      <c r="U29" s="477"/>
      <c r="V29" s="477"/>
      <c r="W29" s="477"/>
      <c r="X29" s="477"/>
      <c r="Y29" s="477"/>
      <c r="Z29" s="477"/>
      <c r="AA29" s="477"/>
      <c r="AD29" s="405">
        <f t="shared" si="0"/>
        <v>0</v>
      </c>
      <c r="AE29" s="406" t="str">
        <f>IFERROR(INDEX(V!$R:$R,MATCH(AF29,V!$L:$L,0)),"")</f>
        <v/>
      </c>
      <c r="AF29" s="407" t="str">
        <f t="shared" si="1"/>
        <v/>
      </c>
      <c r="AG29" s="406" t="str">
        <f>IFERROR(INDEX(V!$R:$R,MATCH(AH29,V!$L:$L,0)),"")</f>
        <v/>
      </c>
      <c r="AH29" s="407" t="str">
        <f t="shared" si="2"/>
        <v/>
      </c>
      <c r="AI29" s="406" t="str">
        <f>IFERROR(INDEX(V!$R:$R,MATCH(AJ29,V!$L:$L,0)),"")</f>
        <v/>
      </c>
      <c r="AJ29" s="407" t="str">
        <f t="shared" si="3"/>
        <v/>
      </c>
      <c r="AK29" s="406" t="str">
        <f>IFERROR(INDEX(V!$R:$R,MATCH(AL29,V!$L:$L,0)),"")</f>
        <v/>
      </c>
      <c r="AL29" s="407" t="str">
        <f t="shared" si="4"/>
        <v/>
      </c>
      <c r="AM29" s="406" t="str">
        <f>IFERROR(INDEX(V!$R:$R,MATCH(AN29,V!$L:$L,0)),"")</f>
        <v/>
      </c>
      <c r="AN29" s="407" t="str">
        <f t="shared" si="5"/>
        <v/>
      </c>
      <c r="AO29" s="406" t="str">
        <f>IFERROR(INDEX(V!$R:$R,MATCH(AP29,V!$L:$L,0)),"")</f>
        <v/>
      </c>
      <c r="AP29" s="407" t="str">
        <f t="shared" si="6"/>
        <v/>
      </c>
    </row>
    <row r="30" spans="1:42" x14ac:dyDescent="0.2">
      <c r="A30" s="316">
        <v>3</v>
      </c>
      <c r="B30" s="488"/>
      <c r="C30" s="318"/>
      <c r="D30" s="492"/>
      <c r="E30" s="319"/>
      <c r="F30" s="318"/>
      <c r="G30" s="318"/>
      <c r="H30" s="317" t="str">
        <f>(IF(C30-E28&gt;0,1)+IF(D30-E29&gt;0,1)+IF(F30-E31&gt;0,1)+IF(G30-E32&gt;0,1))&amp;"-"&amp;(IF(C30-E28&lt;0,1)+IF(D30-E29&lt;0,1)+IF(F30-E31&lt;0,1)+IF(G30-E32&lt;0,1))</f>
        <v>0-0</v>
      </c>
      <c r="I30" s="318" t="str">
        <f t="shared" si="8"/>
        <v xml:space="preserve"> </v>
      </c>
      <c r="J30" s="489">
        <f>IF(AND(Q30=1,Q28=1,C30&gt;E28),1)+IF(AND(Q30=1,Q29=1,D30&gt;E29),1)+IF(AND(Q30=1,Q31=1,F30&gt;E31),1)+IF(AND(Q30=1,Q32=1,G30&gt;E32),1)+IF(AND(Q30=2,Q28=2,C30&gt;E28),1)+IF(AND(Q30=2,Q29=2,D30&gt;E29),1)+IF(AND(Q30=2,Q31=2,F30&gt;E31),1)+IF(AND(Q30=2,Q32=2,G30&gt;E32),1)+IF(AND(Q30=3,Q28=3,C30&gt;E28),1)+IF(AND(Q30=3,Q29=3,D30&gt;E29),1)+IF(AND(Q30=3,Q31=3,F30&gt;E31),1)+IF(AND(Q30=3,Q32=3,G30&gt;E32),1)</f>
        <v>0</v>
      </c>
      <c r="K30" s="483">
        <f>SUM(AND(T30=T28,C30&gt;E28),AND(T30=T29,D30&gt;E29),AND(T30=T31,F30&gt;E31),AND(T30=T32,G30&gt;E32))</f>
        <v>0</v>
      </c>
      <c r="L30" s="490">
        <f>IF(AND(Q30=1,Q28=1),C30-E28)+IF(AND(Q30=1,Q29=1),D30-E29)+IF(AND(Q30=1,Q31=1),F30-E31)+IF(AND(Q30=1,Q32=1),G30-E32)+IF(AND(Q30=2,Q28=2),C30-E28)+IF(AND(Q30=2,Q29=2),D30-E29)+IF(AND(Q30=2,Q31=2),F30-E31)+IF(AND(Q30=2,Q32=2),G30-E32)+IF(AND(Q30=3,Q28=3),C30-E28)+IF(AND(Q30=3,Q29=3),D30-E29)+IF(AND(Q30=3,Q31=3),F30-E31)+IF(AND(Q30=3,Q32=3),G30-E32)+IF(AND(Q30=4,Q28=4),C30-E28)+IF(AND(Q30=4,Q29=4),D30-E29)+IF(AND(Q30=4,Q31=4),F30-E31)+IF(AND(Q30=4,Q32=4),G30-E32)</f>
        <v>0</v>
      </c>
      <c r="M30" s="483">
        <f>SUM(AND(R30=R28,C30&gt;E28),AND(R30=R29,D30&gt;E29),AND(R30=R31,F30&gt;E31),AND(R30=R32,G30&gt;E32))</f>
        <v>0</v>
      </c>
      <c r="N30" s="537" t="str">
        <f>SUM(C30:G30)&amp;"-"&amp;SUM(E28:E32)</f>
        <v>0-0</v>
      </c>
      <c r="O30" s="538">
        <f>C30+D30+F30+G30-E28-E29-E31-E32</f>
        <v>0</v>
      </c>
      <c r="P30" s="485" t="e">
        <f>SUM(C30:G30,E28:E32)/SUM(E28:E32)</f>
        <v>#DIV/0!</v>
      </c>
      <c r="Q30" s="491">
        <f>VALUE(LEFT(H30,1))</f>
        <v>0</v>
      </c>
      <c r="R30" s="321">
        <f>Q30*100000+J30*10000+K30*1000+100*L30</f>
        <v>0</v>
      </c>
      <c r="S30" s="486">
        <f>R30+M30*0.1+IF(ISNONTEXT(B30),0,0.01)+0.0001*O30</f>
        <v>0</v>
      </c>
      <c r="T30" s="487" t="str">
        <f>Q30&amp;J30</f>
        <v>00</v>
      </c>
      <c r="U30" s="477"/>
      <c r="V30" s="477"/>
      <c r="W30" s="477"/>
      <c r="X30" s="477"/>
      <c r="Y30" s="477"/>
      <c r="Z30" s="477"/>
      <c r="AA30" s="477"/>
      <c r="AD30" s="405">
        <f t="shared" si="0"/>
        <v>0</v>
      </c>
      <c r="AE30" s="406" t="str">
        <f>IFERROR(INDEX(V!$R:$R,MATCH(AF30,V!$L:$L,0)),"")</f>
        <v/>
      </c>
      <c r="AF30" s="407" t="str">
        <f t="shared" si="1"/>
        <v/>
      </c>
      <c r="AG30" s="406" t="str">
        <f>IFERROR(INDEX(V!$R:$R,MATCH(AH30,V!$L:$L,0)),"")</f>
        <v/>
      </c>
      <c r="AH30" s="407" t="str">
        <f t="shared" si="2"/>
        <v/>
      </c>
      <c r="AI30" s="406" t="str">
        <f>IFERROR(INDEX(V!$R:$R,MATCH(AJ30,V!$L:$L,0)),"")</f>
        <v/>
      </c>
      <c r="AJ30" s="407" t="str">
        <f t="shared" si="3"/>
        <v/>
      </c>
      <c r="AK30" s="406" t="str">
        <f>IFERROR(INDEX(V!$R:$R,MATCH(AL30,V!$L:$L,0)),"")</f>
        <v/>
      </c>
      <c r="AL30" s="407" t="str">
        <f t="shared" si="4"/>
        <v/>
      </c>
      <c r="AM30" s="406" t="str">
        <f>IFERROR(INDEX(V!$R:$R,MATCH(AN30,V!$L:$L,0)),"")</f>
        <v/>
      </c>
      <c r="AN30" s="407" t="str">
        <f t="shared" si="5"/>
        <v/>
      </c>
      <c r="AO30" s="406" t="str">
        <f>IFERROR(INDEX(V!$R:$R,MATCH(AP30,V!$L:$L,0)),"")</f>
        <v/>
      </c>
      <c r="AP30" s="407" t="str">
        <f t="shared" si="6"/>
        <v/>
      </c>
    </row>
    <row r="31" spans="1:42" hidden="1" x14ac:dyDescent="0.2">
      <c r="A31" s="316">
        <v>4</v>
      </c>
      <c r="B31" s="493"/>
      <c r="C31" s="318"/>
      <c r="D31" s="492"/>
      <c r="E31" s="318"/>
      <c r="F31" s="319"/>
      <c r="G31" s="511"/>
      <c r="H31" s="317" t="str">
        <f>(IF(C31-F28&gt;0,1)+IF(D31-F29&gt;0,1)+IF(E31-F30&gt;0,1)+IF(G31-F32&gt;0,1))&amp;"-"&amp;(IF(C31-F28&lt;0,1)+IF(D31-F29&lt;0,1)+IF(E31-F30&lt;0,1)+IF(G31-F32&lt;0,1))</f>
        <v>0-0</v>
      </c>
      <c r="I31" s="318" t="str">
        <f t="shared" si="8"/>
        <v xml:space="preserve"> </v>
      </c>
      <c r="J31" s="489">
        <f>IF(AND(Q31=1,Q28=1,C31&gt;F28),1)+IF(AND(Q31=1,Q29=1,D31&gt;F29),1)+IF(AND(Q31=1,Q30=1,E31&gt;F30),1)+IF(AND(Q31=1,Q32=1,G31&gt;F32),1)+IF(AND(Q31=2,Q28=2,C31&gt;F28),1)+IF(AND(Q31=2,Q29=2,D31&gt;F29),1)+IF(AND(Q31=2,Q30=2,E31&gt;F30),1)+IF(AND(Q31=2,Q32=2,G31&gt;F32),1)+IF(AND(Q31=3,Q28=3,C31&gt;F28),1)+IF(AND(Q31=3,Q29=3,D31&gt;F29),1)+IF(AND(Q31=3,Q30=3,E31&gt;F30),1)+IF(AND(Q31=3,Q32=3,G31&gt;F32),1)</f>
        <v>0</v>
      </c>
      <c r="K31" s="483">
        <f>SUM(AND(T31=T28,C31&gt;F28),AND(T31=T29,D31&gt;F29),AND(T31=T30,E31&gt;F30),AND(T31=T32,G31&gt;F32))</f>
        <v>0</v>
      </c>
      <c r="L31" s="490">
        <f>IF(AND(Q31=1,Q28=1),C31-F28)+IF(AND(Q31=1,Q29=1),D31-F29)+IF(AND(Q31=1,Q30=1),E31-F30)+IF(AND(Q31=1,Q32=1),G31-F32)+IF(AND(Q31=2,Q28=2),C31-F28)+IF(AND(Q31=2,Q29=2),D31-F29)+IF(AND(Q31=2,Q30=2),E31-F30)+IF(AND(Q31=2,Q32=2),G31-F32)+IF(AND(Q31=3,Q28=3),C31-F28)+IF(AND(Q31=3,Q29=3),D31-F29)+IF(AND(Q31=3,Q30=3),E31-F30)+IF(AND(Q31=3,Q32=3),G31-F32)+IF(AND(Q31=4,Q28=4),C31-F28)+IF(AND(Q31=4,Q29=4),D31-F29)+IF(AND(Q31=4,Q30=4),E31-F30)+IF(AND(Q31=4,Q32=4),G31-F32)</f>
        <v>0</v>
      </c>
      <c r="M31" s="483">
        <f>SUM(AND(R31=R28,C31&gt;F28),AND(R31=R29,D31&gt;F29),AND(R31=R30,E31&gt;F30),AND(R31=R32,G31&gt;F32))</f>
        <v>0</v>
      </c>
      <c r="N31" s="537" t="str">
        <f>SUM(C31:G31)&amp;"-"&amp;SUM(F28:F32)</f>
        <v>0-0</v>
      </c>
      <c r="O31" s="538">
        <f>C31+D31+E31+G31-F28-F29-F30-F32</f>
        <v>0</v>
      </c>
      <c r="P31" s="485" t="e">
        <f>SUM(C31:G31,F28:F32)/SUM(F28:F32)</f>
        <v>#DIV/0!</v>
      </c>
      <c r="Q31" s="491">
        <f>VALUE(LEFT(H31,1))</f>
        <v>0</v>
      </c>
      <c r="R31" s="321">
        <f>Q31*100000+J31*10000+K31*1000+100*L31</f>
        <v>0</v>
      </c>
      <c r="S31" s="486">
        <f>R31+M31*0.1+IF(ISNONTEXT(B31),0,0.01)+0.0001*O31</f>
        <v>0</v>
      </c>
      <c r="T31" s="487" t="str">
        <f>Q31&amp;J31</f>
        <v>00</v>
      </c>
      <c r="U31" s="477"/>
      <c r="V31" s="477"/>
      <c r="W31" s="477"/>
      <c r="X31" s="477"/>
      <c r="Y31" s="477"/>
      <c r="Z31" s="477"/>
      <c r="AA31" s="477"/>
      <c r="AD31" s="405">
        <f t="shared" si="0"/>
        <v>0</v>
      </c>
      <c r="AE31" s="406" t="str">
        <f>IFERROR(INDEX(V!$R:$R,MATCH(AF31,V!$L:$L,0)),"")</f>
        <v/>
      </c>
      <c r="AF31" s="407" t="str">
        <f t="shared" si="1"/>
        <v/>
      </c>
      <c r="AG31" s="406" t="str">
        <f>IFERROR(INDEX(V!$R:$R,MATCH(AH31,V!$L:$L,0)),"")</f>
        <v/>
      </c>
      <c r="AH31" s="407" t="str">
        <f t="shared" si="2"/>
        <v/>
      </c>
      <c r="AI31" s="406" t="str">
        <f>IFERROR(INDEX(V!$R:$R,MATCH(AJ31,V!$L:$L,0)),"")</f>
        <v/>
      </c>
      <c r="AJ31" s="407" t="str">
        <f t="shared" si="3"/>
        <v/>
      </c>
      <c r="AK31" s="406" t="str">
        <f>IFERROR(INDEX(V!$R:$R,MATCH(AL31,V!$L:$L,0)),"")</f>
        <v/>
      </c>
      <c r="AL31" s="407" t="str">
        <f t="shared" si="4"/>
        <v/>
      </c>
      <c r="AM31" s="406" t="str">
        <f>IFERROR(INDEX(V!$R:$R,MATCH(AN31,V!$L:$L,0)),"")</f>
        <v/>
      </c>
      <c r="AN31" s="407" t="str">
        <f t="shared" si="5"/>
        <v/>
      </c>
      <c r="AO31" s="406" t="str">
        <f>IFERROR(INDEX(V!$R:$R,MATCH(AP31,V!$L:$L,0)),"")</f>
        <v/>
      </c>
      <c r="AP31" s="407" t="str">
        <f t="shared" si="6"/>
        <v/>
      </c>
    </row>
    <row r="32" spans="1:42" hidden="1" x14ac:dyDescent="0.2">
      <c r="A32" s="316">
        <v>5</v>
      </c>
      <c r="B32" s="493"/>
      <c r="C32" s="318"/>
      <c r="D32" s="318"/>
      <c r="E32" s="318"/>
      <c r="F32" s="318"/>
      <c r="G32" s="319"/>
      <c r="H32" s="317" t="str">
        <f>(IF(C32-G28&gt;0,1)+IF(D32-G29&gt;0,1)+IF(E32-G30&gt;0,1)+IF(F32-G31&gt;0,1))&amp;"-"&amp;(IF(C32-G28&lt;0,1)+IF(D32-G29&lt;0,1)+IF(E32-G30&lt;0,1)+IF(F32-G31&lt;0,1))</f>
        <v>0-0</v>
      </c>
      <c r="I32" s="318" t="str">
        <f t="shared" si="8"/>
        <v xml:space="preserve"> </v>
      </c>
      <c r="J32" s="489">
        <f>IF(AND(Q32=1,Q28=1,C32&gt;G28),1)+IF(AND(Q32=1,Q29=1,D32&gt;G29),1)+IF(AND(Q32=1,Q30=1,E32&gt;G30),1)+IF(AND(Q32=1,Q31=1,F32&gt;G31),1)+IF(AND(Q32=2,Q28=2,C32&gt;G28),1)+IF(AND(Q32=2,Q29=2,D32&gt;G29),1)+IF(AND(Q32=2,Q30=2,E32&gt;G30),1)+IF(AND(Q32=2,Q31=2,F32&gt;G31),1)+IF(AND(Q32=3,Q28=3,C32&gt;G28),1)+IF(AND(Q32=3,Q29=3,D32&gt;G29),1)+IF(AND(Q32=3,Q30=3,E32&gt;G30),1)+IF(AND(Q32=3,Q31=3,F32&gt;G31),1)</f>
        <v>0</v>
      </c>
      <c r="K32" s="483">
        <f>SUM(AND(T32=T28,C32&gt;G28),AND(T32=T29,D32&gt;G29),AND(T32=T30,E32&gt;G30),AND(T32=T31,F32&gt;G31))</f>
        <v>0</v>
      </c>
      <c r="L32" s="490">
        <f>IF(AND(Q32=1,Q28=1),C32-G28)+IF(AND(Q32=1,Q29=1),D32-G29)+IF(AND(Q32=1,Q30=1),E32-G30)+IF(AND(Q32=1,Q31=1),F32-G31)+IF(AND(Q32=2,Q28=2),C32-G28)+IF(AND(Q32=2,Q29=2),D32-G29)+IF(AND(Q32=2,Q30=2),E32-G30)+IF(AND(Q32=2,Q31=2),F32-G31)+IF(AND(Q32=3,Q28=3),C32-G28)+IF(AND(Q32=3,Q29=3),D32-G29)+IF(AND(Q32=3,Q30=3),E32-G30)+IF(AND(Q32=3,Q31=3),F32-G31)+IF(AND(Q32=4,Q28=4),C32-G28)+IF(AND(Q32=4,Q29=4),D32-G29)+IF(AND(Q32=4,Q30=4),E32-G30)+IF(AND(Q32=4,Q31=4),F32-G31)</f>
        <v>0</v>
      </c>
      <c r="M32" s="483">
        <f>SUM(AND(R32=R28,C32&gt;G28),AND(R32=R29,D32&gt;G29),AND(R32=R30,E32&gt;G30),AND(R32=R31,F32&gt;G31))</f>
        <v>0</v>
      </c>
      <c r="N32" s="537" t="str">
        <f>SUM(C32:G32)&amp;"-"&amp;SUM(G28:G32)</f>
        <v>0-0</v>
      </c>
      <c r="O32" s="538">
        <f>C32+D32+E32+F32-G28-G29-G30-G31</f>
        <v>0</v>
      </c>
      <c r="P32" s="485" t="e">
        <f>SUM(C32:G32,G28:G32)/SUM(G28:G32)</f>
        <v>#DIV/0!</v>
      </c>
      <c r="Q32" s="491">
        <f>VALUE(LEFT(H32,1))</f>
        <v>0</v>
      </c>
      <c r="R32" s="321">
        <f>Q32*100000+J32*10000+K32*1000+100*L32</f>
        <v>0</v>
      </c>
      <c r="S32" s="486">
        <f>R32+M32*0.1+IF(ISNONTEXT(B32),0,0.01)+0.0001*O32</f>
        <v>0</v>
      </c>
      <c r="T32" s="487" t="str">
        <f>Q32&amp;J32</f>
        <v>00</v>
      </c>
      <c r="U32" s="477"/>
      <c r="V32" s="477"/>
      <c r="W32" s="477"/>
      <c r="X32" s="477"/>
      <c r="Y32" s="477"/>
      <c r="Z32" s="477"/>
      <c r="AA32" s="477"/>
      <c r="AD32" s="405">
        <f t="shared" si="0"/>
        <v>0</v>
      </c>
      <c r="AE32" s="406" t="str">
        <f>IFERROR(INDEX(V!$R:$R,MATCH(AF32,V!$L:$L,0)),"")</f>
        <v/>
      </c>
      <c r="AF32" s="407" t="str">
        <f t="shared" si="1"/>
        <v/>
      </c>
      <c r="AG32" s="406" t="str">
        <f>IFERROR(INDEX(V!$R:$R,MATCH(AH32,V!$L:$L,0)),"")</f>
        <v/>
      </c>
      <c r="AH32" s="407" t="str">
        <f t="shared" si="2"/>
        <v/>
      </c>
      <c r="AI32" s="406" t="str">
        <f>IFERROR(INDEX(V!$R:$R,MATCH(AJ32,V!$L:$L,0)),"")</f>
        <v/>
      </c>
      <c r="AJ32" s="407" t="str">
        <f t="shared" si="3"/>
        <v/>
      </c>
      <c r="AK32" s="406" t="str">
        <f>IFERROR(INDEX(V!$R:$R,MATCH(AL32,V!$L:$L,0)),"")</f>
        <v/>
      </c>
      <c r="AL32" s="407" t="str">
        <f t="shared" si="4"/>
        <v/>
      </c>
      <c r="AM32" s="406" t="str">
        <f>IFERROR(INDEX(V!$R:$R,MATCH(AN32,V!$L:$L,0)),"")</f>
        <v/>
      </c>
      <c r="AN32" s="407" t="str">
        <f t="shared" si="5"/>
        <v/>
      </c>
      <c r="AO32" s="406" t="str">
        <f>IFERROR(INDEX(V!$R:$R,MATCH(AP32,V!$L:$L,0)),"")</f>
        <v/>
      </c>
      <c r="AP32" s="407" t="str">
        <f t="shared" si="6"/>
        <v/>
      </c>
    </row>
    <row r="33" spans="1:42" x14ac:dyDescent="0.2">
      <c r="A33" s="494"/>
      <c r="B33" s="519"/>
      <c r="C33" s="499"/>
      <c r="D33" s="499"/>
      <c r="E33" s="499"/>
      <c r="F33" s="496"/>
      <c r="G33" s="499"/>
      <c r="H33" s="520"/>
      <c r="I33" s="444"/>
      <c r="J33" s="477"/>
      <c r="K33" s="477"/>
      <c r="L33" s="477"/>
      <c r="M33" s="477"/>
      <c r="N33" s="539"/>
      <c r="O33" s="539"/>
      <c r="P33" s="477"/>
      <c r="Q33" s="477"/>
      <c r="R33" s="502" t="s">
        <v>264</v>
      </c>
      <c r="S33" s="477"/>
      <c r="T33" s="477"/>
      <c r="U33" s="477"/>
      <c r="V33" s="477"/>
      <c r="W33" s="477"/>
      <c r="X33" s="477"/>
      <c r="Y33" s="477"/>
      <c r="Z33" s="477"/>
      <c r="AA33" s="477"/>
      <c r="AD33" s="405">
        <f t="shared" si="0"/>
        <v>0</v>
      </c>
      <c r="AE33" s="406" t="str">
        <f>IFERROR(INDEX(V!$R:$R,MATCH(AF33,V!$L:$L,0)),"")</f>
        <v/>
      </c>
      <c r="AF33" s="407" t="str">
        <f t="shared" si="1"/>
        <v/>
      </c>
      <c r="AG33" s="406" t="str">
        <f>IFERROR(INDEX(V!$R:$R,MATCH(AH33,V!$L:$L,0)),"")</f>
        <v/>
      </c>
      <c r="AH33" s="407" t="str">
        <f t="shared" si="2"/>
        <v/>
      </c>
      <c r="AI33" s="406" t="str">
        <f>IFERROR(INDEX(V!$R:$R,MATCH(AJ33,V!$L:$L,0)),"")</f>
        <v/>
      </c>
      <c r="AJ33" s="407" t="str">
        <f t="shared" si="3"/>
        <v/>
      </c>
      <c r="AK33" s="406" t="str">
        <f>IFERROR(INDEX(V!$R:$R,MATCH(AL33,V!$L:$L,0)),"")</f>
        <v/>
      </c>
      <c r="AL33" s="407" t="str">
        <f t="shared" si="4"/>
        <v/>
      </c>
      <c r="AM33" s="406" t="str">
        <f>IFERROR(INDEX(V!$R:$R,MATCH(AN33,V!$L:$L,0)),"")</f>
        <v/>
      </c>
      <c r="AN33" s="407" t="str">
        <f t="shared" si="5"/>
        <v/>
      </c>
      <c r="AO33" s="406" t="str">
        <f>IFERROR(INDEX(V!$R:$R,MATCH(AP33,V!$L:$L,0)),"")</f>
        <v/>
      </c>
      <c r="AP33" s="407" t="str">
        <f t="shared" si="6"/>
        <v/>
      </c>
    </row>
    <row r="34" spans="1:42" x14ac:dyDescent="0.2">
      <c r="A34" s="316" t="s">
        <v>4</v>
      </c>
      <c r="B34" s="503"/>
      <c r="C34" s="467">
        <v>1</v>
      </c>
      <c r="D34" s="467">
        <v>2</v>
      </c>
      <c r="E34" s="467">
        <v>3</v>
      </c>
      <c r="F34" s="467"/>
      <c r="G34" s="467"/>
      <c r="H34" s="467" t="s">
        <v>168</v>
      </c>
      <c r="I34" s="275" t="s">
        <v>169</v>
      </c>
      <c r="J34" s="504" t="s">
        <v>257</v>
      </c>
      <c r="K34" s="505" t="s">
        <v>258</v>
      </c>
      <c r="L34" s="506" t="s">
        <v>259</v>
      </c>
      <c r="M34" s="506" t="s">
        <v>260</v>
      </c>
      <c r="N34" s="472" t="s">
        <v>170</v>
      </c>
      <c r="O34" s="472" t="s">
        <v>170</v>
      </c>
      <c r="P34" s="473" t="s">
        <v>261</v>
      </c>
      <c r="Q34" s="507" t="s">
        <v>21</v>
      </c>
      <c r="R34" s="507" t="b">
        <f>OR(AND(COUNTA(B35:B39)=3,COUNTA(C35:G39)=6),AND(COUNTA(B35:B39)=4,COUNTA(C35:G39)=12),AND(COUNTA(B35:B39)=5,COUNTA(C35:G39)=20))</f>
        <v>0</v>
      </c>
      <c r="S34" s="508" t="s">
        <v>262</v>
      </c>
      <c r="T34" s="509" t="s">
        <v>263</v>
      </c>
      <c r="U34" s="477"/>
      <c r="V34" s="477"/>
      <c r="W34" s="477"/>
      <c r="X34" s="477"/>
      <c r="Y34" s="477"/>
      <c r="Z34" s="477"/>
      <c r="AA34" s="477"/>
      <c r="AD34" s="405">
        <f t="shared" si="0"/>
        <v>0</v>
      </c>
      <c r="AE34" s="406" t="str">
        <f>IFERROR(INDEX(V!$R:$R,MATCH(AF34,V!$L:$L,0)),"")</f>
        <v/>
      </c>
      <c r="AF34" s="407" t="str">
        <f t="shared" si="1"/>
        <v/>
      </c>
      <c r="AG34" s="406" t="str">
        <f>IFERROR(INDEX(V!$R:$R,MATCH(AH34,V!$L:$L,0)),"")</f>
        <v/>
      </c>
      <c r="AH34" s="407" t="str">
        <f t="shared" si="2"/>
        <v/>
      </c>
      <c r="AI34" s="406" t="str">
        <f>IFERROR(INDEX(V!$R:$R,MATCH(AJ34,V!$L:$L,0)),"")</f>
        <v/>
      </c>
      <c r="AJ34" s="407" t="str">
        <f t="shared" si="3"/>
        <v/>
      </c>
      <c r="AK34" s="406" t="str">
        <f>IFERROR(INDEX(V!$R:$R,MATCH(AL34,V!$L:$L,0)),"")</f>
        <v/>
      </c>
      <c r="AL34" s="407" t="str">
        <f t="shared" si="4"/>
        <v/>
      </c>
      <c r="AM34" s="406" t="str">
        <f>IFERROR(INDEX(V!$R:$R,MATCH(AN34,V!$L:$L,0)),"")</f>
        <v/>
      </c>
      <c r="AN34" s="407" t="str">
        <f t="shared" si="5"/>
        <v/>
      </c>
      <c r="AO34" s="406" t="str">
        <f>IFERROR(INDEX(V!$R:$R,MATCH(AP34,V!$L:$L,0)),"")</f>
        <v/>
      </c>
      <c r="AP34" s="407" t="str">
        <f t="shared" si="6"/>
        <v/>
      </c>
    </row>
    <row r="35" spans="1:42" x14ac:dyDescent="0.2">
      <c r="A35" s="316">
        <v>1</v>
      </c>
      <c r="B35" s="518"/>
      <c r="C35" s="319"/>
      <c r="D35" s="318"/>
      <c r="E35" s="318"/>
      <c r="F35" s="318"/>
      <c r="G35" s="318"/>
      <c r="H35" s="317" t="str">
        <f>(IF(D35-C36&gt;0,1)+IF(E35-C37&gt;0,1)+IF(F35-C38&gt;0,1)+IF(G35-C39&gt;0,1))&amp;"-"&amp;(IF(D35-C36&lt;0,1)+IF(E35-C37&lt;0,1)+IF(F35-C38&lt;0,1)+IF(G35-C39&lt;0,1))</f>
        <v>0-0</v>
      </c>
      <c r="I35" s="279" t="str">
        <f>IF(AND(B35&lt;&gt;"",R$34=TRUE),A$34&amp;RANK(S35,S$35:S$39,0)," ")</f>
        <v xml:space="preserve"> </v>
      </c>
      <c r="J35" s="480">
        <f>IF(AND(Q35=1,Q36=1,D35&gt;C36),1)+IF(AND(Q35=1,Q37=1,E35&gt;C37),1)+IF(AND(Q35=1,Q38=1,F35&gt;C38),1)+IF(AND(Q35=1,Q39=1,G35&gt;C39),1)+IF(AND(Q35=2,Q36=2,D35&gt;C36),1)+IF(AND(Q35=2,Q37=2,E35&gt;C37),1)+IF(AND(Q35=2,Q38=2,F35&gt;C38),1)+IF(AND(Q35=2,Q39=2,G35&gt;C39),1)+IF(AND(Q35=3,Q36=3,D35&gt;C36),1)+IF(AND(Q35=3,Q37=3,E35&gt;C37),1)+IF(AND(Q35=3,Q38=3,F35&gt;C38),1)+IF(AND(Q35=3,Q39=3,G35&gt;C39),1)</f>
        <v>0</v>
      </c>
      <c r="K35" s="481">
        <f>SUM(AND(T35=T36,D35&gt;C36),AND(T35=T37,E35&gt;C37),AND(T35=T38,F35&gt;C38),AND(T35=T39,G35&gt;C39))</f>
        <v>0</v>
      </c>
      <c r="L35" s="482">
        <f>IF(AND(Q35=1,Q36=1),D35-C36)+IF(AND(Q35=1,Q37=1),E35-C37)+IF(AND(Q35=1,Q38=1),F35-C38)+IF(AND(Q35=1,Q39=1),G35-C39)+IF(AND(Q35=2,Q36=2),D35-C36)+IF(AND(Q35=2,Q37=2),E35-C37)+IF(AND(Q35=2,Q38=2),F35-C38)+IF(AND(Q35=2,Q39=2),G35-C39)+IF(AND(Q35=3,Q36=3),D35-C36)+IF(AND(Q35=3,Q37=3),E35-C37)+IF(AND(Q35=3,Q38=3),F35-C38)+IF(AND(Q35=3,Q39=3),G35-C39)+IF(AND(Q35=4,Q36=4),D35-C36)+IF(AND(Q35=4,Q37=4),E35-C37)+IF(AND(Q35=4,Q38=4),F35-C38)+IF(AND(Q35=4,Q39=4),G35-C39)</f>
        <v>0</v>
      </c>
      <c r="M35" s="483">
        <f>SUM(AND(R35=R36,D35&gt;C36),AND(R35=R37,E35&gt;C37),AND(R35=R38,F35&gt;C38),AND(R35=R39,G35&gt;C39))</f>
        <v>0</v>
      </c>
      <c r="N35" s="537" t="str">
        <f>SUM(C35:G35)&amp;"-"&amp;SUM(C35:C39)</f>
        <v>0-0</v>
      </c>
      <c r="O35" s="538">
        <f>D35+E35+F35+G35-C36-C37-C38-C39</f>
        <v>0</v>
      </c>
      <c r="P35" s="485" t="e">
        <f>SUM(C35:G35,C35:C39)/SUM(C35:C39)</f>
        <v>#DIV/0!</v>
      </c>
      <c r="Q35" s="320">
        <f>VALUE(LEFT(H35,1))</f>
        <v>0</v>
      </c>
      <c r="R35" s="321">
        <f>Q35*100000+J35*10000+K35*1000+100*L35</f>
        <v>0</v>
      </c>
      <c r="S35" s="486">
        <f>R35+M35*0.1+IF(ISNONTEXT(B35),0,0.01)+0.0001*O35</f>
        <v>0</v>
      </c>
      <c r="T35" s="487" t="str">
        <f>Q35&amp;J35</f>
        <v>00</v>
      </c>
      <c r="U35" s="477"/>
      <c r="V35" s="477"/>
      <c r="W35" s="477"/>
      <c r="X35" s="477"/>
      <c r="Y35" s="477"/>
      <c r="Z35" s="477"/>
      <c r="AA35" s="477"/>
      <c r="AD35" s="405">
        <f t="shared" si="0"/>
        <v>0</v>
      </c>
      <c r="AE35" s="406" t="str">
        <f>IFERROR(INDEX(V!$R:$R,MATCH(AF35,V!$L:$L,0)),"")</f>
        <v/>
      </c>
      <c r="AF35" s="407" t="str">
        <f t="shared" si="1"/>
        <v/>
      </c>
      <c r="AG35" s="406" t="str">
        <f>IFERROR(INDEX(V!$R:$R,MATCH(AH35,V!$L:$L,0)),"")</f>
        <v/>
      </c>
      <c r="AH35" s="407" t="str">
        <f t="shared" si="2"/>
        <v/>
      </c>
      <c r="AI35" s="406" t="str">
        <f>IFERROR(INDEX(V!$R:$R,MATCH(AJ35,V!$L:$L,0)),"")</f>
        <v/>
      </c>
      <c r="AJ35" s="407" t="str">
        <f t="shared" si="3"/>
        <v/>
      </c>
      <c r="AK35" s="406" t="str">
        <f>IFERROR(INDEX(V!$R:$R,MATCH(AL35,V!$L:$L,0)),"")</f>
        <v/>
      </c>
      <c r="AL35" s="407" t="str">
        <f t="shared" si="4"/>
        <v/>
      </c>
      <c r="AM35" s="406" t="str">
        <f>IFERROR(INDEX(V!$R:$R,MATCH(AN35,V!$L:$L,0)),"")</f>
        <v/>
      </c>
      <c r="AN35" s="407" t="str">
        <f t="shared" si="5"/>
        <v/>
      </c>
      <c r="AO35" s="406" t="str">
        <f>IFERROR(INDEX(V!$R:$R,MATCH(AP35,V!$L:$L,0)),"")</f>
        <v/>
      </c>
      <c r="AP35" s="407" t="str">
        <f t="shared" si="6"/>
        <v/>
      </c>
    </row>
    <row r="36" spans="1:42" x14ac:dyDescent="0.2">
      <c r="A36" s="316">
        <v>2</v>
      </c>
      <c r="B36" s="488"/>
      <c r="C36" s="318"/>
      <c r="D36" s="319"/>
      <c r="E36" s="318"/>
      <c r="F36" s="318"/>
      <c r="G36" s="318"/>
      <c r="H36" s="317" t="str">
        <f>(IF(C36-D35&gt;0,1)+IF(E36-D37&gt;0,1)+IF(F36-D38&gt;0,1)+IF(G36-D39&gt;0,1))&amp;"-"&amp;(IF(C36-D35&lt;0,1)+IF(E36-D37&lt;0,1)+IF(F36-D38&lt;0,1)+IF(G36-D39&lt;0,1))</f>
        <v>0-0</v>
      </c>
      <c r="I36" s="279" t="str">
        <f t="shared" ref="I36:I39" si="9">IF(AND(B36&lt;&gt;"",R$34=TRUE),A$34&amp;RANK(S36,S$35:S$39,0)," ")</f>
        <v xml:space="preserve"> </v>
      </c>
      <c r="J36" s="489">
        <f>IF(AND(Q36=1,Q35=1,C36&gt;D35),1)+IF(AND(Q36=1,Q37=1,E36&gt;D37),1)+IF(AND(Q36=1,Q38=1,F36&gt;D38),1)+IF(AND(Q36=1,Q39=1,G36&gt;D39),1)+IF(AND(Q36=2,Q35=2,C36&gt;D35),1)+IF(AND(Q36=2,Q37=2,E36&gt;D37),1)+IF(AND(Q36=2,Q38=2,F36&gt;D38),1)+IF(AND(Q36=2,Q39=2,G36&gt;D39),1)+IF(AND(Q36=3,Q35=3,C36&gt;D35),1)+IF(AND(Q36=3,Q37=3,E36&gt;D37),1)+IF(AND(Q36=3,Q38=3,F36&gt;D38),1)+IF(AND(Q36=3,Q39=3,G36&gt;D39),1)</f>
        <v>0</v>
      </c>
      <c r="K36" s="483">
        <f>SUM(AND(T36=T35,C36&gt;D35),AND(T36=T37,E36&gt;D37),AND(T36=T38,F36&gt;D38),AND(T36=T39,G36&gt;D39))</f>
        <v>0</v>
      </c>
      <c r="L36" s="490">
        <f>IF(AND(Q36=1,Q35=1),C36-D35)+IF(AND(Q36=1,Q37=1),E36-D37)+IF(AND(Q36=1,Q38=1),F36-D38)+IF(AND(Q36=1,Q39=1),G36-D39)+IF(AND(Q36=2,Q35=2),C36-D35)+IF(AND(Q36=2,Q37=2),E36-D37)+IF(AND(Q36=2,Q38=2),F36-D38)+IF(AND(Q36=2,Q39=2),G36-D39)+IF(AND(Q36=3,Q35=3),C36-D35)+IF(AND(Q36=3,Q37=3),E36-D37)+IF(AND(Q36=3,Q38=3),F36-D38)+IF(AND(Q36=3,Q39=3),G36-D39)+IF(AND(Q36=4,Q35=4),C36-D35)+IF(AND(Q36=4,Q37=4),E36-D37)+IF(AND(Q36=4,Q38=4),F36-D38)+IF(AND(Q36=4,Q39=4),G36-D39)</f>
        <v>0</v>
      </c>
      <c r="M36" s="483">
        <f>SUM(AND(R36=R35,C36&gt;D35),AND(R36=R37,E36&gt;D37),AND(R36=R38,F36&gt;D38),AND(R36=R39,G36&gt;D39))</f>
        <v>0</v>
      </c>
      <c r="N36" s="537" t="str">
        <f>SUM(C36:G36)&amp;"-"&amp;SUM(D35:D39)</f>
        <v>0-0</v>
      </c>
      <c r="O36" s="538">
        <f>C36+E36+F36+G36-D35-D37-D38-D39</f>
        <v>0</v>
      </c>
      <c r="P36" s="485" t="e">
        <f>SUM(C36:G36,D35:D39)/SUM(D35:D39)</f>
        <v>#DIV/0!</v>
      </c>
      <c r="Q36" s="491">
        <f>VALUE(LEFT(H36,1))</f>
        <v>0</v>
      </c>
      <c r="R36" s="321">
        <f>Q36*100000+J36*10000+K36*1000+100*L36</f>
        <v>0</v>
      </c>
      <c r="S36" s="486">
        <f>R36+M36*0.1+IF(ISNONTEXT(B36),0,0.01)+0.0001*O36</f>
        <v>0</v>
      </c>
      <c r="T36" s="487" t="str">
        <f>Q36&amp;J36</f>
        <v>00</v>
      </c>
      <c r="U36" s="477"/>
      <c r="V36" s="477"/>
      <c r="W36" s="477"/>
      <c r="X36" s="477"/>
      <c r="Y36" s="477"/>
      <c r="Z36" s="477"/>
      <c r="AA36" s="477"/>
      <c r="AD36" s="405">
        <f t="shared" si="0"/>
        <v>0</v>
      </c>
      <c r="AE36" s="406" t="str">
        <f>IFERROR(INDEX(V!$R:$R,MATCH(AF36,V!$L:$L,0)),"")</f>
        <v/>
      </c>
      <c r="AF36" s="407" t="str">
        <f t="shared" si="1"/>
        <v/>
      </c>
      <c r="AG36" s="406" t="str">
        <f>IFERROR(INDEX(V!$R:$R,MATCH(AH36,V!$L:$L,0)),"")</f>
        <v/>
      </c>
      <c r="AH36" s="407" t="str">
        <f t="shared" si="2"/>
        <v/>
      </c>
      <c r="AI36" s="406" t="str">
        <f>IFERROR(INDEX(V!$R:$R,MATCH(AJ36,V!$L:$L,0)),"")</f>
        <v/>
      </c>
      <c r="AJ36" s="407" t="str">
        <f t="shared" si="3"/>
        <v/>
      </c>
      <c r="AK36" s="406" t="str">
        <f>IFERROR(INDEX(V!$R:$R,MATCH(AL36,V!$L:$L,0)),"")</f>
        <v/>
      </c>
      <c r="AL36" s="407" t="str">
        <f t="shared" si="4"/>
        <v/>
      </c>
      <c r="AM36" s="406" t="str">
        <f>IFERROR(INDEX(V!$R:$R,MATCH(AN36,V!$L:$L,0)),"")</f>
        <v/>
      </c>
      <c r="AN36" s="407" t="str">
        <f t="shared" si="5"/>
        <v/>
      </c>
      <c r="AO36" s="406" t="str">
        <f>IFERROR(INDEX(V!$R:$R,MATCH(AP36,V!$L:$L,0)),"")</f>
        <v/>
      </c>
      <c r="AP36" s="407" t="str">
        <f t="shared" si="6"/>
        <v/>
      </c>
    </row>
    <row r="37" spans="1:42" x14ac:dyDescent="0.2">
      <c r="A37" s="316">
        <v>3</v>
      </c>
      <c r="B37" s="488"/>
      <c r="C37" s="318"/>
      <c r="D37" s="492"/>
      <c r="E37" s="319"/>
      <c r="F37" s="318"/>
      <c r="G37" s="318"/>
      <c r="H37" s="317" t="str">
        <f>(IF(C37-E35&gt;0,1)+IF(D37-E36&gt;0,1)+IF(F37-E38&gt;0,1)+IF(G37-E39&gt;0,1))&amp;"-"&amp;(IF(C37-E35&lt;0,1)+IF(D37-E36&lt;0,1)+IF(F37-E38&lt;0,1)+IF(G37-E39&lt;0,1))</f>
        <v>0-0</v>
      </c>
      <c r="I37" s="279" t="str">
        <f t="shared" si="9"/>
        <v xml:space="preserve"> </v>
      </c>
      <c r="J37" s="489">
        <f>IF(AND(Q37=1,Q35=1,C37&gt;E35),1)+IF(AND(Q37=1,Q36=1,D37&gt;E36),1)+IF(AND(Q37=1,Q38=1,F37&gt;E38),1)+IF(AND(Q37=1,Q39=1,G37&gt;E39),1)+IF(AND(Q37=2,Q35=2,C37&gt;E35),1)+IF(AND(Q37=2,Q36=2,D37&gt;E36),1)+IF(AND(Q37=2,Q38=2,F37&gt;E38),1)+IF(AND(Q37=2,Q39=2,G37&gt;E39),1)+IF(AND(Q37=3,Q35=3,C37&gt;E35),1)+IF(AND(Q37=3,Q36=3,D37&gt;E36),1)+IF(AND(Q37=3,Q38=3,F37&gt;E38),1)+IF(AND(Q37=3,Q39=3,G37&gt;E39),1)</f>
        <v>0</v>
      </c>
      <c r="K37" s="483">
        <f>SUM(AND(T37=T35,C37&gt;E35),AND(T37=T36,D37&gt;E36),AND(T37=T38,F37&gt;E38),AND(T37=T39,G37&gt;E39))</f>
        <v>0</v>
      </c>
      <c r="L37" s="490">
        <f>IF(AND(Q37=1,Q35=1),C37-E35)+IF(AND(Q37=1,Q36=1),D37-E36)+IF(AND(Q37=1,Q38=1),F37-E38)+IF(AND(Q37=1,Q39=1),G37-E39)+IF(AND(Q37=2,Q35=2),C37-E35)+IF(AND(Q37=2,Q36=2),D37-E36)+IF(AND(Q37=2,Q38=2),F37-E38)+IF(AND(Q37=2,Q39=2),G37-E39)+IF(AND(Q37=3,Q35=3),C37-E35)+IF(AND(Q37=3,Q36=3),D37-E36)+IF(AND(Q37=3,Q38=3),F37-E38)+IF(AND(Q37=3,Q39=3),G37-E39)+IF(AND(Q37=4,Q35=4),C37-E35)+IF(AND(Q37=4,Q36=4),D37-E36)+IF(AND(Q37=4,Q38=4),F37-E38)+IF(AND(Q37=4,Q39=4),G37-E39)</f>
        <v>0</v>
      </c>
      <c r="M37" s="483">
        <f>SUM(AND(R37=R35,C37&gt;E35),AND(R37=R36,D37&gt;E36),AND(R37=R38,F37&gt;E38),AND(R37=R39,G37&gt;E39))</f>
        <v>0</v>
      </c>
      <c r="N37" s="537" t="str">
        <f>SUM(C37:G37)&amp;"-"&amp;SUM(E35:E39)</f>
        <v>0-0</v>
      </c>
      <c r="O37" s="538">
        <f>C37+D37+F37+G37-E35-E36-E38-E39</f>
        <v>0</v>
      </c>
      <c r="P37" s="485" t="e">
        <f>SUM(C37:G37,E35:E39)/SUM(E35:E39)</f>
        <v>#DIV/0!</v>
      </c>
      <c r="Q37" s="491">
        <f>VALUE(LEFT(H37,1))</f>
        <v>0</v>
      </c>
      <c r="R37" s="321">
        <f>Q37*100000+J37*10000+K37*1000+100*L37</f>
        <v>0</v>
      </c>
      <c r="S37" s="486">
        <f>R37+M37*0.1+IF(ISNONTEXT(B37),0,0.01)+0.0001*O37</f>
        <v>0</v>
      </c>
      <c r="T37" s="487" t="str">
        <f>Q37&amp;J37</f>
        <v>00</v>
      </c>
      <c r="U37" s="477"/>
      <c r="V37" s="477"/>
      <c r="W37" s="477"/>
      <c r="X37" s="477"/>
      <c r="Y37" s="477"/>
      <c r="Z37" s="477"/>
      <c r="AA37" s="477"/>
      <c r="AD37" s="405">
        <f t="shared" si="0"/>
        <v>0</v>
      </c>
      <c r="AE37" s="406" t="str">
        <f>IFERROR(INDEX(V!$R:$R,MATCH(AF37,V!$L:$L,0)),"")</f>
        <v/>
      </c>
      <c r="AF37" s="407" t="str">
        <f t="shared" si="1"/>
        <v/>
      </c>
      <c r="AG37" s="406" t="str">
        <f>IFERROR(INDEX(V!$R:$R,MATCH(AH37,V!$L:$L,0)),"")</f>
        <v/>
      </c>
      <c r="AH37" s="407" t="str">
        <f t="shared" si="2"/>
        <v/>
      </c>
      <c r="AI37" s="406" t="str">
        <f>IFERROR(INDEX(V!$R:$R,MATCH(AJ37,V!$L:$L,0)),"")</f>
        <v/>
      </c>
      <c r="AJ37" s="407" t="str">
        <f t="shared" si="3"/>
        <v/>
      </c>
      <c r="AK37" s="406" t="str">
        <f>IFERROR(INDEX(V!$R:$R,MATCH(AL37,V!$L:$L,0)),"")</f>
        <v/>
      </c>
      <c r="AL37" s="407" t="str">
        <f t="shared" si="4"/>
        <v/>
      </c>
      <c r="AM37" s="406" t="str">
        <f>IFERROR(INDEX(V!$R:$R,MATCH(AN37,V!$L:$L,0)),"")</f>
        <v/>
      </c>
      <c r="AN37" s="407" t="str">
        <f t="shared" si="5"/>
        <v/>
      </c>
      <c r="AO37" s="406" t="str">
        <f>IFERROR(INDEX(V!$R:$R,MATCH(AP37,V!$L:$L,0)),"")</f>
        <v/>
      </c>
      <c r="AP37" s="407" t="str">
        <f t="shared" si="6"/>
        <v/>
      </c>
    </row>
    <row r="38" spans="1:42" hidden="1" x14ac:dyDescent="0.2">
      <c r="A38" s="316">
        <v>4</v>
      </c>
      <c r="B38" s="493"/>
      <c r="C38" s="318"/>
      <c r="D38" s="492"/>
      <c r="E38" s="318"/>
      <c r="F38" s="319"/>
      <c r="G38" s="511"/>
      <c r="H38" s="317" t="str">
        <f>(IF(C38-F35&gt;0,1)+IF(D38-F36&gt;0,1)+IF(E38-F37&gt;0,1)+IF(G38-F39&gt;0,1))&amp;"-"&amp;(IF(C38-F35&lt;0,1)+IF(D38-F36&lt;0,1)+IF(E38-F37&lt;0,1)+IF(G38-F39&lt;0,1))</f>
        <v>0-0</v>
      </c>
      <c r="I38" s="279" t="str">
        <f t="shared" si="9"/>
        <v xml:space="preserve"> </v>
      </c>
      <c r="J38" s="489">
        <f>IF(AND(Q38=1,Q35=1,C38&gt;F35),1)+IF(AND(Q38=1,Q36=1,D38&gt;F36),1)+IF(AND(Q38=1,Q37=1,E38&gt;F37),1)+IF(AND(Q38=1,Q39=1,G38&gt;F39),1)+IF(AND(Q38=2,Q35=2,C38&gt;F35),1)+IF(AND(Q38=2,Q36=2,D38&gt;F36),1)+IF(AND(Q38=2,Q37=2,E38&gt;F37),1)+IF(AND(Q38=2,Q39=2,G38&gt;F39),1)+IF(AND(Q38=3,Q35=3,C38&gt;F35),1)+IF(AND(Q38=3,Q36=3,D38&gt;F36),1)+IF(AND(Q38=3,Q37=3,E38&gt;F37),1)+IF(AND(Q38=3,Q39=3,G38&gt;F39),1)</f>
        <v>0</v>
      </c>
      <c r="K38" s="483">
        <f>SUM(AND(T38=T35,C38&gt;F35),AND(T38=T36,D38&gt;F36),AND(T38=T37,E38&gt;F37),AND(T38=T39,G38&gt;F39))</f>
        <v>0</v>
      </c>
      <c r="L38" s="490">
        <f>IF(AND(Q38=1,Q35=1),C38-F35)+IF(AND(Q38=1,Q36=1),D38-F36)+IF(AND(Q38=1,Q37=1),E38-F37)+IF(AND(Q38=1,Q39=1),G38-F39)+IF(AND(Q38=2,Q35=2),C38-F35)+IF(AND(Q38=2,Q36=2),D38-F36)+IF(AND(Q38=2,Q37=2),E38-F37)+IF(AND(Q38=2,Q39=2),G38-F39)+IF(AND(Q38=3,Q35=3),C38-F35)+IF(AND(Q38=3,Q36=3),D38-F36)+IF(AND(Q38=3,Q37=3),E38-F37)+IF(AND(Q38=3,Q39=3),G38-F39)+IF(AND(Q38=4,Q35=4),C38-F35)+IF(AND(Q38=4,Q36=4),D38-F36)+IF(AND(Q38=4,Q37=4),E38-F37)+IF(AND(Q38=4,Q39=4),G38-F39)</f>
        <v>0</v>
      </c>
      <c r="M38" s="483">
        <f>SUM(AND(R38=R35,C38&gt;F35),AND(R38=R36,D38&gt;F36),AND(R38=R37,E38&gt;F37),AND(R38=R39,G38&gt;F39))</f>
        <v>0</v>
      </c>
      <c r="N38" s="537" t="str">
        <f>SUM(C38:G38)&amp;"-"&amp;SUM(F35:F39)</f>
        <v>0-0</v>
      </c>
      <c r="O38" s="538">
        <f>C38+D38+E38+G38-F35-F36-F37-F39</f>
        <v>0</v>
      </c>
      <c r="P38" s="485" t="e">
        <f>SUM(C38:G38,F35:F39)/SUM(F35:F39)</f>
        <v>#DIV/0!</v>
      </c>
      <c r="Q38" s="491">
        <f>VALUE(LEFT(H38,1))</f>
        <v>0</v>
      </c>
      <c r="R38" s="321">
        <f>Q38*100000+J38*10000+K38*1000+100*L38</f>
        <v>0</v>
      </c>
      <c r="S38" s="486">
        <f>R38+M38*0.1+IF(ISNONTEXT(B38),0,0.01)+0.0001*O38</f>
        <v>0</v>
      </c>
      <c r="T38" s="487" t="str">
        <f>Q38&amp;J38</f>
        <v>00</v>
      </c>
      <c r="U38" s="477"/>
      <c r="V38" s="477"/>
      <c r="W38" s="477"/>
      <c r="X38" s="477"/>
      <c r="Y38" s="477"/>
      <c r="Z38" s="477"/>
      <c r="AA38" s="477"/>
      <c r="AD38" s="405">
        <f t="shared" si="0"/>
        <v>0</v>
      </c>
      <c r="AE38" s="406" t="str">
        <f>IFERROR(INDEX(V!$R:$R,MATCH(AF38,V!$L:$L,0)),"")</f>
        <v/>
      </c>
      <c r="AF38" s="407" t="str">
        <f t="shared" si="1"/>
        <v/>
      </c>
      <c r="AG38" s="406" t="str">
        <f>IFERROR(INDEX(V!$R:$R,MATCH(AH38,V!$L:$L,0)),"")</f>
        <v/>
      </c>
      <c r="AH38" s="407" t="str">
        <f t="shared" si="2"/>
        <v/>
      </c>
      <c r="AI38" s="406" t="str">
        <f>IFERROR(INDEX(V!$R:$R,MATCH(AJ38,V!$L:$L,0)),"")</f>
        <v/>
      </c>
      <c r="AJ38" s="407" t="str">
        <f t="shared" si="3"/>
        <v/>
      </c>
      <c r="AK38" s="406" t="str">
        <f>IFERROR(INDEX(V!$R:$R,MATCH(AL38,V!$L:$L,0)),"")</f>
        <v/>
      </c>
      <c r="AL38" s="407" t="str">
        <f t="shared" si="4"/>
        <v/>
      </c>
      <c r="AM38" s="406" t="str">
        <f>IFERROR(INDEX(V!$R:$R,MATCH(AN38,V!$L:$L,0)),"")</f>
        <v/>
      </c>
      <c r="AN38" s="407" t="str">
        <f t="shared" si="5"/>
        <v/>
      </c>
      <c r="AO38" s="406" t="str">
        <f>IFERROR(INDEX(V!$R:$R,MATCH(AP38,V!$L:$L,0)),"")</f>
        <v/>
      </c>
      <c r="AP38" s="407" t="str">
        <f t="shared" si="6"/>
        <v/>
      </c>
    </row>
    <row r="39" spans="1:42" hidden="1" x14ac:dyDescent="0.2">
      <c r="A39" s="316">
        <v>5</v>
      </c>
      <c r="B39" s="493"/>
      <c r="C39" s="318"/>
      <c r="D39" s="318"/>
      <c r="E39" s="318"/>
      <c r="F39" s="318"/>
      <c r="G39" s="319"/>
      <c r="H39" s="317" t="str">
        <f>(IF(C39-G35&gt;0,1)+IF(D39-G36&gt;0,1)+IF(E39-G37&gt;0,1)+IF(F39-G38&gt;0,1))&amp;"-"&amp;(IF(C39-G35&lt;0,1)+IF(D39-G36&lt;0,1)+IF(E39-G37&lt;0,1)+IF(F39-G38&lt;0,1))</f>
        <v>0-0</v>
      </c>
      <c r="I39" s="279" t="str">
        <f t="shared" si="9"/>
        <v xml:space="preserve"> </v>
      </c>
      <c r="J39" s="489">
        <f>IF(AND(Q39=1,Q35=1,C39&gt;G35),1)+IF(AND(Q39=1,Q36=1,D39&gt;G36),1)+IF(AND(Q39=1,Q37=1,E39&gt;G37),1)+IF(AND(Q39=1,Q38=1,F39&gt;G38),1)+IF(AND(Q39=2,Q35=2,C39&gt;G35),1)+IF(AND(Q39=2,Q36=2,D39&gt;G36),1)+IF(AND(Q39=2,Q37=2,E39&gt;G37),1)+IF(AND(Q39=2,Q38=2,F39&gt;G38),1)+IF(AND(Q39=3,Q35=3,C39&gt;G35),1)+IF(AND(Q39=3,Q36=3,D39&gt;G36),1)+IF(AND(Q39=3,Q37=3,E39&gt;G37),1)+IF(AND(Q39=3,Q38=3,F39&gt;G38),1)</f>
        <v>0</v>
      </c>
      <c r="K39" s="483">
        <f>SUM(AND(T39=T35,C39&gt;G35),AND(T39=T36,D39&gt;G36),AND(T39=T37,E39&gt;G37),AND(T39=T38,F39&gt;G38))</f>
        <v>0</v>
      </c>
      <c r="L39" s="490">
        <f>IF(AND(Q39=1,Q35=1),C39-G35)+IF(AND(Q39=1,Q36=1),D39-G36)+IF(AND(Q39=1,Q37=1),E39-G37)+IF(AND(Q39=1,Q38=1),F39-G38)+IF(AND(Q39=2,Q35=2),C39-G35)+IF(AND(Q39=2,Q36=2),D39-G36)+IF(AND(Q39=2,Q37=2),E39-G37)+IF(AND(Q39=2,Q38=2),F39-G38)+IF(AND(Q39=3,Q35=3),C39-G35)+IF(AND(Q39=3,Q36=3),D39-G36)+IF(AND(Q39=3,Q37=3),E39-G37)+IF(AND(Q39=3,Q38=3),F39-G38)+IF(AND(Q39=4,Q35=4),C39-G35)+IF(AND(Q39=4,Q36=4),D39-G36)+IF(AND(Q39=4,Q37=4),E39-G37)+IF(AND(Q39=4,Q38=4),F39-G38)</f>
        <v>0</v>
      </c>
      <c r="M39" s="483">
        <f>SUM(AND(R39=R35,C39&gt;G35),AND(R39=R36,D39&gt;G36),AND(R39=R37,E39&gt;G37),AND(R39=R38,F39&gt;G38))</f>
        <v>0</v>
      </c>
      <c r="N39" s="537" t="str">
        <f>SUM(C39:G39)&amp;"-"&amp;SUM(G35:G39)</f>
        <v>0-0</v>
      </c>
      <c r="O39" s="538">
        <f>C39+D39+E39+F39-G35-G36-G37-G38</f>
        <v>0</v>
      </c>
      <c r="P39" s="485" t="e">
        <f>SUM(C39:G39,G35:G39)/SUM(G35:G39)</f>
        <v>#DIV/0!</v>
      </c>
      <c r="Q39" s="491">
        <f>VALUE(LEFT(H39,1))</f>
        <v>0</v>
      </c>
      <c r="R39" s="321">
        <f>Q39*100000+J39*10000+K39*1000+100*L39</f>
        <v>0</v>
      </c>
      <c r="S39" s="486">
        <f>R39+M39*0.1+IF(ISNONTEXT(B39),0,0.01)+0.0001*O39</f>
        <v>0</v>
      </c>
      <c r="T39" s="487" t="str">
        <f>Q39&amp;J39</f>
        <v>00</v>
      </c>
      <c r="U39" s="477"/>
      <c r="V39" s="477"/>
      <c r="W39" s="477"/>
      <c r="X39" s="477"/>
      <c r="Y39" s="477"/>
      <c r="Z39" s="477"/>
      <c r="AA39" s="477"/>
      <c r="AD39" s="405">
        <f t="shared" si="0"/>
        <v>0</v>
      </c>
      <c r="AE39" s="406" t="str">
        <f>IFERROR(INDEX(V!$R:$R,MATCH(AF39,V!$L:$L,0)),"")</f>
        <v/>
      </c>
      <c r="AF39" s="407" t="str">
        <f t="shared" si="1"/>
        <v/>
      </c>
      <c r="AG39" s="406" t="str">
        <f>IFERROR(INDEX(V!$R:$R,MATCH(AH39,V!$L:$L,0)),"")</f>
        <v/>
      </c>
      <c r="AH39" s="407" t="str">
        <f t="shared" si="2"/>
        <v/>
      </c>
      <c r="AI39" s="406" t="str">
        <f>IFERROR(INDEX(V!$R:$R,MATCH(AJ39,V!$L:$L,0)),"")</f>
        <v/>
      </c>
      <c r="AJ39" s="407" t="str">
        <f t="shared" si="3"/>
        <v/>
      </c>
      <c r="AK39" s="406" t="str">
        <f>IFERROR(INDEX(V!$R:$R,MATCH(AL39,V!$L:$L,0)),"")</f>
        <v/>
      </c>
      <c r="AL39" s="407" t="str">
        <f t="shared" si="4"/>
        <v/>
      </c>
      <c r="AM39" s="406" t="str">
        <f>IFERROR(INDEX(V!$R:$R,MATCH(AN39,V!$L:$L,0)),"")</f>
        <v/>
      </c>
      <c r="AN39" s="407" t="str">
        <f t="shared" si="5"/>
        <v/>
      </c>
      <c r="AO39" s="406" t="str">
        <f>IFERROR(INDEX(V!$R:$R,MATCH(AP39,V!$L:$L,0)),"")</f>
        <v/>
      </c>
      <c r="AP39" s="407" t="str">
        <f t="shared" si="6"/>
        <v/>
      </c>
    </row>
    <row r="40" spans="1:42" x14ac:dyDescent="0.2">
      <c r="A40" s="494"/>
      <c r="B40" s="495"/>
      <c r="C40" s="496"/>
      <c r="D40" s="497"/>
      <c r="E40" s="496"/>
      <c r="F40" s="498"/>
      <c r="G40" s="499"/>
      <c r="H40" s="500"/>
      <c r="I40" s="297"/>
      <c r="J40" s="477"/>
      <c r="K40" s="477"/>
      <c r="L40" s="477"/>
      <c r="M40" s="477"/>
      <c r="N40" s="539"/>
      <c r="O40" s="539"/>
      <c r="P40" s="477"/>
      <c r="Q40" s="477"/>
      <c r="R40" s="502" t="s">
        <v>264</v>
      </c>
      <c r="S40" s="477"/>
      <c r="T40" s="477"/>
      <c r="U40" s="477"/>
      <c r="V40" s="477"/>
      <c r="W40" s="477"/>
      <c r="X40" s="477"/>
      <c r="Y40" s="477"/>
      <c r="Z40" s="477"/>
      <c r="AA40" s="477"/>
      <c r="AD40" s="405">
        <f t="shared" si="0"/>
        <v>0</v>
      </c>
      <c r="AE40" s="406" t="str">
        <f>IFERROR(INDEX(V!$R:$R,MATCH(AF40,V!$L:$L,0)),"")</f>
        <v/>
      </c>
      <c r="AF40" s="407" t="str">
        <f t="shared" si="1"/>
        <v/>
      </c>
      <c r="AG40" s="406" t="str">
        <f>IFERROR(INDEX(V!$R:$R,MATCH(AH40,V!$L:$L,0)),"")</f>
        <v/>
      </c>
      <c r="AH40" s="407" t="str">
        <f t="shared" si="2"/>
        <v/>
      </c>
      <c r="AI40" s="406" t="str">
        <f>IFERROR(INDEX(V!$R:$R,MATCH(AJ40,V!$L:$L,0)),"")</f>
        <v/>
      </c>
      <c r="AJ40" s="407" t="str">
        <f t="shared" si="3"/>
        <v/>
      </c>
      <c r="AK40" s="406" t="str">
        <f>IFERROR(INDEX(V!$R:$R,MATCH(AL40,V!$L:$L,0)),"")</f>
        <v/>
      </c>
      <c r="AL40" s="407" t="str">
        <f t="shared" si="4"/>
        <v/>
      </c>
      <c r="AM40" s="406" t="str">
        <f>IFERROR(INDEX(V!$R:$R,MATCH(AN40,V!$L:$L,0)),"")</f>
        <v/>
      </c>
      <c r="AN40" s="407" t="str">
        <f t="shared" si="5"/>
        <v/>
      </c>
      <c r="AO40" s="406" t="str">
        <f>IFERROR(INDEX(V!$R:$R,MATCH(AP40,V!$L:$L,0)),"")</f>
        <v/>
      </c>
      <c r="AP40" s="407" t="str">
        <f t="shared" si="6"/>
        <v/>
      </c>
    </row>
    <row r="41" spans="1:42" x14ac:dyDescent="0.2">
      <c r="A41" s="316" t="s">
        <v>5</v>
      </c>
      <c r="B41" s="503"/>
      <c r="C41" s="467">
        <v>1</v>
      </c>
      <c r="D41" s="467">
        <v>2</v>
      </c>
      <c r="E41" s="467">
        <v>3</v>
      </c>
      <c r="F41" s="467"/>
      <c r="G41" s="467"/>
      <c r="H41" s="468" t="s">
        <v>168</v>
      </c>
      <c r="I41" s="275" t="s">
        <v>169</v>
      </c>
      <c r="J41" s="504" t="s">
        <v>257</v>
      </c>
      <c r="K41" s="505" t="s">
        <v>258</v>
      </c>
      <c r="L41" s="506" t="s">
        <v>259</v>
      </c>
      <c r="M41" s="506" t="s">
        <v>260</v>
      </c>
      <c r="N41" s="472" t="s">
        <v>170</v>
      </c>
      <c r="O41" s="472" t="s">
        <v>170</v>
      </c>
      <c r="P41" s="473" t="s">
        <v>261</v>
      </c>
      <c r="Q41" s="507" t="s">
        <v>21</v>
      </c>
      <c r="R41" s="507" t="b">
        <f>OR(AND(COUNTA(B42:B46)=3,COUNTA(C42:G46)=6),AND(COUNTA(B42:B46)=4,COUNTA(C42:G46)=12),AND(COUNTA(B42:B46)=5,COUNTA(C42:G46)=20))</f>
        <v>0</v>
      </c>
      <c r="S41" s="508" t="s">
        <v>262</v>
      </c>
      <c r="T41" s="509" t="s">
        <v>263</v>
      </c>
      <c r="U41" s="477"/>
      <c r="V41" s="477"/>
      <c r="W41" s="477"/>
      <c r="X41" s="477"/>
      <c r="Y41" s="477"/>
      <c r="Z41" s="477"/>
      <c r="AA41" s="477"/>
      <c r="AD41" s="405">
        <f t="shared" si="0"/>
        <v>0</v>
      </c>
      <c r="AE41" s="406" t="str">
        <f>IFERROR(INDEX(V!$R:$R,MATCH(AF41,V!$L:$L,0)),"")</f>
        <v/>
      </c>
      <c r="AF41" s="407" t="str">
        <f t="shared" si="1"/>
        <v/>
      </c>
      <c r="AG41" s="406" t="str">
        <f>IFERROR(INDEX(V!$R:$R,MATCH(AH41,V!$L:$L,0)),"")</f>
        <v/>
      </c>
      <c r="AH41" s="407" t="str">
        <f t="shared" si="2"/>
        <v/>
      </c>
      <c r="AI41" s="406" t="str">
        <f>IFERROR(INDEX(V!$R:$R,MATCH(AJ41,V!$L:$L,0)),"")</f>
        <v/>
      </c>
      <c r="AJ41" s="407" t="str">
        <f t="shared" si="3"/>
        <v/>
      </c>
      <c r="AK41" s="406" t="str">
        <f>IFERROR(INDEX(V!$R:$R,MATCH(AL41,V!$L:$L,0)),"")</f>
        <v/>
      </c>
      <c r="AL41" s="407" t="str">
        <f t="shared" si="4"/>
        <v/>
      </c>
      <c r="AM41" s="406" t="str">
        <f>IFERROR(INDEX(V!$R:$R,MATCH(AN41,V!$L:$L,0)),"")</f>
        <v/>
      </c>
      <c r="AN41" s="407" t="str">
        <f t="shared" si="5"/>
        <v/>
      </c>
      <c r="AO41" s="406" t="str">
        <f>IFERROR(INDEX(V!$R:$R,MATCH(AP41,V!$L:$L,0)),"")</f>
        <v/>
      </c>
      <c r="AP41" s="407" t="str">
        <f t="shared" si="6"/>
        <v/>
      </c>
    </row>
    <row r="42" spans="1:42" x14ac:dyDescent="0.2">
      <c r="A42" s="316">
        <v>1</v>
      </c>
      <c r="B42" s="518"/>
      <c r="C42" s="319"/>
      <c r="D42" s="318"/>
      <c r="E42" s="318"/>
      <c r="F42" s="318"/>
      <c r="G42" s="318"/>
      <c r="H42" s="317" t="str">
        <f>(IF(D42-C43&gt;0,1)+IF(E42-C44&gt;0,1)+IF(F42-C45&gt;0,1)+IF(G42-C46&gt;0,1))&amp;"-"&amp;(IF(D42-C43&lt;0,1)+IF(E42-C44&lt;0,1)+IF(F42-C45&lt;0,1)+IF(G42-C46&lt;0,1))</f>
        <v>0-0</v>
      </c>
      <c r="I42" s="279" t="str">
        <f>IF(AND(B42&lt;&gt;"",R$41=TRUE),A$41&amp;RANK(S42,S$42:S$46,0)," ")</f>
        <v xml:space="preserve"> </v>
      </c>
      <c r="J42" s="480">
        <f>IF(AND(Q42=1,Q43=1,D42&gt;C43),1)+IF(AND(Q42=1,Q44=1,E42&gt;C44),1)+IF(AND(Q42=1,Q45=1,F42&gt;C45),1)+IF(AND(Q42=1,Q46=1,G42&gt;C46),1)+IF(AND(Q42=2,Q43=2,D42&gt;C43),1)+IF(AND(Q42=2,Q44=2,E42&gt;C44),1)+IF(AND(Q42=2,Q45=2,F42&gt;C45),1)+IF(AND(Q42=2,Q46=2,G42&gt;C46),1)+IF(AND(Q42=3,Q43=3,D42&gt;C43),1)+IF(AND(Q42=3,Q44=3,E42&gt;C44),1)+IF(AND(Q42=3,Q45=3,F42&gt;C45),1)+IF(AND(Q42=3,Q46=3,G42&gt;C46),1)</f>
        <v>0</v>
      </c>
      <c r="K42" s="481">
        <f>SUM(AND(T42=T43,D42&gt;C43),AND(T42=T44,E42&gt;C44),AND(T42=T45,F42&gt;C45),AND(T42=T46,G42&gt;C46))</f>
        <v>0</v>
      </c>
      <c r="L42" s="482">
        <f>IF(AND(Q42=1,Q43=1),D42-C43)+IF(AND(Q42=1,Q44=1),E42-C44)+IF(AND(Q42=1,Q45=1),F42-C45)+IF(AND(Q42=1,Q46=1),G42-C46)+IF(AND(Q42=2,Q43=2),D42-C43)+IF(AND(Q42=2,Q44=2),E42-C44)+IF(AND(Q42=2,Q45=2),F42-C45)+IF(AND(Q42=2,Q46=2),G42-C46)+IF(AND(Q42=3,Q43=3),D42-C43)+IF(AND(Q42=3,Q44=3),E42-C44)+IF(AND(Q42=3,Q45=3),F42-C45)+IF(AND(Q42=3,Q46=3),G42-C46)+IF(AND(Q42=4,Q43=4),D42-C43)+IF(AND(Q42=4,Q44=4),E42-C44)+IF(AND(Q42=4,Q45=4),F42-C45)+IF(AND(Q42=4,Q46=4),G42-C46)</f>
        <v>0</v>
      </c>
      <c r="M42" s="483">
        <f>SUM(AND(R42=R43,D42&gt;C43),AND(R42=R44,E42&gt;C44),AND(R42=R45,F42&gt;C45),AND(R42=R46,G42&gt;C46))</f>
        <v>0</v>
      </c>
      <c r="N42" s="537" t="str">
        <f>SUM(C42:G42)&amp;"-"&amp;SUM(C42:C46)</f>
        <v>0-0</v>
      </c>
      <c r="O42" s="538">
        <f>D42+E42+F42+G42-C43-C44-C45-C46</f>
        <v>0</v>
      </c>
      <c r="P42" s="485" t="e">
        <f>SUM(C42:G42,C42:C46)/SUM(C42:C46)</f>
        <v>#DIV/0!</v>
      </c>
      <c r="Q42" s="320">
        <f>VALUE(LEFT(H42,1))</f>
        <v>0</v>
      </c>
      <c r="R42" s="321">
        <f>Q42*100000+J42*10000+K42*1000+100*L42</f>
        <v>0</v>
      </c>
      <c r="S42" s="486">
        <f>R42+M42*0.1+IF(ISNONTEXT(B42),0,0.01)+0.0001*O42</f>
        <v>0</v>
      </c>
      <c r="T42" s="487" t="str">
        <f>Q42&amp;J42</f>
        <v>00</v>
      </c>
      <c r="U42" s="477"/>
      <c r="V42" s="477"/>
      <c r="W42" s="477"/>
      <c r="X42" s="477"/>
      <c r="Y42" s="477"/>
      <c r="Z42" s="477"/>
      <c r="AA42" s="477"/>
      <c r="AD42" s="405">
        <f t="shared" si="0"/>
        <v>0</v>
      </c>
      <c r="AE42" s="406" t="str">
        <f>IFERROR(INDEX(V!$R:$R,MATCH(AF42,V!$L:$L,0)),"")</f>
        <v/>
      </c>
      <c r="AF42" s="407" t="str">
        <f t="shared" si="1"/>
        <v/>
      </c>
      <c r="AG42" s="406" t="str">
        <f>IFERROR(INDEX(V!$R:$R,MATCH(AH42,V!$L:$L,0)),"")</f>
        <v/>
      </c>
      <c r="AH42" s="407" t="str">
        <f t="shared" si="2"/>
        <v/>
      </c>
      <c r="AI42" s="406" t="str">
        <f>IFERROR(INDEX(V!$R:$R,MATCH(AJ42,V!$L:$L,0)),"")</f>
        <v/>
      </c>
      <c r="AJ42" s="407" t="str">
        <f t="shared" si="3"/>
        <v/>
      </c>
      <c r="AK42" s="406" t="str">
        <f>IFERROR(INDEX(V!$R:$R,MATCH(AL42,V!$L:$L,0)),"")</f>
        <v/>
      </c>
      <c r="AL42" s="407" t="str">
        <f t="shared" si="4"/>
        <v/>
      </c>
      <c r="AM42" s="406" t="str">
        <f>IFERROR(INDEX(V!$R:$R,MATCH(AN42,V!$L:$L,0)),"")</f>
        <v/>
      </c>
      <c r="AN42" s="407" t="str">
        <f t="shared" si="5"/>
        <v/>
      </c>
      <c r="AO42" s="406" t="str">
        <f>IFERROR(INDEX(V!$R:$R,MATCH(AP42,V!$L:$L,0)),"")</f>
        <v/>
      </c>
      <c r="AP42" s="407" t="str">
        <f t="shared" si="6"/>
        <v/>
      </c>
    </row>
    <row r="43" spans="1:42" x14ac:dyDescent="0.2">
      <c r="A43" s="316">
        <v>2</v>
      </c>
      <c r="B43" s="488"/>
      <c r="C43" s="318"/>
      <c r="D43" s="319"/>
      <c r="E43" s="318"/>
      <c r="F43" s="318"/>
      <c r="G43" s="318"/>
      <c r="H43" s="317" t="str">
        <f>(IF(C43-D42&gt;0,1)+IF(E43-D44&gt;0,1)+IF(F43-D45&gt;0,1)+IF(G43-D46&gt;0,1))&amp;"-"&amp;(IF(C43-D42&lt;0,1)+IF(E43-D44&lt;0,1)+IF(F43-D45&lt;0,1)+IF(G43-D46&lt;0,1))</f>
        <v>0-0</v>
      </c>
      <c r="I43" s="279" t="str">
        <f t="shared" ref="I43:I46" si="10">IF(AND(B43&lt;&gt;"",R$41=TRUE),A$41&amp;RANK(S43,S$42:S$46,0)," ")</f>
        <v xml:space="preserve"> </v>
      </c>
      <c r="J43" s="489">
        <f>IF(AND(Q43=1,Q42=1,C43&gt;D42),1)+IF(AND(Q43=1,Q44=1,E43&gt;D44),1)+IF(AND(Q43=1,Q45=1,F43&gt;D45),1)+IF(AND(Q43=1,Q46=1,G43&gt;D46),1)+IF(AND(Q43=2,Q42=2,C43&gt;D42),1)+IF(AND(Q43=2,Q44=2,E43&gt;D44),1)+IF(AND(Q43=2,Q45=2,F43&gt;D45),1)+IF(AND(Q43=2,Q46=2,G43&gt;D46),1)+IF(AND(Q43=3,Q42=3,C43&gt;D42),1)+IF(AND(Q43=3,Q44=3,E43&gt;D44),1)+IF(AND(Q43=3,Q45=3,F43&gt;D45),1)+IF(AND(Q43=3,Q46=3,G43&gt;D46),1)</f>
        <v>0</v>
      </c>
      <c r="K43" s="483">
        <f>SUM(AND(T43=T42,C43&gt;D42),AND(T43=T44,E43&gt;D44),AND(T43=T45,F43&gt;D45),AND(T43=T46,G43&gt;D46))</f>
        <v>0</v>
      </c>
      <c r="L43" s="490">
        <f>IF(AND(Q43=1,Q42=1),C43-D42)+IF(AND(Q43=1,Q44=1),E43-D44)+IF(AND(Q43=1,Q45=1),F43-D45)+IF(AND(Q43=1,Q46=1),G43-D46)+IF(AND(Q43=2,Q42=2),C43-D42)+IF(AND(Q43=2,Q44=2),E43-D44)+IF(AND(Q43=2,Q45=2),F43-D45)+IF(AND(Q43=2,Q46=2),G43-D46)+IF(AND(Q43=3,Q42=3),C43-D42)+IF(AND(Q43=3,Q44=3),E43-D44)+IF(AND(Q43=3,Q45=3),F43-D45)+IF(AND(Q43=3,Q46=3),G43-D46)+IF(AND(Q43=4,Q42=4),C43-D42)+IF(AND(Q43=4,Q44=4),E43-D44)+IF(AND(Q43=4,Q45=4),F43-D45)+IF(AND(Q43=4,Q46=4),G43-D46)</f>
        <v>0</v>
      </c>
      <c r="M43" s="483">
        <f>SUM(AND(R43=R42,C43&gt;D42),AND(R43=R44,E43&gt;D44),AND(R43=R45,F43&gt;D45),AND(R43=R46,G43&gt;D46))</f>
        <v>0</v>
      </c>
      <c r="N43" s="537" t="str">
        <f>SUM(C43:G43)&amp;"-"&amp;SUM(D42:D46)</f>
        <v>0-0</v>
      </c>
      <c r="O43" s="538">
        <f>C43+E43+F43+G43-D42-D44-D45-D46</f>
        <v>0</v>
      </c>
      <c r="P43" s="485" t="e">
        <f>SUM(C43:G43,D42:D46)/SUM(D42:D46)</f>
        <v>#DIV/0!</v>
      </c>
      <c r="Q43" s="491">
        <f>VALUE(LEFT(H43,1))</f>
        <v>0</v>
      </c>
      <c r="R43" s="321">
        <f>Q43*100000+J43*10000+K43*1000+100*L43</f>
        <v>0</v>
      </c>
      <c r="S43" s="486">
        <f>R43+M43*0.1+IF(ISNONTEXT(B43),0,0.01)+0.0001*O43</f>
        <v>0</v>
      </c>
      <c r="T43" s="487" t="str">
        <f>Q43&amp;J43</f>
        <v>00</v>
      </c>
      <c r="U43" s="477"/>
      <c r="V43" s="477"/>
      <c r="W43" s="477"/>
      <c r="X43" s="477"/>
      <c r="Y43" s="477"/>
      <c r="Z43" s="477"/>
      <c r="AA43" s="477"/>
      <c r="AD43" s="405">
        <f t="shared" si="0"/>
        <v>0</v>
      </c>
      <c r="AE43" s="406" t="str">
        <f>IFERROR(INDEX(V!$R:$R,MATCH(AF43,V!$L:$L,0)),"")</f>
        <v/>
      </c>
      <c r="AF43" s="407" t="str">
        <f t="shared" si="1"/>
        <v/>
      </c>
      <c r="AG43" s="406" t="str">
        <f>IFERROR(INDEX(V!$R:$R,MATCH(AH43,V!$L:$L,0)),"")</f>
        <v/>
      </c>
      <c r="AH43" s="407" t="str">
        <f t="shared" si="2"/>
        <v/>
      </c>
      <c r="AI43" s="406" t="str">
        <f>IFERROR(INDEX(V!$R:$R,MATCH(AJ43,V!$L:$L,0)),"")</f>
        <v/>
      </c>
      <c r="AJ43" s="407" t="str">
        <f t="shared" si="3"/>
        <v/>
      </c>
      <c r="AK43" s="406" t="str">
        <f>IFERROR(INDEX(V!$R:$R,MATCH(AL43,V!$L:$L,0)),"")</f>
        <v/>
      </c>
      <c r="AL43" s="407" t="str">
        <f t="shared" si="4"/>
        <v/>
      </c>
      <c r="AM43" s="406" t="str">
        <f>IFERROR(INDEX(V!$R:$R,MATCH(AN43,V!$L:$L,0)),"")</f>
        <v/>
      </c>
      <c r="AN43" s="407" t="str">
        <f t="shared" si="5"/>
        <v/>
      </c>
      <c r="AO43" s="406" t="str">
        <f>IFERROR(INDEX(V!$R:$R,MATCH(AP43,V!$L:$L,0)),"")</f>
        <v/>
      </c>
      <c r="AP43" s="407" t="str">
        <f t="shared" si="6"/>
        <v/>
      </c>
    </row>
    <row r="44" spans="1:42" x14ac:dyDescent="0.2">
      <c r="A44" s="316">
        <v>3</v>
      </c>
      <c r="B44" s="488"/>
      <c r="C44" s="318"/>
      <c r="D44" s="492"/>
      <c r="E44" s="319"/>
      <c r="F44" s="318"/>
      <c r="G44" s="318"/>
      <c r="H44" s="317" t="str">
        <f>(IF(C44-E42&gt;0,1)+IF(D44-E43&gt;0,1)+IF(F44-E45&gt;0,1)+IF(G44-E46&gt;0,1))&amp;"-"&amp;(IF(C44-E42&lt;0,1)+IF(D44-E43&lt;0,1)+IF(F44-E45&lt;0,1)+IF(G44-E46&lt;0,1))</f>
        <v>0-0</v>
      </c>
      <c r="I44" s="279" t="str">
        <f t="shared" si="10"/>
        <v xml:space="preserve"> </v>
      </c>
      <c r="J44" s="489">
        <f>IF(AND(Q44=1,Q42=1,C44&gt;E42),1)+IF(AND(Q44=1,Q43=1,D44&gt;E43),1)+IF(AND(Q44=1,Q45=1,F44&gt;E45),1)+IF(AND(Q44=1,Q46=1,G44&gt;E46),1)+IF(AND(Q44=2,Q42=2,C44&gt;E42),1)+IF(AND(Q44=2,Q43=2,D44&gt;E43),1)+IF(AND(Q44=2,Q45=2,F44&gt;E45),1)+IF(AND(Q44=2,Q46=2,G44&gt;E46),1)+IF(AND(Q44=3,Q42=3,C44&gt;E42),1)+IF(AND(Q44=3,Q43=3,D44&gt;E43),1)+IF(AND(Q44=3,Q45=3,F44&gt;E45),1)+IF(AND(Q44=3,Q46=3,G44&gt;E46),1)</f>
        <v>0</v>
      </c>
      <c r="K44" s="483">
        <f>SUM(AND(T44=T42,C44&gt;E42),AND(T44=T43,D44&gt;E43),AND(T44=T45,F44&gt;E45),AND(T44=T46,G44&gt;E46))</f>
        <v>0</v>
      </c>
      <c r="L44" s="490">
        <f>IF(AND(Q44=1,Q42=1),C44-E42)+IF(AND(Q44=1,Q43=1),D44-E43)+IF(AND(Q44=1,Q45=1),F44-E45)+IF(AND(Q44=1,Q46=1),G44-E46)+IF(AND(Q44=2,Q42=2),C44-E42)+IF(AND(Q44=2,Q43=2),D44-E43)+IF(AND(Q44=2,Q45=2),F44-E45)+IF(AND(Q44=2,Q46=2),G44-E46)+IF(AND(Q44=3,Q42=3),C44-E42)+IF(AND(Q44=3,Q43=3),D44-E43)+IF(AND(Q44=3,Q45=3),F44-E45)+IF(AND(Q44=3,Q46=3),G44-E46)+IF(AND(Q44=4,Q42=4),C44-E42)+IF(AND(Q44=4,Q43=4),D44-E43)+IF(AND(Q44=4,Q45=4),F44-E45)+IF(AND(Q44=4,Q46=4),G44-E46)</f>
        <v>0</v>
      </c>
      <c r="M44" s="483">
        <f>SUM(AND(R44=R42,C44&gt;E42),AND(R44=R43,D44&gt;E43),AND(R44=R45,F44&gt;E45),AND(R44=R46,G44&gt;E46))</f>
        <v>0</v>
      </c>
      <c r="N44" s="537" t="str">
        <f>SUM(C44:G44)&amp;"-"&amp;SUM(E42:E46)</f>
        <v>0-0</v>
      </c>
      <c r="O44" s="538">
        <f>C44+D44+F44+G44-E42-E43-E45-E46</f>
        <v>0</v>
      </c>
      <c r="P44" s="485" t="e">
        <f>SUM(C44:G44,E42:E46)/SUM(E42:E46)</f>
        <v>#DIV/0!</v>
      </c>
      <c r="Q44" s="491">
        <f>VALUE(LEFT(H44,1))</f>
        <v>0</v>
      </c>
      <c r="R44" s="321">
        <f>Q44*100000+J44*10000+K44*1000+100*L44</f>
        <v>0</v>
      </c>
      <c r="S44" s="486">
        <f>R44+M44*0.1+IF(ISNONTEXT(B44),0,0.01)+0.0001*O44</f>
        <v>0</v>
      </c>
      <c r="T44" s="487" t="str">
        <f>Q44&amp;J44</f>
        <v>00</v>
      </c>
      <c r="U44" s="477"/>
      <c r="V44" s="477"/>
      <c r="W44" s="477"/>
      <c r="X44" s="477"/>
      <c r="Y44" s="477"/>
      <c r="Z44" s="477"/>
      <c r="AA44" s="477"/>
      <c r="AD44" s="405">
        <f t="shared" si="0"/>
        <v>0</v>
      </c>
      <c r="AE44" s="406" t="str">
        <f>IFERROR(INDEX(V!$R:$R,MATCH(AF44,V!$L:$L,0)),"")</f>
        <v/>
      </c>
      <c r="AF44" s="407" t="str">
        <f t="shared" si="1"/>
        <v/>
      </c>
      <c r="AG44" s="406" t="str">
        <f>IFERROR(INDEX(V!$R:$R,MATCH(AH44,V!$L:$L,0)),"")</f>
        <v/>
      </c>
      <c r="AH44" s="407" t="str">
        <f t="shared" si="2"/>
        <v/>
      </c>
      <c r="AI44" s="406" t="str">
        <f>IFERROR(INDEX(V!$R:$R,MATCH(AJ44,V!$L:$L,0)),"")</f>
        <v/>
      </c>
      <c r="AJ44" s="407" t="str">
        <f t="shared" si="3"/>
        <v/>
      </c>
      <c r="AK44" s="406" t="str">
        <f>IFERROR(INDEX(V!$R:$R,MATCH(AL44,V!$L:$L,0)),"")</f>
        <v/>
      </c>
      <c r="AL44" s="407" t="str">
        <f t="shared" si="4"/>
        <v/>
      </c>
      <c r="AM44" s="406" t="str">
        <f>IFERROR(INDEX(V!$R:$R,MATCH(AN44,V!$L:$L,0)),"")</f>
        <v/>
      </c>
      <c r="AN44" s="407" t="str">
        <f t="shared" si="5"/>
        <v/>
      </c>
      <c r="AO44" s="406" t="str">
        <f>IFERROR(INDEX(V!$R:$R,MATCH(AP44,V!$L:$L,0)),"")</f>
        <v/>
      </c>
      <c r="AP44" s="407" t="str">
        <f t="shared" si="6"/>
        <v/>
      </c>
    </row>
    <row r="45" spans="1:42" hidden="1" x14ac:dyDescent="0.2">
      <c r="A45" s="316">
        <v>4</v>
      </c>
      <c r="B45" s="493"/>
      <c r="C45" s="318"/>
      <c r="D45" s="492"/>
      <c r="E45" s="318"/>
      <c r="F45" s="319"/>
      <c r="G45" s="511"/>
      <c r="H45" s="317" t="str">
        <f>(IF(C45-F42&gt;0,1)+IF(D45-F43&gt;0,1)+IF(E45-F44&gt;0,1)+IF(G45-F46&gt;0,1))&amp;"-"&amp;(IF(C45-F42&lt;0,1)+IF(D45-F43&lt;0,1)+IF(E45-F44&lt;0,1)+IF(G45-F46&lt;0,1))</f>
        <v>0-0</v>
      </c>
      <c r="I45" s="279" t="str">
        <f t="shared" si="10"/>
        <v xml:space="preserve"> </v>
      </c>
      <c r="J45" s="489">
        <f>IF(AND(Q45=1,Q42=1,C45&gt;F42),1)+IF(AND(Q45=1,Q43=1,D45&gt;F43),1)+IF(AND(Q45=1,Q44=1,E45&gt;F44),1)+IF(AND(Q45=1,Q46=1,G45&gt;F46),1)+IF(AND(Q45=2,Q42=2,C45&gt;F42),1)+IF(AND(Q45=2,Q43=2,D45&gt;F43),1)+IF(AND(Q45=2,Q44=2,E45&gt;F44),1)+IF(AND(Q45=2,Q46=2,G45&gt;F46),1)+IF(AND(Q45=3,Q42=3,C45&gt;F42),1)+IF(AND(Q45=3,Q43=3,D45&gt;F43),1)+IF(AND(Q45=3,Q44=3,E45&gt;F44),1)+IF(AND(Q45=3,Q46=3,G45&gt;F46),1)</f>
        <v>0</v>
      </c>
      <c r="K45" s="483">
        <f>SUM(AND(T45=T42,C45&gt;F42),AND(T45=T43,D45&gt;F43),AND(T45=T44,E45&gt;F44),AND(T45=T46,G45&gt;F46))</f>
        <v>0</v>
      </c>
      <c r="L45" s="490">
        <f>IF(AND(Q45=1,Q42=1),C45-F42)+IF(AND(Q45=1,Q43=1),D45-F43)+IF(AND(Q45=1,Q44=1),E45-F44)+IF(AND(Q45=1,Q46=1),G45-F46)+IF(AND(Q45=2,Q42=2),C45-F42)+IF(AND(Q45=2,Q43=2),D45-F43)+IF(AND(Q45=2,Q44=2),E45-F44)+IF(AND(Q45=2,Q46=2),G45-F46)+IF(AND(Q45=3,Q42=3),C45-F42)+IF(AND(Q45=3,Q43=3),D45-F43)+IF(AND(Q45=3,Q44=3),E45-F44)+IF(AND(Q45=3,Q46=3),G45-F46)+IF(AND(Q45=4,Q42=4),C45-F42)+IF(AND(Q45=4,Q43=4),D45-F43)+IF(AND(Q45=4,Q44=4),E45-F44)+IF(AND(Q45=4,Q46=4),G45-F46)</f>
        <v>0</v>
      </c>
      <c r="M45" s="483">
        <f>SUM(AND(R45=R42,C45&gt;F42),AND(R45=R43,D45&gt;F43),AND(R45=R44,E45&gt;F44),AND(R45=R46,G45&gt;F46))</f>
        <v>0</v>
      </c>
      <c r="N45" s="537" t="str">
        <f>SUM(C45:G45)&amp;"-"&amp;SUM(F42:F46)</f>
        <v>0-0</v>
      </c>
      <c r="O45" s="538">
        <f>C45+D45+E45+G45-F42-F43-F44-F46</f>
        <v>0</v>
      </c>
      <c r="P45" s="485" t="e">
        <f>SUM(C45:G45,F42:F46)/SUM(F42:F46)</f>
        <v>#DIV/0!</v>
      </c>
      <c r="Q45" s="491">
        <f>VALUE(LEFT(H45,1))</f>
        <v>0</v>
      </c>
      <c r="R45" s="321">
        <f>Q45*100000+J45*10000+K45*1000+100*L45</f>
        <v>0</v>
      </c>
      <c r="S45" s="486">
        <f>R45+M45*0.1+IF(ISNONTEXT(B45),0,0.01)+0.0001*O45</f>
        <v>0</v>
      </c>
      <c r="T45" s="487" t="str">
        <f>Q45&amp;J45</f>
        <v>00</v>
      </c>
      <c r="U45" s="477"/>
      <c r="V45" s="477"/>
      <c r="W45" s="477"/>
      <c r="X45" s="477"/>
      <c r="Y45" s="477"/>
      <c r="Z45" s="477"/>
      <c r="AA45" s="477"/>
      <c r="AB45" s="477"/>
      <c r="AC45" s="477"/>
      <c r="AD45" s="477"/>
      <c r="AE45" s="477"/>
      <c r="AF45" s="477"/>
      <c r="AG45" s="477"/>
      <c r="AH45" s="477"/>
      <c r="AI45" s="477"/>
      <c r="AJ45" s="477"/>
    </row>
    <row r="46" spans="1:42" hidden="1" x14ac:dyDescent="0.2">
      <c r="A46" s="316">
        <v>5</v>
      </c>
      <c r="B46" s="493"/>
      <c r="C46" s="318"/>
      <c r="D46" s="318"/>
      <c r="E46" s="318"/>
      <c r="F46" s="318"/>
      <c r="G46" s="319"/>
      <c r="H46" s="317" t="str">
        <f>(IF(C46-G42&gt;0,1)+IF(D46-G43&gt;0,1)+IF(E46-G44&gt;0,1)+IF(F46-G45&gt;0,1))&amp;"-"&amp;(IF(C46-G42&lt;0,1)+IF(D46-G43&lt;0,1)+IF(E46-G44&lt;0,1)+IF(F46-G45&lt;0,1))</f>
        <v>0-0</v>
      </c>
      <c r="I46" s="279" t="str">
        <f t="shared" si="10"/>
        <v xml:space="preserve"> </v>
      </c>
      <c r="J46" s="489">
        <f>IF(AND(Q46=1,Q42=1,C46&gt;G42),1)+IF(AND(Q46=1,Q43=1,D46&gt;G43),1)+IF(AND(Q46=1,Q44=1,E46&gt;G44),1)+IF(AND(Q46=1,Q45=1,F46&gt;G45),1)+IF(AND(Q46=2,Q42=2,C46&gt;G42),1)+IF(AND(Q46=2,Q43=2,D46&gt;G43),1)+IF(AND(Q46=2,Q44=2,E46&gt;G44),1)+IF(AND(Q46=2,Q45=2,F46&gt;G45),1)+IF(AND(Q46=3,Q42=3,C46&gt;G42),1)+IF(AND(Q46=3,Q43=3,D46&gt;G43),1)+IF(AND(Q46=3,Q44=3,E46&gt;G44),1)+IF(AND(Q46=3,Q45=3,F46&gt;G45),1)</f>
        <v>0</v>
      </c>
      <c r="K46" s="483">
        <f>SUM(AND(T46=T42,C46&gt;G42),AND(T46=T43,D46&gt;G43),AND(T46=T44,E46&gt;G44),AND(T46=T45,F46&gt;G45))</f>
        <v>0</v>
      </c>
      <c r="L46" s="490">
        <f>IF(AND(Q46=1,Q42=1),C46-G42)+IF(AND(Q46=1,Q43=1),D46-G43)+IF(AND(Q46=1,Q44=1),E46-G44)+IF(AND(Q46=1,Q45=1),F46-G45)+IF(AND(Q46=2,Q42=2),C46-G42)+IF(AND(Q46=2,Q43=2),D46-G43)+IF(AND(Q46=2,Q44=2),E46-G44)+IF(AND(Q46=2,Q45=2),F46-G45)+IF(AND(Q46=3,Q42=3),C46-G42)+IF(AND(Q46=3,Q43=3),D46-G43)+IF(AND(Q46=3,Q44=3),E46-G44)+IF(AND(Q46=3,Q45=3),F46-G45)+IF(AND(Q46=4,Q42=4),C46-G42)+IF(AND(Q46=4,Q43=4),D46-G43)+IF(AND(Q46=4,Q44=4),E46-G44)+IF(AND(Q46=4,Q45=4),F46-G45)</f>
        <v>0</v>
      </c>
      <c r="M46" s="483">
        <f>SUM(AND(R46=R42,C46&gt;G42),AND(R46=R43,D46&gt;G43),AND(R46=R44,E46&gt;G44),AND(R46=R45,F46&gt;G45))</f>
        <v>0</v>
      </c>
      <c r="N46" s="537" t="str">
        <f>SUM(C46:G46)&amp;"-"&amp;SUM(G42:G46)</f>
        <v>0-0</v>
      </c>
      <c r="O46" s="538">
        <f>C46+D46+E46+F46-G42-G43-G44-G45</f>
        <v>0</v>
      </c>
      <c r="P46" s="485" t="e">
        <f>SUM(C46:G46,G42:G46)/SUM(G42:G46)</f>
        <v>#DIV/0!</v>
      </c>
      <c r="Q46" s="491">
        <f>VALUE(LEFT(H46,1))</f>
        <v>0</v>
      </c>
      <c r="R46" s="321">
        <f>Q46*100000+J46*10000+K46*1000+100*L46</f>
        <v>0</v>
      </c>
      <c r="S46" s="486">
        <f>R46+M46*0.1+IF(ISNONTEXT(B46),0,0.01)+0.0001*O46</f>
        <v>0</v>
      </c>
      <c r="T46" s="487" t="str">
        <f>Q46&amp;J46</f>
        <v>00</v>
      </c>
      <c r="U46" s="477"/>
      <c r="V46" s="477"/>
      <c r="W46" s="477"/>
      <c r="X46" s="477"/>
      <c r="Y46" s="477"/>
      <c r="Z46" s="477"/>
      <c r="AA46" s="477"/>
      <c r="AB46" s="477"/>
      <c r="AC46" s="477"/>
      <c r="AD46" s="477"/>
      <c r="AE46" s="477"/>
      <c r="AF46" s="477"/>
      <c r="AG46" s="477"/>
      <c r="AH46" s="477"/>
      <c r="AI46" s="477"/>
      <c r="AJ46" s="477"/>
    </row>
    <row r="47" spans="1:42" hidden="1" x14ac:dyDescent="0.2">
      <c r="A47" s="494"/>
      <c r="B47" s="495"/>
      <c r="C47" s="496"/>
      <c r="D47" s="497"/>
      <c r="E47" s="496"/>
      <c r="F47" s="498"/>
      <c r="G47" s="499"/>
      <c r="H47" s="500"/>
      <c r="I47" s="512"/>
      <c r="J47" s="477"/>
      <c r="K47" s="477"/>
      <c r="L47" s="477"/>
      <c r="M47" s="477"/>
      <c r="N47" s="539"/>
      <c r="O47" s="539"/>
      <c r="P47" s="477"/>
      <c r="Q47" s="477"/>
      <c r="R47" s="502" t="s">
        <v>264</v>
      </c>
      <c r="S47" s="477"/>
      <c r="T47" s="477"/>
      <c r="U47" s="477"/>
      <c r="V47" s="477"/>
      <c r="W47" s="477"/>
      <c r="X47" s="477"/>
      <c r="Y47" s="477"/>
      <c r="Z47" s="477"/>
      <c r="AA47" s="477"/>
      <c r="AB47" s="477"/>
      <c r="AC47" s="477"/>
      <c r="AD47" s="477"/>
      <c r="AE47" s="477"/>
      <c r="AF47" s="477"/>
      <c r="AG47" s="477"/>
      <c r="AH47" s="477"/>
      <c r="AI47" s="477"/>
      <c r="AJ47" s="477"/>
    </row>
    <row r="48" spans="1:42" hidden="1" x14ac:dyDescent="0.2">
      <c r="A48" s="477"/>
      <c r="B48" s="477"/>
      <c r="C48" s="477"/>
      <c r="D48" s="477"/>
      <c r="E48" s="477"/>
      <c r="F48" s="477"/>
      <c r="G48" s="477"/>
      <c r="H48" s="477"/>
      <c r="I48" s="477"/>
      <c r="J48" s="477"/>
      <c r="K48" s="477"/>
      <c r="L48" s="477"/>
      <c r="M48" s="477"/>
      <c r="N48" s="477"/>
      <c r="O48" s="477"/>
      <c r="P48" s="477"/>
      <c r="Q48" s="477"/>
      <c r="R48" s="477"/>
      <c r="S48" s="477"/>
      <c r="T48" s="477"/>
      <c r="U48" s="477"/>
      <c r="V48" s="477"/>
      <c r="W48" s="477"/>
      <c r="X48" s="477"/>
      <c r="Y48" s="477"/>
      <c r="Z48" s="477"/>
      <c r="AA48" s="477"/>
      <c r="AB48" s="477"/>
      <c r="AC48" s="477"/>
      <c r="AD48" s="477"/>
      <c r="AE48" s="477"/>
      <c r="AF48" s="477"/>
      <c r="AG48" s="477"/>
      <c r="AH48" s="477"/>
      <c r="AI48" s="477"/>
      <c r="AJ48" s="477"/>
    </row>
    <row r="49" spans="1:36" hidden="1" x14ac:dyDescent="0.2">
      <c r="A49" s="477"/>
      <c r="B49" s="477"/>
      <c r="C49" s="477"/>
      <c r="D49" s="477"/>
      <c r="E49" s="477"/>
      <c r="F49" s="477"/>
      <c r="G49" s="477"/>
      <c r="H49" s="477"/>
      <c r="I49" s="477"/>
      <c r="J49" s="477"/>
      <c r="K49" s="477"/>
      <c r="L49" s="477"/>
      <c r="M49" s="477"/>
      <c r="N49" s="477"/>
      <c r="O49" s="477"/>
      <c r="P49" s="477"/>
      <c r="Q49" s="477"/>
      <c r="R49" s="477"/>
      <c r="S49" s="477"/>
      <c r="T49" s="477"/>
      <c r="U49" s="477"/>
      <c r="V49" s="477"/>
      <c r="W49" s="477"/>
      <c r="X49" s="477"/>
      <c r="Y49" s="477"/>
      <c r="Z49" s="477"/>
      <c r="AA49" s="477"/>
      <c r="AB49" s="477"/>
      <c r="AC49" s="477"/>
      <c r="AD49" s="477"/>
      <c r="AE49" s="477"/>
      <c r="AF49" s="477"/>
      <c r="AG49" s="477"/>
      <c r="AH49" s="477"/>
      <c r="AI49" s="477"/>
      <c r="AJ49" s="477"/>
    </row>
    <row r="50" spans="1:36" hidden="1" x14ac:dyDescent="0.2">
      <c r="A50" s="477"/>
      <c r="B50" s="477"/>
      <c r="C50" s="477"/>
      <c r="D50" s="477"/>
      <c r="E50" s="477"/>
      <c r="F50" s="477"/>
      <c r="G50" s="477"/>
      <c r="H50" s="477"/>
      <c r="I50" s="477"/>
      <c r="J50" s="477"/>
      <c r="K50" s="477"/>
      <c r="L50" s="477"/>
      <c r="M50" s="477"/>
      <c r="N50" s="477"/>
      <c r="O50" s="477"/>
      <c r="P50" s="477"/>
      <c r="Q50" s="477"/>
      <c r="R50" s="477"/>
      <c r="S50" s="477"/>
      <c r="T50" s="477"/>
      <c r="U50" s="477"/>
      <c r="V50" s="477"/>
      <c r="W50" s="477"/>
      <c r="X50" s="477"/>
      <c r="Y50" s="477"/>
      <c r="Z50" s="477"/>
      <c r="AA50" s="477"/>
      <c r="AB50" s="477"/>
      <c r="AC50" s="477"/>
      <c r="AD50" s="477"/>
      <c r="AE50" s="477"/>
      <c r="AF50" s="477"/>
      <c r="AG50" s="477"/>
      <c r="AH50" s="477"/>
      <c r="AI50" s="477"/>
      <c r="AJ50" s="477"/>
    </row>
    <row r="51" spans="1:36" hidden="1" x14ac:dyDescent="0.2">
      <c r="A51" s="477"/>
      <c r="B51" s="477"/>
      <c r="C51" s="477"/>
      <c r="D51" s="477"/>
      <c r="E51" s="477"/>
      <c r="F51" s="477"/>
      <c r="G51" s="477"/>
      <c r="H51" s="477"/>
      <c r="I51" s="477"/>
      <c r="J51" s="477"/>
      <c r="K51" s="477"/>
      <c r="L51" s="477"/>
      <c r="M51" s="477"/>
      <c r="N51" s="477"/>
      <c r="O51" s="477"/>
      <c r="P51" s="477"/>
      <c r="Q51" s="477"/>
      <c r="R51" s="477"/>
      <c r="S51" s="477"/>
      <c r="T51" s="477"/>
      <c r="U51" s="477"/>
      <c r="V51" s="477"/>
      <c r="W51" s="477"/>
      <c r="X51" s="477"/>
      <c r="Y51" s="477"/>
      <c r="Z51" s="477"/>
      <c r="AA51" s="477"/>
      <c r="AB51" s="477"/>
      <c r="AC51" s="477"/>
      <c r="AD51" s="477"/>
      <c r="AE51" s="477"/>
      <c r="AF51" s="477"/>
      <c r="AG51" s="477"/>
      <c r="AH51" s="477"/>
      <c r="AI51" s="477"/>
      <c r="AJ51" s="477"/>
    </row>
    <row r="52" spans="1:36" hidden="1" x14ac:dyDescent="0.2">
      <c r="A52" s="477"/>
      <c r="B52" s="477"/>
      <c r="C52" s="477"/>
      <c r="D52" s="477"/>
      <c r="E52" s="477"/>
      <c r="F52" s="477"/>
      <c r="G52" s="477"/>
      <c r="H52" s="477"/>
      <c r="I52" s="477"/>
      <c r="J52" s="477"/>
      <c r="K52" s="477"/>
      <c r="L52" s="477"/>
      <c r="M52" s="477"/>
      <c r="N52" s="477"/>
      <c r="O52" s="477"/>
      <c r="P52" s="477"/>
      <c r="Q52" s="477"/>
      <c r="R52" s="477"/>
      <c r="S52" s="477"/>
      <c r="T52" s="477"/>
      <c r="U52" s="477"/>
      <c r="V52" s="477"/>
      <c r="W52" s="477"/>
      <c r="X52" s="477"/>
      <c r="Y52" s="477"/>
      <c r="Z52" s="477"/>
      <c r="AA52" s="477"/>
      <c r="AB52" s="477"/>
      <c r="AC52" s="477"/>
      <c r="AD52" s="477"/>
      <c r="AE52" s="477"/>
      <c r="AF52" s="477"/>
      <c r="AG52" s="477"/>
      <c r="AH52" s="477"/>
      <c r="AI52" s="477"/>
      <c r="AJ52" s="477"/>
    </row>
    <row r="53" spans="1:36" hidden="1" x14ac:dyDescent="0.2">
      <c r="A53" s="477"/>
      <c r="B53" s="477"/>
      <c r="C53" s="477"/>
      <c r="D53" s="477"/>
      <c r="E53" s="477"/>
      <c r="F53" s="477"/>
      <c r="G53" s="477"/>
      <c r="H53" s="477"/>
      <c r="I53" s="477"/>
      <c r="J53" s="477"/>
      <c r="K53" s="477"/>
      <c r="L53" s="477"/>
      <c r="M53" s="477"/>
      <c r="N53" s="477"/>
      <c r="O53" s="477"/>
      <c r="P53" s="477"/>
      <c r="Q53" s="477"/>
      <c r="R53" s="477"/>
      <c r="S53" s="477"/>
      <c r="T53" s="477"/>
      <c r="U53" s="477"/>
      <c r="V53" s="477"/>
      <c r="W53" s="477"/>
      <c r="X53" s="477"/>
      <c r="Y53" s="477"/>
      <c r="Z53" s="477"/>
      <c r="AA53" s="477"/>
      <c r="AB53" s="477"/>
      <c r="AC53" s="477"/>
      <c r="AD53" s="477"/>
      <c r="AE53" s="477"/>
      <c r="AF53" s="477"/>
      <c r="AG53" s="477"/>
      <c r="AH53" s="477"/>
      <c r="AI53" s="477"/>
      <c r="AJ53" s="477"/>
    </row>
    <row r="54" spans="1:36" hidden="1" x14ac:dyDescent="0.2">
      <c r="A54" s="477"/>
      <c r="B54" s="477"/>
      <c r="C54" s="477"/>
      <c r="D54" s="477"/>
      <c r="E54" s="477"/>
      <c r="F54" s="477"/>
      <c r="G54" s="477"/>
      <c r="H54" s="477"/>
      <c r="I54" s="477"/>
      <c r="J54" s="477"/>
      <c r="K54" s="477"/>
      <c r="L54" s="477"/>
      <c r="M54" s="477"/>
      <c r="N54" s="477"/>
      <c r="O54" s="477"/>
      <c r="P54" s="477"/>
      <c r="Q54" s="477"/>
      <c r="R54" s="477"/>
      <c r="S54" s="477"/>
      <c r="T54" s="477"/>
      <c r="U54" s="477"/>
      <c r="V54" s="477"/>
      <c r="W54" s="477"/>
      <c r="X54" s="477"/>
      <c r="Y54" s="477"/>
      <c r="Z54" s="477"/>
      <c r="AA54" s="477"/>
      <c r="AB54" s="477"/>
      <c r="AC54" s="477"/>
      <c r="AD54" s="477"/>
      <c r="AE54" s="477"/>
      <c r="AF54" s="477"/>
      <c r="AG54" s="477"/>
      <c r="AH54" s="477"/>
      <c r="AI54" s="477"/>
      <c r="AJ54" s="477"/>
    </row>
    <row r="55" spans="1:36" hidden="1" x14ac:dyDescent="0.2">
      <c r="A55" s="477"/>
      <c r="B55" s="477"/>
      <c r="C55" s="477"/>
      <c r="D55" s="477"/>
      <c r="E55" s="477"/>
      <c r="F55" s="477"/>
      <c r="G55" s="477"/>
      <c r="H55" s="477"/>
      <c r="I55" s="477"/>
      <c r="J55" s="477"/>
      <c r="K55" s="477"/>
      <c r="L55" s="477"/>
      <c r="M55" s="477"/>
      <c r="N55" s="477"/>
      <c r="O55" s="477"/>
      <c r="P55" s="477"/>
      <c r="Q55" s="477"/>
      <c r="R55" s="477"/>
      <c r="S55" s="477"/>
      <c r="T55" s="477"/>
      <c r="U55" s="477"/>
      <c r="V55" s="477"/>
      <c r="W55" s="477"/>
      <c r="X55" s="477"/>
      <c r="Y55" s="477"/>
      <c r="Z55" s="477"/>
      <c r="AA55" s="477"/>
      <c r="AB55" s="477"/>
      <c r="AC55" s="477"/>
      <c r="AD55" s="477"/>
      <c r="AE55" s="477"/>
      <c r="AF55" s="477"/>
      <c r="AG55" s="477"/>
      <c r="AH55" s="477"/>
      <c r="AI55" s="477"/>
      <c r="AJ55" s="477"/>
    </row>
    <row r="56" spans="1:36" hidden="1" x14ac:dyDescent="0.2">
      <c r="A56" s="477"/>
      <c r="B56" s="477"/>
      <c r="C56" s="477"/>
      <c r="D56" s="477"/>
      <c r="E56" s="477"/>
      <c r="F56" s="477"/>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D56" s="477"/>
      <c r="AE56" s="477"/>
      <c r="AF56" s="477"/>
      <c r="AG56" s="477"/>
      <c r="AH56" s="477"/>
      <c r="AI56" s="477"/>
      <c r="AJ56" s="477"/>
    </row>
    <row r="57" spans="1:36" hidden="1" x14ac:dyDescent="0.2">
      <c r="A57" s="477"/>
      <c r="B57" s="477"/>
      <c r="C57" s="477"/>
      <c r="D57" s="477"/>
      <c r="E57" s="477"/>
      <c r="F57" s="477"/>
      <c r="G57" s="477"/>
      <c r="H57" s="477"/>
      <c r="I57" s="477"/>
      <c r="J57" s="477"/>
      <c r="K57" s="477"/>
      <c r="L57" s="477"/>
      <c r="M57" s="477"/>
      <c r="N57" s="477"/>
      <c r="O57" s="477"/>
      <c r="P57" s="477"/>
      <c r="Q57" s="477"/>
      <c r="R57" s="477"/>
      <c r="S57" s="477"/>
      <c r="T57" s="477"/>
      <c r="U57" s="477"/>
      <c r="V57" s="477"/>
      <c r="W57" s="477"/>
      <c r="X57" s="477"/>
      <c r="Y57" s="477"/>
      <c r="Z57" s="477"/>
      <c r="AA57" s="477"/>
      <c r="AB57" s="477"/>
      <c r="AC57" s="477"/>
      <c r="AD57" s="477"/>
      <c r="AE57" s="477"/>
      <c r="AF57" s="477"/>
      <c r="AG57" s="477"/>
      <c r="AH57" s="477"/>
      <c r="AI57" s="477"/>
      <c r="AJ57" s="477"/>
    </row>
    <row r="58" spans="1:36" hidden="1" x14ac:dyDescent="0.2">
      <c r="A58" s="477"/>
      <c r="B58" s="477"/>
      <c r="C58" s="477"/>
      <c r="D58" s="477"/>
      <c r="E58" s="477"/>
      <c r="F58" s="477"/>
      <c r="G58" s="477"/>
      <c r="H58" s="477"/>
      <c r="I58" s="477"/>
      <c r="J58" s="477"/>
      <c r="K58" s="477"/>
      <c r="L58" s="477"/>
      <c r="M58" s="477"/>
      <c r="N58" s="477"/>
      <c r="O58" s="477"/>
      <c r="P58" s="477"/>
      <c r="Q58" s="477"/>
      <c r="R58" s="477"/>
      <c r="S58" s="477"/>
      <c r="T58" s="477"/>
      <c r="U58" s="477"/>
      <c r="V58" s="477"/>
      <c r="W58" s="477"/>
      <c r="X58" s="477"/>
      <c r="Y58" s="477"/>
      <c r="Z58" s="477"/>
      <c r="AA58" s="477"/>
      <c r="AB58" s="477"/>
      <c r="AC58" s="477"/>
      <c r="AD58" s="477"/>
      <c r="AE58" s="477"/>
      <c r="AF58" s="477"/>
      <c r="AG58" s="477"/>
      <c r="AH58" s="477"/>
      <c r="AI58" s="477"/>
      <c r="AJ58" s="477"/>
    </row>
    <row r="59" spans="1:36" hidden="1" x14ac:dyDescent="0.2">
      <c r="A59" s="477"/>
      <c r="B59" s="477"/>
      <c r="C59" s="477"/>
      <c r="D59" s="477"/>
      <c r="E59" s="477"/>
      <c r="F59" s="477"/>
      <c r="G59" s="477"/>
      <c r="H59" s="477"/>
      <c r="I59" s="477"/>
      <c r="J59" s="477"/>
      <c r="K59" s="477"/>
      <c r="L59" s="477"/>
      <c r="M59" s="477"/>
      <c r="N59" s="477"/>
      <c r="O59" s="477"/>
      <c r="P59" s="477"/>
      <c r="Q59" s="477"/>
      <c r="R59" s="477"/>
      <c r="S59" s="477"/>
      <c r="T59" s="477"/>
      <c r="U59" s="477"/>
      <c r="V59" s="477"/>
      <c r="W59" s="477"/>
      <c r="X59" s="477"/>
      <c r="Y59" s="477"/>
      <c r="Z59" s="477"/>
      <c r="AA59" s="477"/>
      <c r="AB59" s="477"/>
      <c r="AC59" s="477"/>
      <c r="AD59" s="477"/>
      <c r="AE59" s="477"/>
      <c r="AF59" s="477"/>
      <c r="AG59" s="477"/>
      <c r="AH59" s="477"/>
      <c r="AI59" s="477"/>
      <c r="AJ59" s="477"/>
    </row>
    <row r="60" spans="1:36" hidden="1" x14ac:dyDescent="0.2">
      <c r="A60" s="477"/>
      <c r="B60" s="477"/>
      <c r="C60" s="477"/>
      <c r="D60" s="477"/>
      <c r="E60" s="477"/>
      <c r="F60" s="477"/>
      <c r="G60" s="477"/>
      <c r="H60" s="477"/>
      <c r="I60" s="477"/>
      <c r="J60" s="477"/>
      <c r="K60" s="477"/>
      <c r="L60" s="477"/>
      <c r="M60" s="477"/>
      <c r="N60" s="477"/>
      <c r="O60" s="477"/>
      <c r="P60" s="477"/>
      <c r="Q60" s="477"/>
      <c r="R60" s="477"/>
      <c r="S60" s="477"/>
      <c r="T60" s="477"/>
      <c r="U60" s="477"/>
      <c r="V60" s="477"/>
      <c r="W60" s="477"/>
      <c r="X60" s="477"/>
      <c r="Y60" s="477"/>
      <c r="Z60" s="477"/>
      <c r="AA60" s="477"/>
      <c r="AB60" s="477"/>
      <c r="AC60" s="477"/>
      <c r="AD60" s="477"/>
      <c r="AE60" s="477"/>
      <c r="AF60" s="477"/>
      <c r="AG60" s="477"/>
      <c r="AH60" s="477"/>
      <c r="AI60" s="477"/>
      <c r="AJ60" s="477"/>
    </row>
    <row r="61" spans="1:36" x14ac:dyDescent="0.2">
      <c r="A61" s="477"/>
      <c r="B61" s="477"/>
      <c r="C61" s="477"/>
      <c r="D61" s="477"/>
      <c r="E61" s="477"/>
      <c r="F61" s="477"/>
      <c r="G61" s="477"/>
      <c r="H61" s="477"/>
      <c r="I61" s="477"/>
      <c r="J61" s="477"/>
      <c r="K61" s="477"/>
      <c r="L61" s="477"/>
      <c r="M61" s="477"/>
      <c r="N61" s="477"/>
      <c r="O61" s="477"/>
      <c r="P61" s="477"/>
      <c r="Q61" s="477"/>
      <c r="R61" s="477"/>
      <c r="S61" s="477"/>
      <c r="T61" s="477"/>
    </row>
    <row r="62" spans="1:36" x14ac:dyDescent="0.2">
      <c r="A62" s="79"/>
      <c r="B62" s="322" t="s">
        <v>171</v>
      </c>
      <c r="C62" s="283" t="s">
        <v>175</v>
      </c>
      <c r="D62" s="445"/>
      <c r="E62" s="79"/>
      <c r="F62" s="62"/>
      <c r="G62" s="79"/>
      <c r="H62" s="79"/>
      <c r="I62" s="79"/>
      <c r="J62" s="79"/>
      <c r="K62" s="62"/>
      <c r="L62" s="79"/>
      <c r="M62" s="62"/>
      <c r="N62" s="79"/>
      <c r="O62" s="299"/>
      <c r="P62" s="62"/>
      <c r="Q62" s="62"/>
      <c r="R62" s="62"/>
      <c r="S62" s="62"/>
      <c r="T62" s="62"/>
    </row>
    <row r="63" spans="1:36" x14ac:dyDescent="0.2">
      <c r="A63" s="79"/>
      <c r="B63" s="322" t="s">
        <v>174</v>
      </c>
      <c r="C63" s="283" t="s">
        <v>191</v>
      </c>
      <c r="D63" s="79"/>
      <c r="E63" s="79"/>
      <c r="F63" s="62"/>
      <c r="G63" s="79"/>
      <c r="H63" s="79"/>
      <c r="I63" s="79"/>
      <c r="J63" s="79"/>
      <c r="K63" s="62"/>
      <c r="L63" s="79"/>
      <c r="M63" s="62"/>
      <c r="N63" s="79"/>
      <c r="O63" s="299"/>
      <c r="P63" s="62"/>
      <c r="Q63" s="62"/>
      <c r="R63" s="62"/>
      <c r="S63" s="62"/>
      <c r="T63" s="62"/>
    </row>
    <row r="64" spans="1:36" x14ac:dyDescent="0.2">
      <c r="A64" s="79"/>
      <c r="B64" s="322" t="s">
        <v>177</v>
      </c>
      <c r="C64" s="283" t="s">
        <v>183</v>
      </c>
      <c r="D64" s="79"/>
      <c r="E64" s="79"/>
      <c r="F64" s="62"/>
      <c r="G64" s="79"/>
      <c r="H64" s="79"/>
      <c r="I64" s="79"/>
      <c r="J64" s="79"/>
      <c r="K64" s="62"/>
      <c r="L64" s="79"/>
      <c r="M64" s="62"/>
      <c r="N64" s="79"/>
      <c r="O64" s="299"/>
      <c r="P64" s="62"/>
      <c r="Q64" s="62"/>
      <c r="R64" s="62"/>
      <c r="S64" s="62"/>
      <c r="T64" s="62"/>
    </row>
    <row r="65" spans="1:20" ht="12.75" hidden="1" customHeight="1" x14ac:dyDescent="0.2">
      <c r="A65" s="79"/>
      <c r="B65" s="79"/>
      <c r="C65" s="79"/>
      <c r="D65" s="79"/>
      <c r="E65" s="79"/>
      <c r="F65" s="79"/>
      <c r="G65" s="79"/>
      <c r="H65" s="79"/>
      <c r="I65" s="79"/>
      <c r="J65" s="79"/>
      <c r="K65" s="62"/>
      <c r="L65" s="79"/>
      <c r="M65" s="62"/>
      <c r="N65" s="79"/>
      <c r="O65" s="299"/>
      <c r="P65" s="62"/>
      <c r="Q65" s="62"/>
      <c r="R65" s="62"/>
      <c r="S65" s="62"/>
      <c r="T65" s="62"/>
    </row>
    <row r="66" spans="1:20" ht="12.75" hidden="1" customHeight="1" x14ac:dyDescent="0.2">
      <c r="A66" s="79"/>
      <c r="B66" s="322" t="s">
        <v>171</v>
      </c>
      <c r="C66" s="283" t="s">
        <v>184</v>
      </c>
      <c r="D66" s="283" t="s">
        <v>183</v>
      </c>
      <c r="E66" s="79"/>
      <c r="F66" s="79"/>
      <c r="G66" s="79"/>
      <c r="H66" s="79"/>
      <c r="I66" s="79"/>
      <c r="J66" s="79"/>
      <c r="K66" s="62"/>
      <c r="L66" s="79"/>
      <c r="M66" s="62"/>
      <c r="N66" s="79"/>
      <c r="O66" s="299"/>
      <c r="P66" s="62"/>
      <c r="Q66" s="62"/>
      <c r="R66" s="62"/>
      <c r="S66" s="62"/>
      <c r="T66" s="62"/>
    </row>
    <row r="67" spans="1:20" ht="12.75" hidden="1" customHeight="1" x14ac:dyDescent="0.2">
      <c r="A67" s="79"/>
      <c r="B67" s="322" t="s">
        <v>174</v>
      </c>
      <c r="C67" s="283" t="s">
        <v>175</v>
      </c>
      <c r="D67" s="283" t="s">
        <v>173</v>
      </c>
      <c r="E67" s="79"/>
      <c r="F67" s="79"/>
      <c r="G67" s="79"/>
      <c r="H67" s="79"/>
      <c r="I67" s="79"/>
      <c r="J67" s="79"/>
      <c r="K67" s="62"/>
      <c r="L67" s="79"/>
      <c r="M67" s="62"/>
      <c r="N67" s="79"/>
      <c r="O67" s="299"/>
      <c r="P67" s="62"/>
      <c r="Q67" s="62"/>
      <c r="R67" s="62"/>
      <c r="S67" s="62"/>
      <c r="T67" s="62"/>
    </row>
    <row r="68" spans="1:20" ht="12.75" hidden="1" customHeight="1" x14ac:dyDescent="0.2">
      <c r="A68" s="79"/>
      <c r="B68" s="322" t="s">
        <v>177</v>
      </c>
      <c r="C68" s="283" t="s">
        <v>191</v>
      </c>
      <c r="D68" s="283" t="s">
        <v>179</v>
      </c>
      <c r="E68" s="79"/>
      <c r="F68" s="79"/>
      <c r="G68" s="79"/>
      <c r="H68" s="79"/>
      <c r="I68" s="79"/>
      <c r="J68" s="79"/>
      <c r="K68" s="62"/>
      <c r="L68" s="79"/>
      <c r="M68" s="62"/>
      <c r="N68" s="79"/>
      <c r="O68" s="299"/>
      <c r="P68" s="62"/>
      <c r="Q68" s="62"/>
      <c r="R68" s="62"/>
      <c r="S68" s="62"/>
      <c r="T68" s="62"/>
    </row>
    <row r="69" spans="1:20" hidden="1" x14ac:dyDescent="0.2">
      <c r="A69" s="79"/>
      <c r="B69" s="330"/>
      <c r="C69" s="140"/>
      <c r="D69" s="140"/>
      <c r="E69" s="79"/>
      <c r="F69" s="79"/>
      <c r="G69" s="79"/>
      <c r="H69" s="79"/>
      <c r="I69" s="79"/>
      <c r="J69" s="79"/>
      <c r="K69" s="62"/>
      <c r="L69" s="79"/>
      <c r="M69" s="62"/>
      <c r="N69" s="79"/>
      <c r="O69" s="299"/>
      <c r="P69" s="62"/>
      <c r="Q69" s="62"/>
      <c r="R69" s="62"/>
      <c r="S69" s="62"/>
      <c r="T69" s="62"/>
    </row>
    <row r="70" spans="1:20" hidden="1" x14ac:dyDescent="0.2">
      <c r="A70" s="79"/>
      <c r="B70" s="322" t="s">
        <v>171</v>
      </c>
      <c r="C70" s="283" t="s">
        <v>172</v>
      </c>
      <c r="D70" s="283" t="s">
        <v>173</v>
      </c>
      <c r="E70" s="79"/>
      <c r="F70" s="62"/>
      <c r="G70" s="62"/>
      <c r="H70" s="79"/>
      <c r="I70" s="79"/>
      <c r="J70" s="79"/>
      <c r="K70" s="62"/>
      <c r="L70" s="79"/>
      <c r="M70" s="62"/>
      <c r="N70" s="79"/>
      <c r="O70" s="299"/>
      <c r="P70" s="62"/>
      <c r="Q70" s="62"/>
      <c r="R70" s="62"/>
      <c r="S70" s="62"/>
      <c r="T70" s="62"/>
    </row>
    <row r="71" spans="1:20" hidden="1" x14ac:dyDescent="0.2">
      <c r="A71" s="79"/>
      <c r="B71" s="322" t="s">
        <v>174</v>
      </c>
      <c r="C71" s="283" t="s">
        <v>184</v>
      </c>
      <c r="D71" s="283" t="s">
        <v>183</v>
      </c>
      <c r="E71" s="79"/>
      <c r="F71" s="62"/>
      <c r="G71" s="62"/>
      <c r="H71" s="62"/>
      <c r="I71" s="79"/>
      <c r="J71" s="79"/>
      <c r="K71" s="62"/>
      <c r="L71" s="79"/>
      <c r="M71" s="62"/>
      <c r="N71" s="79"/>
      <c r="O71" s="299"/>
      <c r="P71" s="62"/>
      <c r="Q71" s="62"/>
      <c r="R71" s="62"/>
      <c r="S71" s="62"/>
      <c r="T71" s="62"/>
    </row>
    <row r="72" spans="1:20" hidden="1" x14ac:dyDescent="0.2">
      <c r="A72" s="79"/>
      <c r="B72" s="322" t="s">
        <v>177</v>
      </c>
      <c r="C72" s="283" t="s">
        <v>175</v>
      </c>
      <c r="D72" s="283" t="s">
        <v>176</v>
      </c>
      <c r="E72" s="79"/>
      <c r="F72" s="62"/>
      <c r="G72" s="62"/>
      <c r="H72" s="79"/>
      <c r="I72" s="79"/>
      <c r="J72" s="79"/>
      <c r="K72" s="62"/>
      <c r="L72" s="79"/>
      <c r="M72" s="62"/>
      <c r="N72" s="79"/>
      <c r="O72" s="299"/>
      <c r="P72" s="62"/>
      <c r="Q72" s="62"/>
      <c r="R72" s="62"/>
      <c r="S72" s="62"/>
      <c r="T72" s="62"/>
    </row>
    <row r="73" spans="1:20" hidden="1" x14ac:dyDescent="0.2">
      <c r="A73" s="79"/>
      <c r="B73" s="322" t="s">
        <v>180</v>
      </c>
      <c r="C73" s="446" t="s">
        <v>191</v>
      </c>
      <c r="D73" s="283" t="s">
        <v>181</v>
      </c>
      <c r="E73" s="79"/>
      <c r="F73" s="62"/>
      <c r="G73" s="62"/>
      <c r="H73" s="79"/>
      <c r="I73" s="79"/>
      <c r="J73" s="79"/>
      <c r="K73" s="62"/>
      <c r="L73" s="79"/>
      <c r="M73" s="62"/>
      <c r="N73" s="79"/>
      <c r="O73" s="299"/>
      <c r="P73" s="62"/>
      <c r="Q73" s="62"/>
      <c r="R73" s="62"/>
      <c r="S73" s="62"/>
      <c r="T73" s="62"/>
    </row>
    <row r="74" spans="1:20" hidden="1" x14ac:dyDescent="0.2">
      <c r="A74" s="79"/>
      <c r="B74" s="322" t="s">
        <v>182</v>
      </c>
      <c r="C74" s="283" t="s">
        <v>178</v>
      </c>
      <c r="D74" s="283" t="s">
        <v>179</v>
      </c>
      <c r="E74" s="79"/>
      <c r="F74" s="62"/>
      <c r="G74" s="62"/>
      <c r="H74" s="79"/>
      <c r="I74" s="79"/>
      <c r="J74" s="79"/>
      <c r="K74" s="62"/>
      <c r="L74" s="79"/>
      <c r="M74" s="62"/>
      <c r="N74" s="79"/>
      <c r="O74" s="299"/>
      <c r="P74" s="62"/>
      <c r="Q74" s="62"/>
      <c r="R74" s="62"/>
      <c r="S74" s="62"/>
      <c r="T74" s="62"/>
    </row>
    <row r="75" spans="1:20" hidden="1" x14ac:dyDescent="0.2"/>
    <row r="76" spans="1:20" hidden="1" x14ac:dyDescent="0.2"/>
    <row r="77" spans="1:20" hidden="1" x14ac:dyDescent="0.2"/>
    <row r="78" spans="1:20" hidden="1" x14ac:dyDescent="0.2"/>
    <row r="79" spans="1:20" hidden="1" x14ac:dyDescent="0.2"/>
    <row r="80" spans="1:2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spans="1:11" hidden="1" x14ac:dyDescent="0.2"/>
    <row r="98" spans="1:11" hidden="1" x14ac:dyDescent="0.2"/>
    <row r="100" spans="1:11" x14ac:dyDescent="0.2">
      <c r="A100" s="286" t="s">
        <v>192</v>
      </c>
      <c r="B100" s="287"/>
      <c r="C100" s="288"/>
      <c r="D100" s="288"/>
      <c r="E100" s="288"/>
      <c r="F100" s="285"/>
      <c r="G100" s="283"/>
      <c r="H100" s="269"/>
      <c r="I100" s="269"/>
      <c r="J100" s="269"/>
      <c r="K100" s="269"/>
    </row>
    <row r="102" spans="1:11" x14ac:dyDescent="0.2">
      <c r="A102" s="300" t="s">
        <v>193</v>
      </c>
      <c r="B102" s="582" t="str">
        <f>IF(A102="-","-",IFERROR(INDEX(B$1:B$100,MATCH(A102,I$1:I$100,0)),""))</f>
        <v/>
      </c>
      <c r="C102" s="301">
        <f>IF(B102="-",0,IF(B104="-",13,""))</f>
        <v>13</v>
      </c>
      <c r="D102" s="269"/>
      <c r="E102" s="269"/>
      <c r="F102" s="269"/>
      <c r="G102" s="269"/>
      <c r="H102" s="269"/>
      <c r="I102" s="269"/>
      <c r="J102" s="269"/>
    </row>
    <row r="103" spans="1:11" x14ac:dyDescent="0.2">
      <c r="A103" s="302"/>
      <c r="B103" s="449"/>
      <c r="C103" s="303" t="str">
        <f>IF(COUNT(C102,C104)=2,IF(C102&gt;C104,B102,B104),"")</f>
        <v/>
      </c>
      <c r="D103" s="269"/>
      <c r="E103" s="301" t="str">
        <f>IF(C103="-",0,IF(C107="-",13,""))</f>
        <v/>
      </c>
      <c r="F103" s="269"/>
      <c r="G103" s="269"/>
      <c r="H103" s="269"/>
      <c r="I103" s="269"/>
      <c r="J103" s="269"/>
    </row>
    <row r="104" spans="1:11" x14ac:dyDescent="0.2">
      <c r="A104" s="302" t="s">
        <v>205</v>
      </c>
      <c r="B104" s="450" t="str">
        <f>IF(A104="-","-",IFERROR(INDEX(B$1:B$100,MATCH(A104,I$1:I$100,0)),""))</f>
        <v>-</v>
      </c>
      <c r="C104" s="304">
        <f>IF(B104="-",0,IF(B102="-",13,""))</f>
        <v>0</v>
      </c>
      <c r="D104" s="336"/>
      <c r="E104" s="269"/>
      <c r="F104" s="269"/>
      <c r="G104" s="269"/>
      <c r="H104" s="269"/>
      <c r="I104" s="269"/>
      <c r="J104" s="269"/>
    </row>
    <row r="105" spans="1:11" x14ac:dyDescent="0.2">
      <c r="A105" s="302"/>
      <c r="B105" s="292"/>
      <c r="C105" s="269"/>
      <c r="D105" s="982" t="s">
        <v>15</v>
      </c>
      <c r="E105" s="303" t="str">
        <f>IF(COUNT(E103,E107)=2,IF(E103&gt;E107,C103,C107),"")</f>
        <v/>
      </c>
      <c r="F105" s="269"/>
      <c r="G105" s="301" t="str">
        <f>IF(E105="-",0,IF(E113="-",13,""))</f>
        <v/>
      </c>
      <c r="H105" s="269"/>
      <c r="I105" s="269"/>
      <c r="J105" s="269"/>
    </row>
    <row r="106" spans="1:11" x14ac:dyDescent="0.2">
      <c r="A106" s="302" t="s">
        <v>198</v>
      </c>
      <c r="B106" s="582" t="str">
        <f>IF(A106="-","-",IFERROR(INDEX(B$1:B$100,MATCH(A106,I$1:I$100,0)),""))</f>
        <v/>
      </c>
      <c r="C106" s="301" t="str">
        <f>IF(B106="-",0,IF(B108="-",13,""))</f>
        <v/>
      </c>
      <c r="D106" s="305"/>
      <c r="E106" s="306"/>
      <c r="F106" s="336"/>
      <c r="G106" s="269"/>
      <c r="H106" s="269"/>
      <c r="I106" s="269"/>
      <c r="J106" s="269"/>
    </row>
    <row r="107" spans="1:11" x14ac:dyDescent="0.2">
      <c r="A107" s="302"/>
      <c r="B107" s="979" t="s">
        <v>10</v>
      </c>
      <c r="C107" s="303" t="str">
        <f>IF(COUNT(C106,C108)=2,IF(C106&gt;C108,B106,B108),"")</f>
        <v/>
      </c>
      <c r="D107" s="451"/>
      <c r="E107" s="304" t="str">
        <f>IF(C107="-",0,IF(C103="-",13,""))</f>
        <v/>
      </c>
      <c r="F107" s="305"/>
      <c r="G107" s="269"/>
      <c r="H107" s="269"/>
      <c r="I107" s="269"/>
      <c r="J107" s="269"/>
    </row>
    <row r="108" spans="1:11" x14ac:dyDescent="0.2">
      <c r="A108" s="302" t="s">
        <v>224</v>
      </c>
      <c r="B108" s="450" t="str">
        <f>IF(A108="-","-",IFERROR(INDEX(B$1:B$100,MATCH(A108,I$1:I$100,0)),""))</f>
        <v/>
      </c>
      <c r="C108" s="304" t="str">
        <f>IF(B108="-",0,IF(B106="-",13,""))</f>
        <v/>
      </c>
      <c r="D108" s="269"/>
      <c r="E108" s="287"/>
      <c r="F108" s="305"/>
      <c r="G108" s="269"/>
      <c r="H108" s="269"/>
      <c r="I108" s="269"/>
      <c r="J108" s="269"/>
    </row>
    <row r="109" spans="1:11" x14ac:dyDescent="0.2">
      <c r="A109" s="268"/>
      <c r="B109" s="292"/>
      <c r="C109" s="269"/>
      <c r="D109" s="269"/>
      <c r="E109" s="287"/>
      <c r="F109" s="305"/>
      <c r="G109" s="303" t="str">
        <f>IF(COUNT(G105,G113)=2,IF(G105&gt;G113,E105,E113),"")</f>
        <v/>
      </c>
      <c r="H109" s="269"/>
      <c r="I109" s="301" t="str">
        <f>IF(G109="-",0,IF(G125="-",13,""))</f>
        <v/>
      </c>
      <c r="J109" s="269"/>
    </row>
    <row r="110" spans="1:11" x14ac:dyDescent="0.2">
      <c r="A110" s="300" t="s">
        <v>223</v>
      </c>
      <c r="B110" s="582" t="str">
        <f>IF(A110="-","-",IFERROR(INDEX(B$1:B$100,MATCH(A110,I$1:I$100,0)),""))</f>
        <v/>
      </c>
      <c r="C110" s="301" t="str">
        <f>IF(B110="-",0,IF(B112="-",13,""))</f>
        <v/>
      </c>
      <c r="D110" s="269"/>
      <c r="E110" s="269"/>
      <c r="F110" s="305"/>
      <c r="G110" s="988"/>
      <c r="H110" s="989"/>
      <c r="I110" s="269"/>
      <c r="J110" s="269"/>
    </row>
    <row r="111" spans="1:11" x14ac:dyDescent="0.2">
      <c r="A111" s="302"/>
      <c r="B111" s="979" t="s">
        <v>11</v>
      </c>
      <c r="C111" s="303" t="str">
        <f>IF(COUNT(C110,C112)=2,IF(C110&gt;C112,B110,B112),"")</f>
        <v/>
      </c>
      <c r="D111" s="269"/>
      <c r="E111" s="301" t="str">
        <f>IF(C111="-",0,IF(C115="-",13,""))</f>
        <v/>
      </c>
      <c r="F111" s="305"/>
      <c r="G111" s="287"/>
      <c r="H111" s="305"/>
      <c r="I111" s="269"/>
      <c r="J111" s="269"/>
    </row>
    <row r="112" spans="1:11" x14ac:dyDescent="0.2">
      <c r="A112" s="302" t="s">
        <v>196</v>
      </c>
      <c r="B112" s="450" t="str">
        <f>IF(A112="-","-",IFERROR(INDEX(B$1:B$100,MATCH(A112,I$1:I$100,0)),""))</f>
        <v/>
      </c>
      <c r="C112" s="304" t="str">
        <f>IF(B112="-",0,IF(B110="-",13,""))</f>
        <v/>
      </c>
      <c r="D112" s="336"/>
      <c r="E112" s="269"/>
      <c r="F112" s="305"/>
      <c r="G112" s="287"/>
      <c r="H112" s="305"/>
      <c r="I112" s="269"/>
      <c r="J112" s="269"/>
    </row>
    <row r="113" spans="1:11" x14ac:dyDescent="0.2">
      <c r="A113" s="302"/>
      <c r="B113" s="292"/>
      <c r="C113" s="269"/>
      <c r="D113" s="982" t="s">
        <v>17</v>
      </c>
      <c r="E113" s="303" t="str">
        <f>IF(COUNT(E111,E115)=2,IF(E111&gt;E115,C111,C115),"")</f>
        <v/>
      </c>
      <c r="F113" s="451"/>
      <c r="G113" s="304" t="str">
        <f>IF(E113="-",0,IF(E105="-",13,""))</f>
        <v/>
      </c>
      <c r="H113" s="305"/>
      <c r="I113" s="269"/>
      <c r="J113" s="269"/>
    </row>
    <row r="114" spans="1:11" x14ac:dyDescent="0.2">
      <c r="A114" s="302" t="s">
        <v>205</v>
      </c>
      <c r="B114" s="582" t="str">
        <f>IF(A114="-","-",IFERROR(INDEX(B$1:B$100,MATCH(A114,I$1:I$100,0)),""))</f>
        <v>-</v>
      </c>
      <c r="C114" s="301">
        <f>IF(B114="-",0,IF(B116="-",13,""))</f>
        <v>0</v>
      </c>
      <c r="D114" s="305"/>
      <c r="E114" s="306"/>
      <c r="F114" s="287"/>
      <c r="G114" s="287"/>
      <c r="H114" s="305"/>
      <c r="I114" s="269"/>
      <c r="J114" s="269"/>
    </row>
    <row r="115" spans="1:11" x14ac:dyDescent="0.2">
      <c r="A115" s="302"/>
      <c r="B115" s="449"/>
      <c r="C115" s="303" t="str">
        <f>IF(COUNT(C114,C116)=2,IF(C114&gt;C116,B114,B116),"")</f>
        <v/>
      </c>
      <c r="D115" s="451"/>
      <c r="E115" s="304" t="str">
        <f>IF(C115="-",0,IF(C111="-",13,""))</f>
        <v/>
      </c>
      <c r="F115" s="269"/>
      <c r="G115" s="287"/>
      <c r="H115" s="305"/>
      <c r="I115" s="269"/>
      <c r="J115" s="269"/>
    </row>
    <row r="116" spans="1:11" x14ac:dyDescent="0.2">
      <c r="A116" s="302" t="s">
        <v>200</v>
      </c>
      <c r="B116" s="450" t="str">
        <f>IF(A116="-","-",IFERROR(INDEX(B$1:B$100,MATCH(A116,I$1:I$100,0)),""))</f>
        <v/>
      </c>
      <c r="C116" s="304">
        <f>IF(B116="-",0,IF(B114="-",13,""))</f>
        <v>13</v>
      </c>
      <c r="D116" s="269"/>
      <c r="E116" s="287"/>
      <c r="F116" s="287"/>
      <c r="G116" s="287"/>
      <c r="H116" s="305"/>
      <c r="I116" s="269"/>
      <c r="J116" s="269"/>
    </row>
    <row r="117" spans="1:11" ht="13.5" thickBot="1" x14ac:dyDescent="0.25">
      <c r="A117" s="268"/>
      <c r="B117" s="292"/>
      <c r="C117" s="269"/>
      <c r="D117" s="269"/>
      <c r="E117" s="269"/>
      <c r="F117" s="269"/>
      <c r="G117" s="287"/>
      <c r="H117" s="305"/>
      <c r="I117" s="269"/>
      <c r="J117" s="284" t="str">
        <f>IF(COUNT(I109,I125)=2,IF(I109&gt;I125,G109,G125),"")</f>
        <v/>
      </c>
    </row>
    <row r="118" spans="1:11" x14ac:dyDescent="0.2">
      <c r="A118" s="300" t="s">
        <v>197</v>
      </c>
      <c r="B118" s="582" t="str">
        <f>IF(A118="-","-",IFERROR(INDEX(B$1:B$100,MATCH(A118,I$1:I$100,0)),""))</f>
        <v/>
      </c>
      <c r="C118" s="301">
        <f>IF(B118="-",0,IF(B120="-",13,""))</f>
        <v>13</v>
      </c>
      <c r="D118" s="269"/>
      <c r="E118" s="269"/>
      <c r="F118" s="269"/>
      <c r="G118" s="287"/>
      <c r="H118" s="305"/>
      <c r="I118" s="307"/>
      <c r="J118" s="290" t="s">
        <v>185</v>
      </c>
      <c r="K118" s="333"/>
    </row>
    <row r="119" spans="1:11" x14ac:dyDescent="0.2">
      <c r="A119" s="302"/>
      <c r="B119" s="449"/>
      <c r="C119" s="303" t="str">
        <f>IF(COUNT(C118,C120)=2,IF(C118&gt;C120,B118,B120),"")</f>
        <v/>
      </c>
      <c r="D119" s="269"/>
      <c r="E119" s="301" t="str">
        <f>IF(C119="-",0,IF(C123="-",13,""))</f>
        <v/>
      </c>
      <c r="F119" s="269"/>
      <c r="G119" s="287"/>
      <c r="H119" s="305"/>
      <c r="I119" s="287"/>
      <c r="J119" s="287"/>
      <c r="K119" s="334"/>
    </row>
    <row r="120" spans="1:11" x14ac:dyDescent="0.2">
      <c r="A120" s="302" t="s">
        <v>205</v>
      </c>
      <c r="B120" s="450" t="str">
        <f>IF(A120="-","-",IFERROR(INDEX(B$1:B$100,MATCH(A120,I$1:I$100,0)),""))</f>
        <v>-</v>
      </c>
      <c r="C120" s="304">
        <f>IF(B120="-",0,IF(B118="-",13,""))</f>
        <v>0</v>
      </c>
      <c r="D120" s="336"/>
      <c r="E120" s="269"/>
      <c r="F120" s="269"/>
      <c r="G120" s="287"/>
      <c r="H120" s="305"/>
      <c r="I120" s="287"/>
      <c r="J120" s="287"/>
      <c r="K120" s="334"/>
    </row>
    <row r="121" spans="1:11" x14ac:dyDescent="0.2">
      <c r="A121" s="302"/>
      <c r="B121" s="292"/>
      <c r="C121" s="269"/>
      <c r="D121" s="982" t="s">
        <v>18</v>
      </c>
      <c r="E121" s="303" t="str">
        <f>IF(COUNT(E119,E123)=2,IF(E119&gt;E123,C119,C123),"")</f>
        <v/>
      </c>
      <c r="F121" s="269"/>
      <c r="G121" s="308" t="str">
        <f>IF(E121="-",0,IF(E129="-",13,""))</f>
        <v/>
      </c>
      <c r="H121" s="305"/>
      <c r="I121" s="287"/>
      <c r="J121" s="287"/>
      <c r="K121" s="334"/>
    </row>
    <row r="122" spans="1:11" x14ac:dyDescent="0.2">
      <c r="A122" s="302" t="s">
        <v>194</v>
      </c>
      <c r="B122" s="582" t="str">
        <f>IF(A122="-","-",IFERROR(INDEX(B$1:B$100,MATCH(A122,I$1:I$100,0)),""))</f>
        <v/>
      </c>
      <c r="C122" s="301" t="str">
        <f>IF(B122="-",0,IF(B124="-",13,""))</f>
        <v/>
      </c>
      <c r="D122" s="305"/>
      <c r="E122" s="306"/>
      <c r="F122" s="336"/>
      <c r="G122" s="287"/>
      <c r="H122" s="305"/>
      <c r="I122" s="287"/>
      <c r="J122" s="287"/>
      <c r="K122" s="334"/>
    </row>
    <row r="123" spans="1:11" x14ac:dyDescent="0.2">
      <c r="A123" s="302"/>
      <c r="B123" s="979" t="s">
        <v>12</v>
      </c>
      <c r="C123" s="303" t="str">
        <f>IF(COUNT(C122,C124)=2,IF(C122&gt;C124,B122,B124),"")</f>
        <v/>
      </c>
      <c r="D123" s="451"/>
      <c r="E123" s="304" t="str">
        <f>IF(C123="-",0,IF(C119="-",13,""))</f>
        <v/>
      </c>
      <c r="F123" s="305"/>
      <c r="G123" s="287"/>
      <c r="H123" s="305"/>
      <c r="I123" s="287"/>
      <c r="J123" s="287"/>
      <c r="K123" s="334"/>
    </row>
    <row r="124" spans="1:11" x14ac:dyDescent="0.2">
      <c r="A124" s="302" t="s">
        <v>225</v>
      </c>
      <c r="B124" s="450" t="str">
        <f>IF(A124="-","-",IFERROR(INDEX(B$1:B$100,MATCH(A124,I$1:I$100,0)),""))</f>
        <v/>
      </c>
      <c r="C124" s="304" t="str">
        <f>IF(B124="-",0,IF(B122="-",13,""))</f>
        <v/>
      </c>
      <c r="D124" s="269"/>
      <c r="E124" s="287"/>
      <c r="F124" s="305"/>
      <c r="G124" s="287"/>
      <c r="H124" s="305"/>
      <c r="I124" s="287"/>
      <c r="J124" s="287"/>
      <c r="K124" s="334"/>
    </row>
    <row r="125" spans="1:11" x14ac:dyDescent="0.2">
      <c r="A125" s="268"/>
      <c r="B125" s="292"/>
      <c r="C125" s="269"/>
      <c r="D125" s="269"/>
      <c r="E125" s="287"/>
      <c r="F125" s="305"/>
      <c r="G125" s="303" t="str">
        <f>IF(COUNT(G121,G129)=2,IF(G121&gt;G129,E121,E129),"")</f>
        <v/>
      </c>
      <c r="H125" s="990"/>
      <c r="I125" s="304" t="str">
        <f>IF(G125="-",0,IF(G109="-",13,""))</f>
        <v/>
      </c>
      <c r="J125" s="287"/>
      <c r="K125" s="334"/>
    </row>
    <row r="126" spans="1:11" ht="13.5" thickBot="1" x14ac:dyDescent="0.25">
      <c r="A126" s="300" t="s">
        <v>226</v>
      </c>
      <c r="B126" s="582" t="str">
        <f>IF(A126="-","-",IFERROR(INDEX(B$1:B$100,MATCH(A126,I$1:I$100,0)),""))</f>
        <v/>
      </c>
      <c r="C126" s="301" t="str">
        <f>IF(B126="-",0,IF(B128="-",13,""))</f>
        <v/>
      </c>
      <c r="D126" s="269"/>
      <c r="E126" s="269"/>
      <c r="F126" s="305"/>
      <c r="G126" s="987"/>
      <c r="H126" s="269"/>
      <c r="I126" s="287"/>
      <c r="J126" s="583" t="str">
        <f>IF(COUNT(I109,I125)=2,IF(I109&lt;I125,G109,G125),"")</f>
        <v/>
      </c>
      <c r="K126" s="584"/>
    </row>
    <row r="127" spans="1:11" x14ac:dyDescent="0.2">
      <c r="A127" s="302"/>
      <c r="B127" s="979" t="s">
        <v>13</v>
      </c>
      <c r="C127" s="303" t="str">
        <f>IF(COUNT(C126,C128)=2,IF(C126&gt;C128,B126,B128),"")</f>
        <v/>
      </c>
      <c r="D127" s="269"/>
      <c r="E127" s="301" t="str">
        <f>IF(C127="-",0,IF(C131="-",13,""))</f>
        <v/>
      </c>
      <c r="F127" s="305"/>
      <c r="G127" s="287"/>
      <c r="H127" s="269"/>
      <c r="I127" s="287"/>
      <c r="J127" s="296" t="s">
        <v>186</v>
      </c>
    </row>
    <row r="128" spans="1:11" x14ac:dyDescent="0.2">
      <c r="A128" s="302" t="s">
        <v>199</v>
      </c>
      <c r="B128" s="450" t="str">
        <f>IF(A128="-","-",IFERROR(INDEX(B$1:B$100,MATCH(A128,I$1:I$100,0)),""))</f>
        <v/>
      </c>
      <c r="C128" s="304" t="str">
        <f>IF(B128="-",0,IF(B126="-",13,""))</f>
        <v/>
      </c>
      <c r="D128" s="336"/>
      <c r="E128" s="269"/>
      <c r="F128" s="305"/>
      <c r="G128" s="287"/>
      <c r="H128" s="269"/>
      <c r="I128" s="287"/>
      <c r="J128" s="269"/>
    </row>
    <row r="129" spans="1:11" x14ac:dyDescent="0.2">
      <c r="A129" s="302"/>
      <c r="B129" s="292"/>
      <c r="C129" s="269"/>
      <c r="D129" s="982" t="s">
        <v>19</v>
      </c>
      <c r="E129" s="303" t="str">
        <f>IF(COUNT(E127,E131)=2,IF(E127&gt;E131,C127,C131),"")</f>
        <v/>
      </c>
      <c r="F129" s="451"/>
      <c r="G129" s="304" t="str">
        <f>IF(E129="-",0,IF(E121="-",13,""))</f>
        <v/>
      </c>
      <c r="H129" s="269"/>
      <c r="I129" s="287"/>
      <c r="J129" s="269"/>
    </row>
    <row r="130" spans="1:11" x14ac:dyDescent="0.2">
      <c r="A130" s="302" t="s">
        <v>205</v>
      </c>
      <c r="B130" s="582" t="str">
        <f>IF(A130="-","-",IFERROR(INDEX(B$1:B$100,MATCH(A130,I$1:I$100,0)),""))</f>
        <v>-</v>
      </c>
      <c r="C130" s="301">
        <f>IF(B130="-",0,IF(B132="-",13,""))</f>
        <v>0</v>
      </c>
      <c r="D130" s="305"/>
      <c r="E130" s="306"/>
      <c r="F130" s="287"/>
      <c r="G130" s="287"/>
      <c r="H130" s="269"/>
      <c r="I130" s="287"/>
      <c r="J130" s="269"/>
    </row>
    <row r="131" spans="1:11" x14ac:dyDescent="0.2">
      <c r="A131" s="302"/>
      <c r="B131" s="449"/>
      <c r="C131" s="303" t="str">
        <f>IF(COUNT(C130,C132)=2,IF(C130&gt;C132,B130,B132),"")</f>
        <v/>
      </c>
      <c r="D131" s="451"/>
      <c r="E131" s="304" t="str">
        <f>IF(C131="-",0,IF(C127="-",13,""))</f>
        <v/>
      </c>
      <c r="F131" s="269"/>
      <c r="G131" s="287" t="str">
        <f>IF(COUNT(G105,G113)=2,IF(G105&lt;G113,E105,E113),"")</f>
        <v/>
      </c>
      <c r="H131" s="269"/>
      <c r="I131" s="301" t="str">
        <f>IF(G131="-",0,IF(G133="-",13,""))</f>
        <v/>
      </c>
      <c r="J131" s="269"/>
    </row>
    <row r="132" spans="1:11" ht="13.5" thickBot="1" x14ac:dyDescent="0.25">
      <c r="A132" s="302" t="s">
        <v>195</v>
      </c>
      <c r="B132" s="450" t="str">
        <f>IF(A132="-","-",IFERROR(INDEX(B$1:B$100,MATCH(A132,I$1:I$100,0)),""))</f>
        <v/>
      </c>
      <c r="C132" s="304">
        <f>IF(B132="-",0,IF(B130="-",13,""))</f>
        <v>13</v>
      </c>
      <c r="D132" s="269"/>
      <c r="E132" s="287"/>
      <c r="F132" s="287"/>
      <c r="G132" s="455"/>
      <c r="H132" s="336"/>
      <c r="I132" s="338"/>
      <c r="J132" s="284" t="str">
        <f>IF(COUNT(I131,I133)=2,IF(I131&gt;I133,G131,G133),"")</f>
        <v/>
      </c>
    </row>
    <row r="133" spans="1:11" x14ac:dyDescent="0.2">
      <c r="A133" s="269"/>
      <c r="B133" s="269"/>
      <c r="C133" s="269"/>
      <c r="D133" s="269"/>
      <c r="E133" s="269"/>
      <c r="F133" s="287"/>
      <c r="G133" s="456" t="str">
        <f>IF(COUNT(G121,G129)=2,IF(G121&lt;G129,E121,E129),"")</f>
        <v/>
      </c>
      <c r="H133" s="451"/>
      <c r="I133" s="991" t="str">
        <f>IF(G133="-",0,IF(G131="-",13,""))</f>
        <v/>
      </c>
      <c r="J133" s="290" t="s">
        <v>187</v>
      </c>
      <c r="K133" s="333"/>
    </row>
    <row r="134" spans="1:11" x14ac:dyDescent="0.2">
      <c r="A134" s="269"/>
      <c r="B134" s="269"/>
      <c r="C134" s="269"/>
      <c r="D134" s="269"/>
      <c r="E134" s="269"/>
      <c r="F134" s="287"/>
      <c r="G134" s="269"/>
      <c r="H134" s="269"/>
      <c r="I134" s="269"/>
      <c r="J134" s="287"/>
      <c r="K134" s="334"/>
    </row>
    <row r="135" spans="1:11" ht="13.5" thickBot="1" x14ac:dyDescent="0.25">
      <c r="A135" s="269"/>
      <c r="B135" s="269"/>
      <c r="C135" s="269"/>
      <c r="D135" s="269"/>
      <c r="E135" s="269"/>
      <c r="F135" s="287"/>
      <c r="G135" s="287"/>
      <c r="H135" s="287"/>
      <c r="I135" s="269"/>
      <c r="J135" s="583" t="str">
        <f>IF(COUNT(I131,I133)=2,IF(I131&lt;I133,G131,G133),"")</f>
        <v/>
      </c>
      <c r="K135" s="584"/>
    </row>
    <row r="136" spans="1:11" x14ac:dyDescent="0.2">
      <c r="A136" s="269"/>
      <c r="B136" s="269"/>
      <c r="C136" s="269"/>
      <c r="D136" s="269"/>
      <c r="E136" s="269"/>
      <c r="F136" s="269"/>
      <c r="G136" s="287"/>
      <c r="H136" s="287"/>
      <c r="I136" s="269"/>
      <c r="J136" s="268" t="s">
        <v>188</v>
      </c>
    </row>
    <row r="137" spans="1:11" x14ac:dyDescent="0.2">
      <c r="A137" s="269"/>
      <c r="B137" s="269"/>
      <c r="C137" s="269"/>
      <c r="D137" s="269"/>
      <c r="E137" s="269"/>
      <c r="F137" s="269"/>
      <c r="G137" s="287"/>
      <c r="H137" s="287"/>
      <c r="I137" s="269"/>
      <c r="J137" s="268"/>
    </row>
    <row r="138" spans="1:11" x14ac:dyDescent="0.2">
      <c r="A138" s="331" t="s">
        <v>477</v>
      </c>
    </row>
    <row r="140" spans="1:11" x14ac:dyDescent="0.2">
      <c r="A140" s="269"/>
      <c r="B140" s="269"/>
      <c r="C140" s="269"/>
      <c r="D140" s="983" t="s">
        <v>15</v>
      </c>
      <c r="E140" s="456" t="str">
        <f>IF(COUNT(E103,E107)=2,IF(E103&lt;E107,C103,C107),"")</f>
        <v/>
      </c>
      <c r="F140" s="269"/>
      <c r="G140" s="301">
        <v>12</v>
      </c>
      <c r="H140" s="301"/>
      <c r="I140" s="301"/>
      <c r="J140" s="269"/>
    </row>
    <row r="141" spans="1:11" x14ac:dyDescent="0.2">
      <c r="A141" s="269"/>
      <c r="B141" s="269"/>
      <c r="C141" s="269"/>
      <c r="D141" s="981"/>
      <c r="E141" s="457"/>
      <c r="F141" s="337"/>
      <c r="G141" s="303" t="str">
        <f>IF(COUNT(G140,G142)=2,IF(G140&gt;G142,E140,E142),"")</f>
        <v/>
      </c>
      <c r="H141" s="269"/>
      <c r="I141" s="301" t="str">
        <f>IF(G141="-",0,IF(G145="-",13,""))</f>
        <v/>
      </c>
      <c r="J141" s="269"/>
    </row>
    <row r="142" spans="1:11" x14ac:dyDescent="0.2">
      <c r="A142" s="269"/>
      <c r="B142" s="269"/>
      <c r="C142" s="269"/>
      <c r="D142" s="983" t="s">
        <v>17</v>
      </c>
      <c r="E142" s="456" t="str">
        <f>IF(COUNT(E111,E115)=2,IF(E111&lt;E115,C111,C115),"")</f>
        <v/>
      </c>
      <c r="F142" s="458"/>
      <c r="G142" s="304">
        <v>13</v>
      </c>
      <c r="H142" s="337"/>
      <c r="I142" s="269"/>
      <c r="J142" s="269"/>
    </row>
    <row r="143" spans="1:11" ht="13.5" thickBot="1" x14ac:dyDescent="0.25">
      <c r="A143" s="269"/>
      <c r="B143" s="269"/>
      <c r="C143" s="269"/>
      <c r="D143" s="981"/>
      <c r="E143" s="301"/>
      <c r="F143" s="301"/>
      <c r="G143" s="308"/>
      <c r="H143" s="309"/>
      <c r="I143" s="338"/>
      <c r="J143" s="284" t="str">
        <f>IF(COUNT(I141,I145)=2,IF(I141&gt;I145,G141,G145),"")</f>
        <v/>
      </c>
    </row>
    <row r="144" spans="1:11" x14ac:dyDescent="0.2">
      <c r="A144" s="269"/>
      <c r="B144" s="269"/>
      <c r="C144" s="269"/>
      <c r="D144" s="983" t="s">
        <v>18</v>
      </c>
      <c r="E144" s="456" t="str">
        <f>IF(COUNT(E119,E123)=2,IF(E119&lt;E123,C119,C123),"")</f>
        <v/>
      </c>
      <c r="F144" s="301"/>
      <c r="G144" s="301">
        <v>13</v>
      </c>
      <c r="H144" s="309"/>
      <c r="I144" s="992"/>
      <c r="J144" s="290" t="s">
        <v>189</v>
      </c>
      <c r="K144" s="333"/>
    </row>
    <row r="145" spans="1:11" x14ac:dyDescent="0.2">
      <c r="A145" s="269"/>
      <c r="B145" s="269"/>
      <c r="C145" s="269"/>
      <c r="D145" s="981"/>
      <c r="E145" s="457"/>
      <c r="F145" s="337"/>
      <c r="G145" s="303" t="str">
        <f>IF(COUNT(G144,G146)=2,IF(G144&gt;G146,E144,E146),"")</f>
        <v/>
      </c>
      <c r="H145" s="451"/>
      <c r="I145" s="304" t="str">
        <f>IF(G145="-",0,IF(G141="-",13,""))</f>
        <v/>
      </c>
      <c r="J145" s="287"/>
      <c r="K145" s="334"/>
    </row>
    <row r="146" spans="1:11" ht="13.5" thickBot="1" x14ac:dyDescent="0.25">
      <c r="A146" s="269"/>
      <c r="B146" s="269"/>
      <c r="C146" s="269"/>
      <c r="D146" s="983" t="s">
        <v>19</v>
      </c>
      <c r="E146" s="456" t="str">
        <f>IF(COUNT(E127,E131)=2,IF(E127&lt;E131,C127,C131),"")</f>
        <v/>
      </c>
      <c r="F146" s="458"/>
      <c r="G146" s="304">
        <v>7</v>
      </c>
      <c r="H146" s="301"/>
      <c r="I146" s="308"/>
      <c r="J146" s="583" t="str">
        <f>IF(COUNT(I141,I145)=2,IF(I141&lt;I145,G141,G145),"")</f>
        <v/>
      </c>
      <c r="K146" s="584"/>
    </row>
    <row r="147" spans="1:11" x14ac:dyDescent="0.2">
      <c r="A147" s="269"/>
      <c r="B147" s="269"/>
      <c r="C147" s="269"/>
      <c r="D147" s="269"/>
      <c r="E147" s="301"/>
      <c r="F147" s="301"/>
      <c r="G147" s="301"/>
      <c r="H147" s="301"/>
      <c r="I147" s="308"/>
      <c r="J147" s="296" t="s">
        <v>190</v>
      </c>
    </row>
    <row r="148" spans="1:11" x14ac:dyDescent="0.2">
      <c r="A148" s="269"/>
      <c r="B148" s="269"/>
      <c r="C148" s="269"/>
      <c r="D148" s="269"/>
      <c r="E148" s="301"/>
      <c r="F148" s="308"/>
      <c r="G148" s="284" t="str">
        <f>IF(COUNT(G140,G142)=2,IF(G140&lt;G142,E140,E142),"")</f>
        <v/>
      </c>
      <c r="H148" s="269"/>
      <c r="I148" s="308" t="str">
        <f>IF(G148="-",0,IF(G150="-",13,""))</f>
        <v/>
      </c>
      <c r="J148" s="287"/>
    </row>
    <row r="149" spans="1:11" ht="13.5" thickBot="1" x14ac:dyDescent="0.25">
      <c r="A149" s="269"/>
      <c r="B149" s="269"/>
      <c r="C149" s="269"/>
      <c r="D149" s="269"/>
      <c r="E149" s="301"/>
      <c r="F149" s="308"/>
      <c r="G149" s="455"/>
      <c r="H149" s="336"/>
      <c r="I149" s="585"/>
      <c r="J149" s="284" t="str">
        <f>IF(COUNT(I148,I150)=2,IF(I148&gt;I150,G148,G150),"")</f>
        <v/>
      </c>
    </row>
    <row r="150" spans="1:11" x14ac:dyDescent="0.2">
      <c r="A150" s="269"/>
      <c r="B150" s="269"/>
      <c r="C150" s="269"/>
      <c r="D150" s="269"/>
      <c r="E150" s="301"/>
      <c r="F150" s="308"/>
      <c r="G150" s="456" t="str">
        <f>IF(COUNT(G144,G146)=2,IF(G144&lt;G146,E144,E146),"")</f>
        <v/>
      </c>
      <c r="H150" s="451"/>
      <c r="I150" s="304" t="str">
        <f>IF(G150="-",0,IF(G148="-",13,""))</f>
        <v/>
      </c>
      <c r="J150" s="290" t="s">
        <v>201</v>
      </c>
      <c r="K150" s="333"/>
    </row>
    <row r="151" spans="1:11" x14ac:dyDescent="0.2">
      <c r="A151" s="269"/>
      <c r="B151" s="269"/>
      <c r="C151" s="269"/>
      <c r="D151" s="269"/>
      <c r="E151" s="269"/>
      <c r="F151" s="287"/>
      <c r="G151" s="269"/>
      <c r="H151" s="269"/>
      <c r="I151" s="269"/>
      <c r="J151" s="287"/>
      <c r="K151" s="334"/>
    </row>
    <row r="152" spans="1:11" ht="13.5" thickBot="1" x14ac:dyDescent="0.25">
      <c r="A152" s="269"/>
      <c r="B152" s="269"/>
      <c r="C152" s="269"/>
      <c r="D152" s="269"/>
      <c r="E152" s="269"/>
      <c r="F152" s="269"/>
      <c r="G152" s="287"/>
      <c r="H152" s="287"/>
      <c r="I152" s="269"/>
      <c r="J152" s="586" t="str">
        <f>IF(COUNT(I148,I150)=2,IF(I148&lt;I150,G148,G150),"")</f>
        <v/>
      </c>
      <c r="K152" s="584"/>
    </row>
    <row r="153" spans="1:11" x14ac:dyDescent="0.2">
      <c r="A153" s="269"/>
      <c r="B153" s="269"/>
      <c r="C153" s="269"/>
      <c r="D153" s="269"/>
      <c r="E153" s="269"/>
      <c r="F153" s="269"/>
      <c r="G153" s="287"/>
      <c r="H153" s="287"/>
      <c r="I153" s="269"/>
      <c r="J153" s="296" t="s">
        <v>202</v>
      </c>
    </row>
    <row r="154" spans="1:11" hidden="1" x14ac:dyDescent="0.2"/>
    <row r="155" spans="1:11" hidden="1" x14ac:dyDescent="0.2">
      <c r="A155" s="331" t="s">
        <v>318</v>
      </c>
      <c r="B155" s="151"/>
      <c r="C155" s="151"/>
      <c r="D155" s="151"/>
      <c r="E155" s="151"/>
      <c r="F155" s="151"/>
      <c r="G155" s="151"/>
      <c r="H155" s="151"/>
      <c r="I155" s="151"/>
      <c r="J155" s="151"/>
    </row>
    <row r="156" spans="1:11" x14ac:dyDescent="0.2">
      <c r="A156" s="151"/>
      <c r="B156" s="151"/>
      <c r="C156" s="151"/>
      <c r="D156" s="151"/>
      <c r="E156" s="151"/>
      <c r="F156" s="151"/>
      <c r="G156" s="151"/>
      <c r="H156" s="151"/>
      <c r="I156" s="151"/>
      <c r="J156" s="151"/>
    </row>
    <row r="157" spans="1:11" x14ac:dyDescent="0.2">
      <c r="A157" s="151"/>
      <c r="B157" s="984"/>
      <c r="C157" s="456" t="str">
        <f>IF(COUNT(C102,C104)=2,IF(C102&lt;C104,B102,B104),"")</f>
        <v>-</v>
      </c>
      <c r="D157" s="151"/>
      <c r="E157" s="301">
        <f>IF(C157="-",0,IF(C159="-",13,""))</f>
        <v>0</v>
      </c>
      <c r="F157" s="269"/>
      <c r="G157" s="269"/>
      <c r="H157" s="269"/>
      <c r="I157" s="269"/>
      <c r="J157" s="269"/>
    </row>
    <row r="158" spans="1:11" x14ac:dyDescent="0.2">
      <c r="A158" s="151"/>
      <c r="B158" s="984"/>
      <c r="C158" s="449"/>
      <c r="D158" s="335"/>
      <c r="E158" s="303" t="str">
        <f>IF(COUNT(E157,E159)=2,IF(E157&gt;E159,C157,C159),"")</f>
        <v/>
      </c>
      <c r="F158" s="269"/>
      <c r="G158" s="301" t="str">
        <f>IF(E158="-",0,IF(E162="-",13,""))</f>
        <v/>
      </c>
      <c r="H158" s="269"/>
      <c r="I158" s="269"/>
      <c r="J158" s="269"/>
    </row>
    <row r="159" spans="1:11" x14ac:dyDescent="0.2">
      <c r="A159" s="151"/>
      <c r="B159" s="980" t="s">
        <v>10</v>
      </c>
      <c r="C159" s="456" t="str">
        <f>IF(COUNT(C106,C108)=2,IF(C106&lt;C108,B106,B108),"")</f>
        <v/>
      </c>
      <c r="D159" s="587"/>
      <c r="E159" s="304">
        <f>IF(C159="-",0,IF(C157="-",13,""))</f>
        <v>13</v>
      </c>
      <c r="F159" s="336"/>
      <c r="G159" s="269"/>
      <c r="H159" s="269"/>
      <c r="I159" s="269"/>
      <c r="J159" s="269"/>
    </row>
    <row r="160" spans="1:11" x14ac:dyDescent="0.2">
      <c r="A160" s="151"/>
      <c r="B160" s="984"/>
      <c r="C160" s="292"/>
      <c r="D160" s="151"/>
      <c r="E160" s="269"/>
      <c r="F160" s="305"/>
      <c r="G160" s="303" t="str">
        <f>IF(COUNT(G158,G162)=2,IF(G158&gt;G162,E158,E162),"")</f>
        <v/>
      </c>
      <c r="H160" s="269"/>
      <c r="I160" s="301" t="str">
        <f>IF(G160="-",0,IF(G168="-",13,""))</f>
        <v/>
      </c>
      <c r="J160" s="269"/>
    </row>
    <row r="161" spans="1:11" x14ac:dyDescent="0.2">
      <c r="A161" s="151"/>
      <c r="B161" s="980" t="s">
        <v>11</v>
      </c>
      <c r="C161" s="456" t="str">
        <f>IF(COUNT(C110,C112)=2,IF(C110&lt;C112,B110,B112),"")</f>
        <v/>
      </c>
      <c r="D161" s="151"/>
      <c r="E161" s="301">
        <f>IF(C161="-",0,IF(C163="-",13,""))</f>
        <v>13</v>
      </c>
      <c r="F161" s="305"/>
      <c r="G161" s="306"/>
      <c r="H161" s="336"/>
      <c r="I161" s="269"/>
      <c r="J161" s="269"/>
    </row>
    <row r="162" spans="1:11" x14ac:dyDescent="0.2">
      <c r="A162" s="151"/>
      <c r="B162" s="984"/>
      <c r="C162" s="449"/>
      <c r="D162" s="335"/>
      <c r="E162" s="303" t="str">
        <f>IF(COUNT(E161,E163)=2,IF(E161&gt;E163,C161,C163),"")</f>
        <v/>
      </c>
      <c r="F162" s="451"/>
      <c r="G162" s="304" t="str">
        <f>IF(E162="-",0,IF(E158="-",13,""))</f>
        <v/>
      </c>
      <c r="H162" s="305"/>
      <c r="I162" s="269"/>
      <c r="J162" s="269"/>
    </row>
    <row r="163" spans="1:11" x14ac:dyDescent="0.2">
      <c r="A163" s="151"/>
      <c r="B163" s="984"/>
      <c r="C163" s="456" t="str">
        <f>IF(COUNT(C114,C116)=2,IF(C114&lt;C116,B114,B116),"")</f>
        <v>-</v>
      </c>
      <c r="D163" s="587"/>
      <c r="E163" s="304">
        <f>IF(C163="-",0,IF(C161="-",13,""))</f>
        <v>0</v>
      </c>
      <c r="F163" s="269"/>
      <c r="G163" s="287"/>
      <c r="H163" s="305"/>
      <c r="I163" s="269"/>
      <c r="J163" s="269"/>
    </row>
    <row r="164" spans="1:11" ht="13.5" thickBot="1" x14ac:dyDescent="0.25">
      <c r="A164" s="151"/>
      <c r="B164" s="984"/>
      <c r="C164" s="292"/>
      <c r="D164" s="151"/>
      <c r="E164" s="269"/>
      <c r="F164" s="269"/>
      <c r="G164" s="287"/>
      <c r="H164" s="305"/>
      <c r="I164" s="269"/>
      <c r="J164" s="284" t="str">
        <f>IF(COUNT(I160,I168)=2,IF(I160&gt;I168,G160,G168),"")</f>
        <v/>
      </c>
    </row>
    <row r="165" spans="1:11" x14ac:dyDescent="0.2">
      <c r="A165" s="151"/>
      <c r="B165" s="984"/>
      <c r="C165" s="456" t="str">
        <f>IF(COUNT(C118,C120)=2,IF(C118&lt;C120,B118,B120),"")</f>
        <v>-</v>
      </c>
      <c r="D165" s="151"/>
      <c r="E165" s="301">
        <f>IF(C165="-",0,IF(C167="-",13,""))</f>
        <v>0</v>
      </c>
      <c r="F165" s="269"/>
      <c r="G165" s="269"/>
      <c r="H165" s="305"/>
      <c r="I165" s="307"/>
      <c r="J165" s="290" t="s">
        <v>207</v>
      </c>
      <c r="K165" s="333"/>
    </row>
    <row r="166" spans="1:11" x14ac:dyDescent="0.2">
      <c r="A166" s="151"/>
      <c r="B166" s="984"/>
      <c r="C166" s="449"/>
      <c r="D166" s="335"/>
      <c r="E166" s="303" t="str">
        <f>IF(COUNT(E165,E167)=2,IF(E165&gt;E167,C165,C167),"")</f>
        <v/>
      </c>
      <c r="F166" s="269"/>
      <c r="G166" s="301" t="str">
        <f>IF(E166="-",0,IF(E170="-",13,""))</f>
        <v/>
      </c>
      <c r="H166" s="305"/>
      <c r="I166" s="287"/>
      <c r="J166" s="287"/>
      <c r="K166" s="334"/>
    </row>
    <row r="167" spans="1:11" x14ac:dyDescent="0.2">
      <c r="A167" s="151"/>
      <c r="B167" s="980" t="s">
        <v>12</v>
      </c>
      <c r="C167" s="456" t="str">
        <f>IF(COUNT(C122,C124)=2,IF(C122&lt;C124,B122,B124),"")</f>
        <v/>
      </c>
      <c r="D167" s="587"/>
      <c r="E167" s="304">
        <f>IF(C167="-",0,IF(C165="-",13,""))</f>
        <v>13</v>
      </c>
      <c r="F167" s="336"/>
      <c r="G167" s="269"/>
      <c r="H167" s="305"/>
      <c r="I167" s="287"/>
      <c r="J167" s="287"/>
      <c r="K167" s="334"/>
    </row>
    <row r="168" spans="1:11" x14ac:dyDescent="0.2">
      <c r="A168" s="151"/>
      <c r="B168" s="984"/>
      <c r="C168" s="292"/>
      <c r="D168" s="151"/>
      <c r="E168" s="269"/>
      <c r="F168" s="305"/>
      <c r="G168" s="303" t="str">
        <f>IF(COUNT(G166,G170)=2,IF(G166&gt;G170,E166,E170),"")</f>
        <v/>
      </c>
      <c r="H168" s="451"/>
      <c r="I168" s="304" t="str">
        <f>IF(G168="-",0,IF(G160="-",13,""))</f>
        <v/>
      </c>
      <c r="J168" s="287"/>
      <c r="K168" s="334"/>
    </row>
    <row r="169" spans="1:11" ht="13.5" thickBot="1" x14ac:dyDescent="0.25">
      <c r="A169" s="151"/>
      <c r="B169" s="980" t="s">
        <v>13</v>
      </c>
      <c r="C169" s="456" t="str">
        <f>IF(COUNT(C126,C128)=2,IF(C126&lt;C128,B126,B128),"")</f>
        <v/>
      </c>
      <c r="D169" s="151"/>
      <c r="E169" s="301">
        <f>IF(C169="-",0,IF(C171="-",13,""))</f>
        <v>13</v>
      </c>
      <c r="F169" s="305"/>
      <c r="G169" s="306"/>
      <c r="H169" s="287"/>
      <c r="I169" s="287"/>
      <c r="J169" s="583" t="str">
        <f>IF(COUNT(I160,I168)=2,IF(I160&lt;I168,G160,G168),"")</f>
        <v/>
      </c>
      <c r="K169" s="584"/>
    </row>
    <row r="170" spans="1:11" x14ac:dyDescent="0.2">
      <c r="A170" s="151"/>
      <c r="B170" s="984"/>
      <c r="C170" s="449"/>
      <c r="D170" s="335"/>
      <c r="E170" s="303" t="str">
        <f>IF(COUNT(E169,E171)=2,IF(E169&gt;E171,C169,C171),"")</f>
        <v/>
      </c>
      <c r="F170" s="451"/>
      <c r="G170" s="304" t="str">
        <f>IF(E170="-",0,IF(E166="-",13,""))</f>
        <v/>
      </c>
      <c r="H170" s="269"/>
      <c r="I170" s="287"/>
      <c r="J170" s="296" t="s">
        <v>209</v>
      </c>
    </row>
    <row r="171" spans="1:11" x14ac:dyDescent="0.2">
      <c r="A171" s="151"/>
      <c r="B171" s="984"/>
      <c r="C171" s="456" t="str">
        <f>IF(COUNT(C130,C132)=2,IF(C130&lt;C132,B130,B132),"")</f>
        <v>-</v>
      </c>
      <c r="D171" s="587"/>
      <c r="E171" s="304">
        <f>IF(C171="-",0,IF(C169="-",13,""))</f>
        <v>0</v>
      </c>
      <c r="F171" s="269"/>
      <c r="G171" s="287"/>
      <c r="H171" s="287"/>
      <c r="I171" s="287"/>
      <c r="J171" s="269"/>
    </row>
    <row r="172" spans="1:11" x14ac:dyDescent="0.2">
      <c r="A172" s="151"/>
      <c r="B172" s="151"/>
      <c r="C172" s="151"/>
      <c r="D172" s="151"/>
      <c r="E172" s="269"/>
      <c r="F172" s="269"/>
      <c r="G172" s="284" t="str">
        <f>IF(COUNT(G158,G162)=2,IF(G158&lt;G162,E158,E162),"")</f>
        <v/>
      </c>
      <c r="H172" s="269"/>
      <c r="I172" s="301" t="str">
        <f>IF(G172="-",0,IF(G174="-",13,""))</f>
        <v/>
      </c>
      <c r="J172" s="269"/>
    </row>
    <row r="173" spans="1:11" ht="13.5" thickBot="1" x14ac:dyDescent="0.25">
      <c r="A173" s="151"/>
      <c r="B173" s="151"/>
      <c r="C173" s="151"/>
      <c r="D173" s="151"/>
      <c r="E173" s="269"/>
      <c r="F173" s="269"/>
      <c r="G173" s="455"/>
      <c r="H173" s="336"/>
      <c r="I173" s="338"/>
      <c r="J173" s="284" t="str">
        <f>IF(COUNT(I172,I174)=2,IF(I172&gt;I174,G172,G174),"")</f>
        <v/>
      </c>
    </row>
    <row r="174" spans="1:11" x14ac:dyDescent="0.2">
      <c r="A174" s="151"/>
      <c r="B174" s="151"/>
      <c r="C174" s="151"/>
      <c r="D174" s="151"/>
      <c r="E174" s="269"/>
      <c r="F174" s="269"/>
      <c r="G174" s="456" t="str">
        <f>IF(COUNT(G166,G170)=2,IF(G166&lt;G170,E166,E170),"")</f>
        <v/>
      </c>
      <c r="H174" s="451"/>
      <c r="I174" s="991" t="str">
        <f>IF(G174="-",0,IF(G172="-",13,""))</f>
        <v/>
      </c>
      <c r="J174" s="290" t="s">
        <v>210</v>
      </c>
      <c r="K174" s="333"/>
    </row>
    <row r="175" spans="1:11" x14ac:dyDescent="0.2">
      <c r="A175" s="151"/>
      <c r="B175" s="151"/>
      <c r="C175" s="151"/>
      <c r="D175" s="269"/>
      <c r="E175" s="269"/>
      <c r="F175" s="269"/>
      <c r="G175" s="269"/>
      <c r="H175" s="269"/>
      <c r="I175" s="269"/>
      <c r="J175" s="287"/>
      <c r="K175" s="334"/>
    </row>
    <row r="176" spans="1:11" ht="13.5" thickBot="1" x14ac:dyDescent="0.25">
      <c r="A176" s="151"/>
      <c r="B176" s="151"/>
      <c r="C176" s="151"/>
      <c r="D176" s="269"/>
      <c r="E176" s="269"/>
      <c r="F176" s="269"/>
      <c r="G176" s="287"/>
      <c r="H176" s="287"/>
      <c r="I176" s="269"/>
      <c r="J176" s="583" t="str">
        <f>IF(COUNT(I172,I174)=2,IF(I172&lt;I174,G172,G174),"")</f>
        <v/>
      </c>
      <c r="K176" s="584"/>
    </row>
    <row r="177" spans="1:11" x14ac:dyDescent="0.2">
      <c r="A177" s="151"/>
      <c r="B177" s="151"/>
      <c r="C177" s="151"/>
      <c r="D177" s="269"/>
      <c r="E177" s="269"/>
      <c r="F177" s="269"/>
      <c r="G177" s="269"/>
      <c r="H177" s="269"/>
      <c r="I177" s="269"/>
      <c r="J177" s="268" t="s">
        <v>211</v>
      </c>
    </row>
    <row r="178" spans="1:11" hidden="1" x14ac:dyDescent="0.2">
      <c r="A178" s="151"/>
      <c r="B178" s="151"/>
      <c r="C178" s="151"/>
      <c r="D178" s="269"/>
      <c r="E178" s="269"/>
      <c r="F178" s="269"/>
      <c r="G178" s="269"/>
      <c r="H178" s="269"/>
      <c r="I178" s="269"/>
      <c r="J178" s="269"/>
    </row>
    <row r="179" spans="1:11" hidden="1" x14ac:dyDescent="0.2">
      <c r="A179" s="151"/>
      <c r="B179" s="151"/>
      <c r="C179" s="151"/>
      <c r="D179" s="269"/>
      <c r="E179" s="456" t="str">
        <f>IF(COUNT(E157,E159)=2,IF(E157&lt;E159,C157,C159),"")</f>
        <v>-</v>
      </c>
      <c r="F179" s="269"/>
      <c r="G179" s="301">
        <f>IF(E179="-",0,IF(E181="-",13,""))</f>
        <v>0</v>
      </c>
      <c r="H179" s="301"/>
      <c r="I179" s="301"/>
      <c r="J179" s="269"/>
    </row>
    <row r="180" spans="1:11" hidden="1" x14ac:dyDescent="0.2">
      <c r="A180" s="151"/>
      <c r="B180" s="151"/>
      <c r="C180" s="151"/>
      <c r="D180" s="269"/>
      <c r="E180" s="457"/>
      <c r="F180" s="337"/>
      <c r="G180" s="303" t="str">
        <f>IF(COUNT(G179,G181)=2,IF(G179&gt;G181,E179,E181),"")</f>
        <v>-</v>
      </c>
      <c r="H180" s="269"/>
      <c r="I180" s="301">
        <f>IF(G180="-",0,IF(G184="-",13,""))</f>
        <v>0</v>
      </c>
      <c r="J180" s="269"/>
    </row>
    <row r="181" spans="1:11" hidden="1" x14ac:dyDescent="0.2">
      <c r="A181" s="151"/>
      <c r="B181" s="151"/>
      <c r="C181" s="151"/>
      <c r="D181" s="269"/>
      <c r="E181" s="456" t="str">
        <f>IF(COUNT(E161,E163)=2,IF(E161&lt;E163,C161,C163),"")</f>
        <v>-</v>
      </c>
      <c r="F181" s="458"/>
      <c r="G181" s="304">
        <f>IF(E181="-",0,IF(E179="-",13,""))</f>
        <v>0</v>
      </c>
      <c r="H181" s="337"/>
      <c r="I181" s="269"/>
      <c r="J181" s="269"/>
    </row>
    <row r="182" spans="1:11" hidden="1" x14ac:dyDescent="0.2">
      <c r="A182" s="151"/>
      <c r="B182" s="151"/>
      <c r="C182" s="151"/>
      <c r="D182" s="269"/>
      <c r="E182" s="301"/>
      <c r="F182" s="301"/>
      <c r="G182" s="308"/>
      <c r="H182" s="309"/>
      <c r="I182" s="338" t="str">
        <f>IF(COUNT(I180,I184)=2,IF(I180&gt;I184,G180,G184),"")</f>
        <v>-</v>
      </c>
      <c r="J182" s="284" t="str">
        <f>IF(COUNT(I180,I184)=2,IF(I180&gt;I184,G180,G184),"")</f>
        <v>-</v>
      </c>
    </row>
    <row r="183" spans="1:11" hidden="1" x14ac:dyDescent="0.2">
      <c r="A183" s="151"/>
      <c r="B183" s="151"/>
      <c r="C183" s="151"/>
      <c r="D183" s="269"/>
      <c r="E183" s="456" t="str">
        <f>IF(COUNT(E165,E167)=2,IF(E165&lt;E167,C165,C167),"")</f>
        <v>-</v>
      </c>
      <c r="F183" s="301"/>
      <c r="G183" s="301">
        <f>IF(E183="-",0,IF(E185="-",13,""))</f>
        <v>0</v>
      </c>
      <c r="H183" s="309"/>
      <c r="I183" s="307"/>
      <c r="J183" s="290"/>
      <c r="K183" s="333"/>
    </row>
    <row r="184" spans="1:11" hidden="1" x14ac:dyDescent="0.2">
      <c r="A184" s="151"/>
      <c r="B184" s="151"/>
      <c r="C184" s="151"/>
      <c r="D184" s="269"/>
      <c r="E184" s="457"/>
      <c r="F184" s="337"/>
      <c r="G184" s="303" t="str">
        <f>IF(COUNT(G183,G185)=2,IF(G183&gt;G185,E183,E185),"")</f>
        <v>-</v>
      </c>
      <c r="H184" s="451"/>
      <c r="I184" s="304">
        <f>IF(G184="-",0,IF(G180="-",13,""))</f>
        <v>0</v>
      </c>
      <c r="J184" s="287"/>
      <c r="K184" s="334"/>
    </row>
    <row r="185" spans="1:11" ht="13.5" hidden="1" thickBot="1" x14ac:dyDescent="0.25">
      <c r="A185" s="151"/>
      <c r="B185" s="151"/>
      <c r="C185" s="151"/>
      <c r="D185" s="269"/>
      <c r="E185" s="456" t="str">
        <f>IF(COUNT(E169,E171)=2,IF(E169&lt;E171,C169,C171),"")</f>
        <v>-</v>
      </c>
      <c r="F185" s="458"/>
      <c r="G185" s="304">
        <f>IF(E185="-",0,IF(E183="-",13,""))</f>
        <v>0</v>
      </c>
      <c r="H185" s="301"/>
      <c r="I185" s="308"/>
      <c r="J185" s="583" t="str">
        <f>IF(COUNT(I180,I184)=2,IF(I180&lt;I184,G180,G184),"")</f>
        <v>-</v>
      </c>
      <c r="K185" s="584"/>
    </row>
    <row r="186" spans="1:11" hidden="1" x14ac:dyDescent="0.2">
      <c r="A186" s="151"/>
      <c r="B186" s="151"/>
      <c r="C186" s="151"/>
      <c r="D186" s="269"/>
      <c r="E186" s="301"/>
      <c r="F186" s="301"/>
      <c r="G186" s="301"/>
      <c r="H186" s="301"/>
      <c r="I186" s="308"/>
      <c r="J186" s="268"/>
    </row>
    <row r="187" spans="1:11" hidden="1" x14ac:dyDescent="0.2">
      <c r="A187" s="151"/>
      <c r="B187" s="151"/>
      <c r="C187" s="151"/>
      <c r="D187" s="269"/>
      <c r="E187" s="301"/>
      <c r="F187" s="308"/>
      <c r="G187" s="284" t="str">
        <f>IF(COUNT(G179,G181)=2,IF(G179&lt;G181,E179,E181),"")</f>
        <v>-</v>
      </c>
      <c r="H187" s="269"/>
      <c r="I187" s="308">
        <f>IF(G187="-",0,IF(G189="-",13,""))</f>
        <v>0</v>
      </c>
      <c r="J187" s="287"/>
    </row>
    <row r="188" spans="1:11" ht="13.5" hidden="1" thickBot="1" x14ac:dyDescent="0.25">
      <c r="A188" s="151"/>
      <c r="B188" s="151"/>
      <c r="C188" s="151"/>
      <c r="D188" s="269"/>
      <c r="E188" s="301"/>
      <c r="F188" s="308"/>
      <c r="G188" s="455"/>
      <c r="H188" s="336"/>
      <c r="I188" s="585" t="str">
        <f>IF(COUNT(I187,I189)=2,IF(I187&gt;I189,G187,G189),"")</f>
        <v>-</v>
      </c>
      <c r="J188" s="284" t="str">
        <f>IF(COUNT(I187,I189)=2,IF(I187&gt;I189,G187,G189),"")</f>
        <v>-</v>
      </c>
    </row>
    <row r="189" spans="1:11" hidden="1" x14ac:dyDescent="0.2">
      <c r="A189" s="151"/>
      <c r="B189" s="151"/>
      <c r="C189" s="151"/>
      <c r="D189" s="269"/>
      <c r="E189" s="301"/>
      <c r="F189" s="308"/>
      <c r="G189" s="456" t="str">
        <f>IF(COUNT(G183,G185)=2,IF(G183&lt;G185,E183,E185),"")</f>
        <v>-</v>
      </c>
      <c r="H189" s="451"/>
      <c r="I189" s="304">
        <f>IF(G189="-",0,IF(G187="-",13,""))</f>
        <v>0</v>
      </c>
      <c r="J189" s="290"/>
      <c r="K189" s="333"/>
    </row>
    <row r="190" spans="1:11" hidden="1" x14ac:dyDescent="0.2">
      <c r="A190" s="151"/>
      <c r="B190" s="151"/>
      <c r="C190" s="151"/>
      <c r="D190" s="269"/>
      <c r="E190" s="269"/>
      <c r="F190" s="287"/>
      <c r="G190" s="269"/>
      <c r="H190" s="269"/>
      <c r="I190" s="269"/>
      <c r="J190" s="287"/>
      <c r="K190" s="334"/>
    </row>
    <row r="191" spans="1:11" ht="13.5" hidden="1" thickBot="1" x14ac:dyDescent="0.25">
      <c r="A191" s="151"/>
      <c r="B191" s="151"/>
      <c r="C191" s="151"/>
      <c r="D191" s="269"/>
      <c r="E191" s="269"/>
      <c r="F191" s="269"/>
      <c r="G191" s="287"/>
      <c r="H191" s="287"/>
      <c r="I191" s="269"/>
      <c r="J191" s="586" t="str">
        <f>IF(COUNT(I187,I189)=2,IF(I187&lt;I189,G187,G189),"")</f>
        <v>-</v>
      </c>
      <c r="K191" s="584"/>
    </row>
    <row r="192" spans="1:11" hidden="1" x14ac:dyDescent="0.2">
      <c r="A192" s="151"/>
      <c r="B192" s="151"/>
      <c r="C192" s="151"/>
      <c r="D192" s="269"/>
      <c r="E192" s="269"/>
      <c r="F192" s="269"/>
      <c r="G192" s="287"/>
      <c r="H192" s="287"/>
      <c r="I192" s="269"/>
      <c r="J192" s="268"/>
    </row>
    <row r="193" spans="1:11" x14ac:dyDescent="0.2">
      <c r="A193" s="151"/>
      <c r="B193" s="151"/>
      <c r="C193" s="151"/>
      <c r="D193" s="151"/>
      <c r="E193" s="151"/>
      <c r="F193" s="151"/>
      <c r="G193" s="151"/>
      <c r="H193" s="151"/>
      <c r="I193" s="151"/>
      <c r="J193" s="151"/>
    </row>
    <row r="194" spans="1:11" x14ac:dyDescent="0.2">
      <c r="A194" s="331" t="s">
        <v>319</v>
      </c>
      <c r="B194" s="151"/>
      <c r="C194" s="151"/>
      <c r="D194" s="151"/>
      <c r="E194" s="151"/>
      <c r="F194" s="151"/>
      <c r="G194" s="151"/>
      <c r="H194" s="151"/>
      <c r="I194" s="151"/>
      <c r="J194" s="151"/>
    </row>
    <row r="195" spans="1:11" x14ac:dyDescent="0.2">
      <c r="A195" s="151"/>
      <c r="B195" s="151"/>
      <c r="C195" s="151"/>
      <c r="D195" s="151"/>
      <c r="E195" s="151"/>
      <c r="F195" s="151"/>
      <c r="G195" s="151"/>
      <c r="H195" s="151"/>
      <c r="I195" s="151"/>
      <c r="J195" s="151"/>
    </row>
    <row r="196" spans="1:11" x14ac:dyDescent="0.2">
      <c r="B196" s="332" t="s">
        <v>203</v>
      </c>
      <c r="C196" s="582" t="str">
        <f>IF(B196="-","-",IFERROR(INDEX(B$1:B$100,MATCH(B196,I$1:I$100,0)),""))</f>
        <v/>
      </c>
      <c r="D196" s="151"/>
      <c r="E196" s="301">
        <f>IF(C196="-",0,IF(C198="-",13,""))</f>
        <v>13</v>
      </c>
      <c r="F196" s="269"/>
      <c r="G196" s="269"/>
      <c r="H196" s="269"/>
      <c r="I196" s="269"/>
      <c r="J196" s="269"/>
    </row>
    <row r="197" spans="1:11" x14ac:dyDescent="0.2">
      <c r="B197" s="332"/>
      <c r="C197" s="449"/>
      <c r="D197" s="335"/>
      <c r="E197" s="303" t="str">
        <f>IF(COUNT(E196,E198)=2,IF(E196&gt;E198,C196,C198),"")</f>
        <v/>
      </c>
      <c r="F197" s="269"/>
      <c r="G197" s="301" t="str">
        <f>IF(E197="-",0,IF(E201="-",13,""))</f>
        <v/>
      </c>
      <c r="H197" s="269"/>
      <c r="I197" s="269"/>
      <c r="J197" s="269"/>
    </row>
    <row r="198" spans="1:11" x14ac:dyDescent="0.2">
      <c r="B198" s="332" t="s">
        <v>205</v>
      </c>
      <c r="C198" s="582" t="str">
        <f>IF(B198="-","-",IFERROR(INDEX(B$1:B$100,MATCH(B198,I$1:I$100,0)),""))</f>
        <v>-</v>
      </c>
      <c r="D198" s="587"/>
      <c r="E198" s="304">
        <f>IF(C198="-",0,IF(C196="-",13,""))</f>
        <v>0</v>
      </c>
      <c r="F198" s="336"/>
      <c r="G198" s="269"/>
      <c r="H198" s="269"/>
      <c r="I198" s="269"/>
      <c r="J198" s="269"/>
    </row>
    <row r="199" spans="1:11" x14ac:dyDescent="0.2">
      <c r="B199" s="332"/>
      <c r="C199" s="292"/>
      <c r="D199" s="151"/>
      <c r="E199" s="269"/>
      <c r="F199" s="305"/>
      <c r="G199" s="303" t="str">
        <f>IF(COUNT(G197,G201)=2,IF(G197&gt;G201,E197,E201),"")</f>
        <v/>
      </c>
      <c r="H199" s="269"/>
      <c r="I199" s="301" t="str">
        <f>IF(G199="-",0,IF(G207="-",13,""))</f>
        <v/>
      </c>
      <c r="J199" s="269"/>
    </row>
    <row r="200" spans="1:11" x14ac:dyDescent="0.2">
      <c r="B200" s="332" t="s">
        <v>227</v>
      </c>
      <c r="C200" s="582" t="str">
        <f>IF(B200="-","-",IFERROR(INDEX(B$1:B$100,MATCH(B200,I$1:I$100,0)),""))</f>
        <v/>
      </c>
      <c r="D200" s="151"/>
      <c r="E200" s="301" t="str">
        <f>IF(C200="-",0,IF(C202="-",13,""))</f>
        <v/>
      </c>
      <c r="F200" s="305"/>
      <c r="G200" s="306"/>
      <c r="H200" s="336"/>
      <c r="I200" s="269"/>
      <c r="J200" s="269"/>
    </row>
    <row r="201" spans="1:11" x14ac:dyDescent="0.2">
      <c r="B201" s="332"/>
      <c r="C201" s="449"/>
      <c r="D201" s="985" t="s">
        <v>23</v>
      </c>
      <c r="E201" s="303" t="str">
        <f>IF(COUNT(E200,E202)=2,IF(E200&gt;E202,C200,C202),"")</f>
        <v/>
      </c>
      <c r="F201" s="451"/>
      <c r="G201" s="304" t="str">
        <f>IF(E201="-",0,IF(E197="-",13,""))</f>
        <v/>
      </c>
      <c r="H201" s="305"/>
      <c r="I201" s="269"/>
      <c r="J201" s="269"/>
    </row>
    <row r="202" spans="1:11" x14ac:dyDescent="0.2">
      <c r="B202" s="332" t="s">
        <v>208</v>
      </c>
      <c r="C202" s="582" t="str">
        <f>IF(B202="-","-",IFERROR(INDEX(B$1:B$100,MATCH(B202,I$1:I$100,0)),""))</f>
        <v/>
      </c>
      <c r="D202" s="587"/>
      <c r="E202" s="304" t="str">
        <f>IF(C202="-",0,IF(C200="-",13,""))</f>
        <v/>
      </c>
      <c r="F202" s="269"/>
      <c r="G202" s="287"/>
      <c r="H202" s="305"/>
      <c r="I202" s="269"/>
      <c r="J202" s="269"/>
    </row>
    <row r="203" spans="1:11" ht="13.5" thickBot="1" x14ac:dyDescent="0.25">
      <c r="B203" s="332"/>
      <c r="C203" s="292"/>
      <c r="D203" s="151"/>
      <c r="E203" s="269"/>
      <c r="F203" s="269"/>
      <c r="G203" s="287"/>
      <c r="H203" s="305"/>
      <c r="I203" s="269"/>
      <c r="J203" s="284" t="str">
        <f>IF(COUNT(I199,I207)=2,IF(I199&gt;I207,G199,G207),"")</f>
        <v/>
      </c>
    </row>
    <row r="204" spans="1:11" x14ac:dyDescent="0.2">
      <c r="B204" s="332" t="s">
        <v>206</v>
      </c>
      <c r="C204" s="582" t="str">
        <f>IF(B204="-","-",IFERROR(INDEX(B$1:B$100,MATCH(B204,I$1:I$100,0)),""))</f>
        <v/>
      </c>
      <c r="D204" s="151"/>
      <c r="E204" s="301" t="str">
        <f>IF(C204="-",0,IF(C206="-",13,""))</f>
        <v/>
      </c>
      <c r="F204" s="269"/>
      <c r="G204" s="269"/>
      <c r="H204" s="305"/>
      <c r="I204" s="307"/>
      <c r="J204" s="290" t="s">
        <v>212</v>
      </c>
      <c r="K204" s="333"/>
    </row>
    <row r="205" spans="1:11" x14ac:dyDescent="0.2">
      <c r="B205" s="332"/>
      <c r="C205" s="449"/>
      <c r="D205" s="985" t="s">
        <v>24</v>
      </c>
      <c r="E205" s="303" t="str">
        <f>IF(COUNT(E204,E206)=2,IF(E204&gt;E206,C204,C206),"")</f>
        <v/>
      </c>
      <c r="F205" s="269"/>
      <c r="G205" s="301" t="str">
        <f>IF(E205="-",0,IF(E209="-",13,""))</f>
        <v/>
      </c>
      <c r="H205" s="305"/>
      <c r="I205" s="287"/>
      <c r="J205" s="287"/>
      <c r="K205" s="334"/>
    </row>
    <row r="206" spans="1:11" x14ac:dyDescent="0.2">
      <c r="B206" s="332" t="s">
        <v>228</v>
      </c>
      <c r="C206" s="582" t="str">
        <f>IF(B206="-","-",IFERROR(INDEX(B$1:B$100,MATCH(B206,I$1:I$100,0)),""))</f>
        <v/>
      </c>
      <c r="D206" s="587"/>
      <c r="E206" s="304" t="str">
        <f>IF(C206="-",0,IF(C204="-",13,""))</f>
        <v/>
      </c>
      <c r="F206" s="336"/>
      <c r="G206" s="269"/>
      <c r="H206" s="305"/>
      <c r="I206" s="287"/>
      <c r="J206" s="287"/>
      <c r="K206" s="334"/>
    </row>
    <row r="207" spans="1:11" x14ac:dyDescent="0.2">
      <c r="B207" s="332"/>
      <c r="C207" s="292"/>
      <c r="D207" s="151"/>
      <c r="E207" s="269"/>
      <c r="F207" s="305"/>
      <c r="G207" s="303" t="str">
        <f>IF(COUNT(G205,G209)=2,IF(G205&gt;G209,E205,E209),"")</f>
        <v/>
      </c>
      <c r="H207" s="451"/>
      <c r="I207" s="304" t="str">
        <f>IF(G207="-",0,IF(G199="-",13,""))</f>
        <v/>
      </c>
      <c r="J207" s="287"/>
      <c r="K207" s="334"/>
    </row>
    <row r="208" spans="1:11" ht="13.5" thickBot="1" x14ac:dyDescent="0.25">
      <c r="B208" s="332" t="s">
        <v>205</v>
      </c>
      <c r="C208" s="582" t="str">
        <f>IF(B208="-","-",IFERROR(INDEX(B$1:B$100,MATCH(B208,I$1:I$100,0)),""))</f>
        <v>-</v>
      </c>
      <c r="D208" s="151"/>
      <c r="E208" s="301">
        <f>IF(C208="-",0,IF(C210="-",13,""))</f>
        <v>0</v>
      </c>
      <c r="F208" s="305"/>
      <c r="G208" s="306"/>
      <c r="H208" s="287"/>
      <c r="I208" s="287"/>
      <c r="J208" s="583" t="str">
        <f>IF(COUNT(I199,I207)=2,IF(I199&lt;I207,G199,G207),"")</f>
        <v/>
      </c>
      <c r="K208" s="584"/>
    </row>
    <row r="209" spans="2:11" x14ac:dyDescent="0.2">
      <c r="B209" s="332"/>
      <c r="C209" s="449"/>
      <c r="D209" s="335"/>
      <c r="E209" s="303" t="str">
        <f>IF(COUNT(E208,E210)=2,IF(E208&gt;E210,C208,C210),"")</f>
        <v/>
      </c>
      <c r="F209" s="451"/>
      <c r="G209" s="304" t="str">
        <f>IF(E209="-",0,IF(E205="-",13,""))</f>
        <v/>
      </c>
      <c r="H209" s="269"/>
      <c r="I209" s="287"/>
      <c r="J209" s="296" t="s">
        <v>213</v>
      </c>
    </row>
    <row r="210" spans="2:11" x14ac:dyDescent="0.2">
      <c r="B210" s="332" t="s">
        <v>204</v>
      </c>
      <c r="C210" s="582" t="str">
        <f>IF(B210="-","-",IFERROR(INDEX(B$1:B$100,MATCH(B210,I$1:I$100,0)),""))</f>
        <v/>
      </c>
      <c r="D210" s="587"/>
      <c r="E210" s="304">
        <f>IF(C210="-",0,IF(C208="-",13,""))</f>
        <v>13</v>
      </c>
      <c r="F210" s="269"/>
      <c r="G210" s="287"/>
      <c r="H210" s="287"/>
      <c r="I210" s="287"/>
      <c r="J210" s="269"/>
    </row>
    <row r="211" spans="2:11" x14ac:dyDescent="0.2">
      <c r="C211" s="151"/>
      <c r="D211" s="151"/>
      <c r="E211" s="269"/>
      <c r="F211" s="269"/>
      <c r="G211" s="284" t="str">
        <f>IF(COUNT(G197,G201)=2,IF(G197&lt;G201,E197,E201),"")</f>
        <v/>
      </c>
      <c r="H211" s="269"/>
      <c r="I211" s="301" t="str">
        <f>IF(G211="-",0,IF(G213="-",13,""))</f>
        <v/>
      </c>
      <c r="J211" s="269"/>
    </row>
    <row r="212" spans="2:11" ht="13.5" thickBot="1" x14ac:dyDescent="0.25">
      <c r="C212" s="151"/>
      <c r="D212" s="151"/>
      <c r="E212" s="269"/>
      <c r="F212" s="269"/>
      <c r="G212" s="455"/>
      <c r="H212" s="336"/>
      <c r="I212" s="338"/>
      <c r="J212" s="284" t="str">
        <f>IF(COUNT(I211,I213)=2,IF(I211&gt;I213,G211,G213),"")</f>
        <v/>
      </c>
    </row>
    <row r="213" spans="2:11" x14ac:dyDescent="0.2">
      <c r="C213" s="151"/>
      <c r="D213" s="151"/>
      <c r="E213" s="269"/>
      <c r="F213" s="269"/>
      <c r="G213" s="456" t="str">
        <f>IF(COUNT(G205,G209)=2,IF(G205&lt;G209,E205,E209),"")</f>
        <v/>
      </c>
      <c r="H213" s="451"/>
      <c r="I213" s="991" t="str">
        <f>IF(G213="-",0,IF(G211="-",13,""))</f>
        <v/>
      </c>
      <c r="J213" s="290" t="s">
        <v>216</v>
      </c>
      <c r="K213" s="333"/>
    </row>
    <row r="214" spans="2:11" x14ac:dyDescent="0.2">
      <c r="C214" s="151"/>
      <c r="D214" s="269"/>
      <c r="E214" s="269"/>
      <c r="F214" s="269"/>
      <c r="G214" s="269"/>
      <c r="H214" s="269"/>
      <c r="I214" s="287"/>
      <c r="J214" s="287"/>
      <c r="K214" s="334"/>
    </row>
    <row r="215" spans="2:11" ht="13.5" thickBot="1" x14ac:dyDescent="0.25">
      <c r="C215" s="151"/>
      <c r="D215" s="269"/>
      <c r="E215" s="269"/>
      <c r="F215" s="269"/>
      <c r="G215" s="287"/>
      <c r="H215" s="287"/>
      <c r="I215" s="287"/>
      <c r="J215" s="314" t="str">
        <f>IF(COUNT(I211,I213)=2,IF(I211&lt;I213,G211,G213),"")</f>
        <v/>
      </c>
      <c r="K215" s="584"/>
    </row>
    <row r="216" spans="2:11" x14ac:dyDescent="0.2">
      <c r="C216" s="151"/>
      <c r="D216" s="269"/>
      <c r="E216" s="269"/>
      <c r="F216" s="269"/>
      <c r="G216" s="269"/>
      <c r="H216" s="269"/>
      <c r="I216" s="287"/>
      <c r="J216" s="296" t="s">
        <v>217</v>
      </c>
    </row>
    <row r="217" spans="2:11" x14ac:dyDescent="0.2">
      <c r="C217" s="151"/>
      <c r="D217" s="269"/>
      <c r="E217" s="269"/>
      <c r="F217" s="269"/>
      <c r="G217" s="269"/>
      <c r="H217" s="269"/>
      <c r="I217" s="287"/>
      <c r="J217" s="287"/>
    </row>
    <row r="218" spans="2:11" x14ac:dyDescent="0.2">
      <c r="C218" s="151"/>
      <c r="D218" s="269"/>
      <c r="E218" s="456" t="str">
        <f>IF(COUNT(E196,E198)=2,IF(E196&lt;E198,C196,C198),"")</f>
        <v>-</v>
      </c>
      <c r="F218" s="269"/>
      <c r="G218" s="301">
        <f>IF(E218="-",0,IF(E220="-",13,""))</f>
        <v>0</v>
      </c>
      <c r="H218" s="301"/>
      <c r="I218" s="308"/>
      <c r="J218" s="287"/>
    </row>
    <row r="219" spans="2:11" x14ac:dyDescent="0.2">
      <c r="C219" s="151"/>
      <c r="D219" s="269"/>
      <c r="E219" s="457"/>
      <c r="F219" s="337"/>
      <c r="G219" s="303" t="str">
        <f>IF(COUNT(G218,G220)=2,IF(G218&gt;G220,E218,E220),"")</f>
        <v/>
      </c>
      <c r="H219" s="269"/>
      <c r="I219" s="308" t="str">
        <f>IF(G219="-",0,IF(G223="-",13,""))</f>
        <v/>
      </c>
      <c r="J219" s="287"/>
    </row>
    <row r="220" spans="2:11" x14ac:dyDescent="0.2">
      <c r="C220" s="151"/>
      <c r="D220" s="986" t="s">
        <v>23</v>
      </c>
      <c r="E220" s="456" t="str">
        <f>IF(COUNT(E200,E202)=2,IF(E200&lt;E202,C200,C202),"")</f>
        <v/>
      </c>
      <c r="F220" s="458"/>
      <c r="G220" s="304">
        <f>IF(E220="-",0,IF(E218="-",13,""))</f>
        <v>13</v>
      </c>
      <c r="H220" s="337"/>
      <c r="I220" s="287"/>
      <c r="J220" s="287"/>
    </row>
    <row r="221" spans="2:11" ht="13.5" thickBot="1" x14ac:dyDescent="0.25">
      <c r="C221" s="151"/>
      <c r="D221" s="269"/>
      <c r="E221" s="301"/>
      <c r="F221" s="301"/>
      <c r="G221" s="308"/>
      <c r="H221" s="309"/>
      <c r="I221" s="585"/>
      <c r="J221" s="314" t="str">
        <f>IF(COUNT(I219,I223)=2,IF(I219&gt;I223,G219,G223),"")</f>
        <v/>
      </c>
    </row>
    <row r="222" spans="2:11" x14ac:dyDescent="0.2">
      <c r="C222" s="151"/>
      <c r="D222" s="986" t="s">
        <v>24</v>
      </c>
      <c r="E222" s="456" t="str">
        <f>IF(COUNT(E204,E206)=2,IF(E204&lt;E206,C204,C206),"")</f>
        <v/>
      </c>
      <c r="F222" s="301"/>
      <c r="G222" s="301">
        <f>IF(E222="-",0,IF(E224="-",13,""))</f>
        <v>13</v>
      </c>
      <c r="H222" s="309"/>
      <c r="I222" s="987"/>
      <c r="J222" s="296" t="s">
        <v>218</v>
      </c>
      <c r="K222" s="333"/>
    </row>
    <row r="223" spans="2:11" x14ac:dyDescent="0.2">
      <c r="C223" s="151"/>
      <c r="D223" s="269"/>
      <c r="E223" s="457"/>
      <c r="F223" s="337"/>
      <c r="G223" s="303" t="str">
        <f>IF(COUNT(G222,G224)=2,IF(G222&gt;G224,E222,E224),"")</f>
        <v/>
      </c>
      <c r="H223" s="451"/>
      <c r="I223" s="304" t="str">
        <f>IF(G223="-",0,IF(G219="-",13,""))</f>
        <v/>
      </c>
      <c r="J223" s="287"/>
      <c r="K223" s="334"/>
    </row>
    <row r="224" spans="2:11" ht="13.5" thickBot="1" x14ac:dyDescent="0.25">
      <c r="C224" s="151"/>
      <c r="D224" s="269"/>
      <c r="E224" s="456" t="str">
        <f>IF(COUNT(E208,E210)=2,IF(E208&lt;E210,C208,C210),"")</f>
        <v>-</v>
      </c>
      <c r="F224" s="458"/>
      <c r="G224" s="304">
        <f>IF(E224="-",0,IF(E222="-",13,""))</f>
        <v>0</v>
      </c>
      <c r="H224" s="301"/>
      <c r="I224" s="308"/>
      <c r="J224" s="583" t="str">
        <f>IF(COUNT(I219,I223)=2,IF(I219&lt;I223,G219,G223),"")</f>
        <v/>
      </c>
      <c r="K224" s="584"/>
    </row>
    <row r="225" spans="3:11" x14ac:dyDescent="0.2">
      <c r="C225" s="151"/>
      <c r="D225" s="269"/>
      <c r="E225" s="301"/>
      <c r="F225" s="301"/>
      <c r="G225" s="301"/>
      <c r="H225" s="301"/>
      <c r="I225" s="308"/>
      <c r="J225" s="268" t="s">
        <v>219</v>
      </c>
    </row>
    <row r="226" spans="3:11" x14ac:dyDescent="0.2">
      <c r="C226" s="151"/>
      <c r="D226" s="269"/>
      <c r="E226" s="301"/>
      <c r="F226" s="308"/>
      <c r="G226" s="284" t="str">
        <f>IF(COUNT(G218,G220)=2,IF(G218&lt;G220,E218,E220),"")</f>
        <v>-</v>
      </c>
      <c r="H226" s="269"/>
      <c r="I226" s="301">
        <f>IF(G226="-",0,IF(G228="-",13,""))</f>
        <v>0</v>
      </c>
      <c r="J226" s="287"/>
    </row>
    <row r="227" spans="3:11" ht="13.5" thickBot="1" x14ac:dyDescent="0.25">
      <c r="C227" s="151"/>
      <c r="D227" s="269"/>
      <c r="E227" s="301"/>
      <c r="F227" s="308"/>
      <c r="G227" s="455"/>
      <c r="H227" s="336"/>
      <c r="I227" s="338"/>
      <c r="J227" s="284" t="str">
        <f>IF(COUNT(I226,I228)=2,IF(I226&gt;I228,G226,G228),"")</f>
        <v>-</v>
      </c>
    </row>
    <row r="228" spans="3:11" x14ac:dyDescent="0.2">
      <c r="C228" s="151"/>
      <c r="D228" s="269"/>
      <c r="E228" s="301"/>
      <c r="F228" s="308"/>
      <c r="G228" s="456" t="str">
        <f>IF(COUNT(G222,G224)=2,IF(G222&lt;G224,E222,E224),"")</f>
        <v>-</v>
      </c>
      <c r="H228" s="451"/>
      <c r="I228" s="991">
        <f>IF(G228="-",0,IF(G226="-",13,""))</f>
        <v>0</v>
      </c>
      <c r="J228" s="290"/>
      <c r="K228" s="333"/>
    </row>
    <row r="229" spans="3:11" x14ac:dyDescent="0.2">
      <c r="C229" s="151"/>
      <c r="D229" s="269"/>
      <c r="E229" s="269"/>
      <c r="F229" s="287"/>
      <c r="G229" s="269"/>
      <c r="H229" s="269"/>
      <c r="I229" s="269"/>
      <c r="J229" s="287"/>
      <c r="K229" s="334"/>
    </row>
    <row r="230" spans="3:11" ht="13.5" thickBot="1" x14ac:dyDescent="0.25">
      <c r="C230" s="151"/>
      <c r="D230" s="269"/>
      <c r="E230" s="269"/>
      <c r="F230" s="269"/>
      <c r="G230" s="287"/>
      <c r="H230" s="287"/>
      <c r="I230" s="269"/>
      <c r="J230" s="586" t="str">
        <f>IF(COUNT(I226,I228)=2,IF(I226&lt;I228,G226,G228),"")</f>
        <v>-</v>
      </c>
      <c r="K230" s="584"/>
    </row>
    <row r="231" spans="3:11" x14ac:dyDescent="0.2">
      <c r="C231" s="151"/>
      <c r="D231" s="269"/>
      <c r="E231" s="269"/>
      <c r="F231" s="269"/>
      <c r="G231" s="287"/>
      <c r="H231" s="287"/>
      <c r="I231" s="269"/>
      <c r="J231" s="268"/>
    </row>
    <row r="232" spans="3:11" hidden="1" x14ac:dyDescent="0.2"/>
    <row r="233" spans="3:11" hidden="1" x14ac:dyDescent="0.2"/>
    <row r="234" spans="3:11" hidden="1" x14ac:dyDescent="0.2"/>
    <row r="235" spans="3:11" hidden="1" x14ac:dyDescent="0.2"/>
    <row r="236" spans="3:11" hidden="1" x14ac:dyDescent="0.2"/>
    <row r="237" spans="3:11" hidden="1" x14ac:dyDescent="0.2"/>
    <row r="238" spans="3:11" hidden="1" x14ac:dyDescent="0.2"/>
    <row r="239" spans="3:11" hidden="1" x14ac:dyDescent="0.2"/>
    <row r="240" spans="3:11"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spans="1:3" hidden="1" x14ac:dyDescent="0.2"/>
    <row r="290" spans="1:3" hidden="1" x14ac:dyDescent="0.2"/>
    <row r="291" spans="1:3" hidden="1" x14ac:dyDescent="0.2"/>
    <row r="292" spans="1:3" hidden="1" x14ac:dyDescent="0.2"/>
    <row r="293" spans="1:3" hidden="1" x14ac:dyDescent="0.2"/>
    <row r="294" spans="1:3" hidden="1" x14ac:dyDescent="0.2"/>
    <row r="295" spans="1:3" hidden="1" x14ac:dyDescent="0.2"/>
    <row r="296" spans="1:3" hidden="1" x14ac:dyDescent="0.2"/>
    <row r="297" spans="1:3" hidden="1" x14ac:dyDescent="0.2"/>
    <row r="299" spans="1:3" x14ac:dyDescent="0.2">
      <c r="A299" s="271"/>
      <c r="B299" s="271"/>
      <c r="C299" s="401" t="s">
        <v>248</v>
      </c>
    </row>
    <row r="300" spans="1:3" x14ac:dyDescent="0.2">
      <c r="A300" s="530">
        <v>1</v>
      </c>
      <c r="B300" s="529" t="str">
        <f t="shared" ref="B300:B317" si="11">IFERROR(INDEX(J$100:J$300,MATCH(A300&amp;". koht",J$101:J$301,0)),"")</f>
        <v/>
      </c>
      <c r="C300" s="499">
        <f t="shared" ref="C300:C317" si="12">IF(21-A300&gt;0,21-A300,1)</f>
        <v>20</v>
      </c>
    </row>
    <row r="301" spans="1:3" x14ac:dyDescent="0.2">
      <c r="A301" s="530">
        <v>2</v>
      </c>
      <c r="B301" s="529" t="str">
        <f t="shared" si="11"/>
        <v/>
      </c>
      <c r="C301" s="499">
        <f t="shared" si="12"/>
        <v>19</v>
      </c>
    </row>
    <row r="302" spans="1:3" x14ac:dyDescent="0.2">
      <c r="A302" s="530">
        <v>3</v>
      </c>
      <c r="B302" s="529" t="str">
        <f t="shared" si="11"/>
        <v/>
      </c>
      <c r="C302" s="499">
        <f t="shared" si="12"/>
        <v>18</v>
      </c>
    </row>
    <row r="303" spans="1:3" x14ac:dyDescent="0.2">
      <c r="A303" s="530">
        <v>4</v>
      </c>
      <c r="B303" s="529" t="str">
        <f t="shared" si="11"/>
        <v/>
      </c>
      <c r="C303" s="499">
        <f t="shared" si="12"/>
        <v>17</v>
      </c>
    </row>
    <row r="304" spans="1:3" x14ac:dyDescent="0.2">
      <c r="A304" s="530">
        <v>5</v>
      </c>
      <c r="B304" s="529" t="str">
        <f t="shared" si="11"/>
        <v/>
      </c>
      <c r="C304" s="499">
        <f t="shared" si="12"/>
        <v>16</v>
      </c>
    </row>
    <row r="305" spans="1:3" x14ac:dyDescent="0.2">
      <c r="A305" s="530">
        <v>6</v>
      </c>
      <c r="B305" s="529" t="str">
        <f t="shared" si="11"/>
        <v/>
      </c>
      <c r="C305" s="499">
        <f t="shared" si="12"/>
        <v>15</v>
      </c>
    </row>
    <row r="306" spans="1:3" x14ac:dyDescent="0.2">
      <c r="A306" s="530">
        <v>7</v>
      </c>
      <c r="B306" s="529" t="str">
        <f t="shared" si="11"/>
        <v/>
      </c>
      <c r="C306" s="499">
        <f t="shared" si="12"/>
        <v>14</v>
      </c>
    </row>
    <row r="307" spans="1:3" x14ac:dyDescent="0.2">
      <c r="A307" s="530">
        <v>8</v>
      </c>
      <c r="B307" s="529" t="str">
        <f t="shared" si="11"/>
        <v/>
      </c>
      <c r="C307" s="499">
        <f t="shared" si="12"/>
        <v>13</v>
      </c>
    </row>
    <row r="308" spans="1:3" x14ac:dyDescent="0.2">
      <c r="A308" s="530">
        <v>9</v>
      </c>
      <c r="B308" s="529" t="str">
        <f t="shared" si="11"/>
        <v/>
      </c>
      <c r="C308" s="499">
        <f t="shared" si="12"/>
        <v>12</v>
      </c>
    </row>
    <row r="309" spans="1:3" x14ac:dyDescent="0.2">
      <c r="A309" s="530">
        <v>10</v>
      </c>
      <c r="B309" s="529" t="str">
        <f t="shared" si="11"/>
        <v/>
      </c>
      <c r="C309" s="499">
        <f t="shared" si="12"/>
        <v>11</v>
      </c>
    </row>
    <row r="310" spans="1:3" x14ac:dyDescent="0.2">
      <c r="A310" s="530">
        <v>11</v>
      </c>
      <c r="B310" s="529" t="str">
        <f t="shared" si="11"/>
        <v/>
      </c>
      <c r="C310" s="499">
        <f t="shared" si="12"/>
        <v>10</v>
      </c>
    </row>
    <row r="311" spans="1:3" x14ac:dyDescent="0.2">
      <c r="A311" s="530">
        <v>12</v>
      </c>
      <c r="B311" s="529" t="str">
        <f t="shared" si="11"/>
        <v/>
      </c>
      <c r="C311" s="499">
        <f t="shared" si="12"/>
        <v>9</v>
      </c>
    </row>
    <row r="312" spans="1:3" x14ac:dyDescent="0.2">
      <c r="A312" s="530">
        <v>13</v>
      </c>
      <c r="B312" s="529" t="str">
        <f t="shared" si="11"/>
        <v/>
      </c>
      <c r="C312" s="499">
        <f t="shared" si="12"/>
        <v>8</v>
      </c>
    </row>
    <row r="313" spans="1:3" x14ac:dyDescent="0.2">
      <c r="A313" s="530">
        <v>14</v>
      </c>
      <c r="B313" s="529" t="str">
        <f t="shared" si="11"/>
        <v/>
      </c>
      <c r="C313" s="499">
        <f t="shared" si="12"/>
        <v>7</v>
      </c>
    </row>
    <row r="314" spans="1:3" x14ac:dyDescent="0.2">
      <c r="A314" s="530">
        <v>15</v>
      </c>
      <c r="B314" s="529" t="str">
        <f t="shared" si="11"/>
        <v/>
      </c>
      <c r="C314" s="499">
        <f t="shared" si="12"/>
        <v>6</v>
      </c>
    </row>
    <row r="315" spans="1:3" x14ac:dyDescent="0.2">
      <c r="A315" s="530">
        <v>16</v>
      </c>
      <c r="B315" s="529" t="str">
        <f t="shared" si="11"/>
        <v/>
      </c>
      <c r="C315" s="499">
        <f t="shared" si="12"/>
        <v>5</v>
      </c>
    </row>
    <row r="316" spans="1:3" x14ac:dyDescent="0.2">
      <c r="A316" s="530">
        <v>17</v>
      </c>
      <c r="B316" s="529" t="str">
        <f t="shared" si="11"/>
        <v/>
      </c>
      <c r="C316" s="499">
        <f t="shared" si="12"/>
        <v>4</v>
      </c>
    </row>
    <row r="317" spans="1:3" x14ac:dyDescent="0.2">
      <c r="A317" s="530">
        <v>18</v>
      </c>
      <c r="B317" s="529" t="str">
        <f t="shared" si="11"/>
        <v/>
      </c>
      <c r="C317" s="499">
        <f t="shared" si="12"/>
        <v>3</v>
      </c>
    </row>
  </sheetData>
  <conditionalFormatting sqref="D7 C8">
    <cfRule type="aboveAverage" dxfId="383" priority="365"/>
  </conditionalFormatting>
  <conditionalFormatting sqref="E7 C9">
    <cfRule type="aboveAverage" dxfId="382" priority="364"/>
  </conditionalFormatting>
  <conditionalFormatting sqref="F7 C10">
    <cfRule type="aboveAverage" dxfId="381" priority="363"/>
  </conditionalFormatting>
  <conditionalFormatting sqref="E8 D9">
    <cfRule type="aboveAverage" dxfId="380" priority="362"/>
  </conditionalFormatting>
  <conditionalFormatting sqref="G7 C11">
    <cfRule type="aboveAverage" dxfId="379" priority="361"/>
  </conditionalFormatting>
  <conditionalFormatting sqref="F8 D10">
    <cfRule type="aboveAverage" dxfId="378" priority="360"/>
  </conditionalFormatting>
  <conditionalFormatting sqref="G8 D11">
    <cfRule type="aboveAverage" dxfId="377" priority="359"/>
  </conditionalFormatting>
  <conditionalFormatting sqref="F9 E10">
    <cfRule type="aboveAverage" dxfId="376" priority="358"/>
  </conditionalFormatting>
  <conditionalFormatting sqref="G9 E11">
    <cfRule type="aboveAverage" dxfId="375" priority="357"/>
  </conditionalFormatting>
  <conditionalFormatting sqref="F11 G10">
    <cfRule type="aboveAverage" dxfId="374" priority="356"/>
  </conditionalFormatting>
  <conditionalFormatting sqref="D14 C15">
    <cfRule type="aboveAverage" dxfId="373" priority="355"/>
  </conditionalFormatting>
  <conditionalFormatting sqref="E14 C16">
    <cfRule type="aboveAverage" dxfId="372" priority="354"/>
  </conditionalFormatting>
  <conditionalFormatting sqref="F14 C17">
    <cfRule type="aboveAverage" dxfId="371" priority="353"/>
  </conditionalFormatting>
  <conditionalFormatting sqref="E15 D16">
    <cfRule type="aboveAverage" dxfId="370" priority="352"/>
  </conditionalFormatting>
  <conditionalFormatting sqref="G14 C18">
    <cfRule type="aboveAverage" dxfId="369" priority="351"/>
  </conditionalFormatting>
  <conditionalFormatting sqref="F15 D17">
    <cfRule type="aboveAverage" dxfId="368" priority="350"/>
  </conditionalFormatting>
  <conditionalFormatting sqref="G15 D18">
    <cfRule type="aboveAverage" dxfId="367" priority="349"/>
  </conditionalFormatting>
  <conditionalFormatting sqref="F16 E17">
    <cfRule type="aboveAverage" dxfId="366" priority="348"/>
  </conditionalFormatting>
  <conditionalFormatting sqref="G16 E18">
    <cfRule type="aboveAverage" dxfId="365" priority="347"/>
  </conditionalFormatting>
  <conditionalFormatting sqref="F18 G17">
    <cfRule type="aboveAverage" dxfId="364" priority="346"/>
  </conditionalFormatting>
  <conditionalFormatting sqref="D21 C22">
    <cfRule type="aboveAverage" dxfId="363" priority="345"/>
  </conditionalFormatting>
  <conditionalFormatting sqref="E21 C23">
    <cfRule type="aboveAverage" dxfId="362" priority="344"/>
  </conditionalFormatting>
  <conditionalFormatting sqref="F21 C24">
    <cfRule type="aboveAverage" dxfId="361" priority="343"/>
  </conditionalFormatting>
  <conditionalFormatting sqref="E22 D23">
    <cfRule type="aboveAverage" dxfId="360" priority="342"/>
  </conditionalFormatting>
  <conditionalFormatting sqref="G21 C25">
    <cfRule type="aboveAverage" dxfId="359" priority="341"/>
  </conditionalFormatting>
  <conditionalFormatting sqref="F22 D24">
    <cfRule type="aboveAverage" dxfId="358" priority="340"/>
  </conditionalFormatting>
  <conditionalFormatting sqref="G22 D25">
    <cfRule type="aboveAverage" dxfId="357" priority="339"/>
  </conditionalFormatting>
  <conditionalFormatting sqref="F23 E24">
    <cfRule type="aboveAverage" dxfId="356" priority="338"/>
  </conditionalFormatting>
  <conditionalFormatting sqref="G23 E25">
    <cfRule type="aboveAverage" dxfId="355" priority="337"/>
  </conditionalFormatting>
  <conditionalFormatting sqref="F25 G24">
    <cfRule type="aboveAverage" dxfId="354" priority="336"/>
  </conditionalFormatting>
  <conditionalFormatting sqref="D28 C29">
    <cfRule type="aboveAverage" dxfId="353" priority="335"/>
  </conditionalFormatting>
  <conditionalFormatting sqref="E28 C30">
    <cfRule type="aboveAverage" dxfId="352" priority="334"/>
  </conditionalFormatting>
  <conditionalFormatting sqref="F28 C31">
    <cfRule type="aboveAverage" dxfId="351" priority="333"/>
  </conditionalFormatting>
  <conditionalFormatting sqref="E29 D30">
    <cfRule type="aboveAverage" dxfId="350" priority="332"/>
  </conditionalFormatting>
  <conditionalFormatting sqref="G28 C32">
    <cfRule type="aboveAverage" dxfId="349" priority="331"/>
  </conditionalFormatting>
  <conditionalFormatting sqref="F29 D31">
    <cfRule type="aboveAverage" dxfId="348" priority="330"/>
  </conditionalFormatting>
  <conditionalFormatting sqref="G29 D32">
    <cfRule type="aboveAverage" dxfId="347" priority="329"/>
  </conditionalFormatting>
  <conditionalFormatting sqref="F30 E31">
    <cfRule type="aboveAverage" dxfId="346" priority="328"/>
  </conditionalFormatting>
  <conditionalFormatting sqref="G30 E32">
    <cfRule type="aboveAverage" dxfId="345" priority="327"/>
  </conditionalFormatting>
  <conditionalFormatting sqref="F32 G31">
    <cfRule type="aboveAverage" dxfId="344" priority="326"/>
  </conditionalFormatting>
  <conditionalFormatting sqref="D35 C36">
    <cfRule type="aboveAverage" dxfId="343" priority="325"/>
  </conditionalFormatting>
  <conditionalFormatting sqref="E35 C37">
    <cfRule type="aboveAverage" dxfId="342" priority="324"/>
  </conditionalFormatting>
  <conditionalFormatting sqref="F35 C38">
    <cfRule type="aboveAverage" dxfId="341" priority="323"/>
  </conditionalFormatting>
  <conditionalFormatting sqref="E36 D37">
    <cfRule type="aboveAverage" dxfId="340" priority="322"/>
  </conditionalFormatting>
  <conditionalFormatting sqref="G35 C39">
    <cfRule type="aboveAverage" dxfId="339" priority="321"/>
  </conditionalFormatting>
  <conditionalFormatting sqref="F36 D38">
    <cfRule type="aboveAverage" dxfId="338" priority="320"/>
  </conditionalFormatting>
  <conditionalFormatting sqref="G36 D39">
    <cfRule type="aboveAverage" dxfId="337" priority="319"/>
  </conditionalFormatting>
  <conditionalFormatting sqref="F37 E38">
    <cfRule type="aboveAverage" dxfId="336" priority="318"/>
  </conditionalFormatting>
  <conditionalFormatting sqref="G37 E39">
    <cfRule type="aboveAverage" dxfId="335" priority="317"/>
  </conditionalFormatting>
  <conditionalFormatting sqref="F39 G38">
    <cfRule type="aboveAverage" dxfId="334" priority="316"/>
  </conditionalFormatting>
  <conditionalFormatting sqref="D42 C43">
    <cfRule type="aboveAverage" dxfId="333" priority="315"/>
  </conditionalFormatting>
  <conditionalFormatting sqref="E42 C44">
    <cfRule type="aboveAverage" dxfId="332" priority="314"/>
  </conditionalFormatting>
  <conditionalFormatting sqref="F42 C45">
    <cfRule type="aboveAverage" dxfId="331" priority="313"/>
  </conditionalFormatting>
  <conditionalFormatting sqref="E43 D44">
    <cfRule type="aboveAverage" dxfId="330" priority="312"/>
  </conditionalFormatting>
  <conditionalFormatting sqref="G42 C46">
    <cfRule type="aboveAverage" dxfId="329" priority="311"/>
  </conditionalFormatting>
  <conditionalFormatting sqref="F43 D45">
    <cfRule type="aboveAverage" dxfId="328" priority="310"/>
  </conditionalFormatting>
  <conditionalFormatting sqref="G43 D46">
    <cfRule type="aboveAverage" dxfId="327" priority="309"/>
  </conditionalFormatting>
  <conditionalFormatting sqref="F44 E45">
    <cfRule type="aboveAverage" dxfId="326" priority="308"/>
  </conditionalFormatting>
  <conditionalFormatting sqref="G44 E46">
    <cfRule type="aboveAverage" dxfId="325" priority="307"/>
  </conditionalFormatting>
  <conditionalFormatting sqref="F46 G45">
    <cfRule type="aboveAverage" dxfId="324" priority="306"/>
  </conditionalFormatting>
  <conditionalFormatting sqref="H14:H18">
    <cfRule type="expression" dxfId="323" priority="252">
      <formula>AND(Q14=4,IF(COUNTIF(Q$14:Q$18,"=4")&gt;=2,TRUE))</formula>
    </cfRule>
    <cfRule type="expression" dxfId="322" priority="366">
      <formula>AND(Q14=3,IF(COUNTIF(Q$14:Q$18,"=3")&gt;=2,TRUE))</formula>
    </cfRule>
    <cfRule type="expression" dxfId="321" priority="367">
      <formula>AND(Q14=2,IF(COUNTIF(Q$14:Q$18,"=2")&gt;=2,TRUE))</formula>
    </cfRule>
    <cfRule type="expression" dxfId="320" priority="368">
      <formula>AND(Q14=1,IF(COUNTIF(Q$14:Q$18,"=1")&gt;=2,TRUE))</formula>
    </cfRule>
  </conditionalFormatting>
  <conditionalFormatting sqref="B7:B47">
    <cfRule type="duplicateValues" dxfId="319" priority="305"/>
  </conditionalFormatting>
  <conditionalFormatting sqref="L7:L11">
    <cfRule type="expression" dxfId="318" priority="288">
      <formula>K7=0</formula>
    </cfRule>
    <cfRule type="expression" dxfId="317" priority="297">
      <formula>IF(COUNTIF(J$7:J$11,"=2")=2,TRUE)</formula>
    </cfRule>
    <cfRule type="expression" dxfId="316" priority="298">
      <formula>IF(COUNTIF(J$7:J$11,"=1")=2,TRUE)</formula>
    </cfRule>
    <cfRule type="expression" dxfId="315" priority="299">
      <formula>AND(IF(COUNTIF(Q$7:Q$11,"=1")=2,TRUE),IF(COUNTIF(Q$7:Q$11,"=2")=2,TRUE))</formula>
    </cfRule>
    <cfRule type="expression" dxfId="314" priority="300">
      <formula>AND(Q7=4,IF(COUNTIF(Q$7:Q$11,"=4")=1,TRUE))</formula>
    </cfRule>
    <cfRule type="expression" dxfId="313" priority="301">
      <formula>AND(Q7=3,IF(COUNTIF(Q$7:Q$11,"=3")=1,TRUE))</formula>
    </cfRule>
    <cfRule type="expression" dxfId="312" priority="302">
      <formula>AND(Q7=2,IF(COUNTIF(Q$7:Q$11,"=2")=1,TRUE))</formula>
    </cfRule>
    <cfRule type="expression" dxfId="311" priority="303">
      <formula>AND(Q7=1,IF(COUNTIF(Q$7:Q$11,"=1")=1,TRUE))</formula>
    </cfRule>
    <cfRule type="expression" dxfId="310" priority="304">
      <formula>OR(Q7=0,Q7=5)</formula>
    </cfRule>
  </conditionalFormatting>
  <conditionalFormatting sqref="O7:O11">
    <cfRule type="expression" dxfId="309" priority="296">
      <formula>OR(AND(J7=1,K7=1,L7=0,M7=1),AND(J7=2,K7=2,L7=0,M7=2))</formula>
    </cfRule>
  </conditionalFormatting>
  <conditionalFormatting sqref="M7:M11">
    <cfRule type="expression" dxfId="308" priority="289">
      <formula>AND(L7&gt;0,IF(COUNTIF(L$7:L$11,L7)&gt;1,TRUE,FALSE))</formula>
    </cfRule>
    <cfRule type="expression" dxfId="307" priority="290">
      <formula>AND(IF(COUNTIF(R$7:R$11,"=1")=2,TRUE),IF(COUNTIF(R$7:R$11,"=2")=2,TRUE))</formula>
    </cfRule>
    <cfRule type="expression" dxfId="306" priority="291">
      <formula>AND(R7=4,IF(COUNTIF(R$7:R$11,"=4")=1,TRUE))</formula>
    </cfRule>
    <cfRule type="expression" dxfId="305" priority="292">
      <formula>AND(R7=3,IF(COUNTIF(R$7:R$11,"=3")=1,TRUE))</formula>
    </cfRule>
    <cfRule type="expression" dxfId="304" priority="293">
      <formula>AND(R7=2,IF(COUNTIF(R$7:R$11,"=2")=1,TRUE))</formula>
    </cfRule>
    <cfRule type="expression" dxfId="303" priority="294">
      <formula>AND(R7=1,IF(COUNTIF(R$7:R$11,"=1")=1,TRUE))</formula>
    </cfRule>
    <cfRule type="expression" dxfId="302" priority="295">
      <formula>OR(R7=0,R7=5)</formula>
    </cfRule>
  </conditionalFormatting>
  <conditionalFormatting sqref="J7:J11">
    <cfRule type="expression" dxfId="301" priority="284">
      <formula>AND(Q7=4,IF(COUNTIF(Q$7:Q$11,"=4")&gt;=2,TRUE))</formula>
    </cfRule>
    <cfRule type="expression" dxfId="300" priority="285">
      <formula>AND(Q7=3,IF(COUNTIF(Q$7:Q$11,"=3")&gt;=2,TRUE))</formula>
    </cfRule>
    <cfRule type="expression" dxfId="299" priority="286">
      <formula>AND(Q7=2,IF(COUNTIF(Q$7:Q$11,"=2")&gt;=2,TRUE))</formula>
    </cfRule>
    <cfRule type="expression" dxfId="298" priority="287">
      <formula>AND(Q7=1,IF(COUNTIF(Q$7:Q$11,"=1")&gt;=2,TRUE))</formula>
    </cfRule>
  </conditionalFormatting>
  <conditionalFormatting sqref="H7:H11">
    <cfRule type="expression" dxfId="297" priority="253">
      <formula>AND(Q7=4,IF(COUNTIF(Q$7:Q$11,"=4")&gt;=2,TRUE))</formula>
    </cfRule>
    <cfRule type="expression" dxfId="296" priority="369">
      <formula>AND(Q7=3,IF(COUNTIF(Q$7:Q$11,"=3")&gt;=2,TRUE))</formula>
    </cfRule>
    <cfRule type="expression" dxfId="295" priority="370">
      <formula>AND(Q7=2,IF(COUNTIF(Q$7:Q$11,"=2")&gt;=2,TRUE))</formula>
    </cfRule>
    <cfRule type="expression" dxfId="294" priority="371">
      <formula>AND(Q7=1,IF(COUNTIF(Q$7:Q$11,"=1")&gt;=2,TRUE))</formula>
    </cfRule>
  </conditionalFormatting>
  <conditionalFormatting sqref="K7:K11">
    <cfRule type="expression" dxfId="293" priority="372">
      <formula>AND(J7&gt;0,IF(COUNTIF(J$7:J$11,"=1")=2,TRUE),IF(COUNTIF(J$7:J$11,"=2")=2,TRUE))</formula>
    </cfRule>
    <cfRule type="expression" dxfId="292" priority="373">
      <formula>IF(COUNTIF(L$7:L$11,"=2")=2,TRUE)</formula>
    </cfRule>
    <cfRule type="expression" dxfId="291" priority="374">
      <formula>IF(COUNTIF(L$7:L$11,"=1")=2,TRUE)</formula>
    </cfRule>
    <cfRule type="expression" dxfId="290" priority="375">
      <formula>AND(IF(COUNTIF(R$7:R$11,"=1")=2,TRUE),IF(COUNTIF(S$7:S$11,"=2")=2,TRUE))</formula>
    </cfRule>
    <cfRule type="expression" dxfId="289" priority="376">
      <formula>AND(R7=4,IF(COUNTIF(R$7:R$11,"=4")=1,TRUE))</formula>
    </cfRule>
    <cfRule type="expression" dxfId="288" priority="377">
      <formula>AND(R7=3,IF(COUNTIF(R$7:R$11,"=3")=1,TRUE))</formula>
    </cfRule>
    <cfRule type="expression" dxfId="287" priority="378">
      <formula>AND(R7=2,IF(COUNTIF(R$7:R$11,"=2")=1,TRUE))</formula>
    </cfRule>
    <cfRule type="expression" dxfId="286" priority="379">
      <formula>AND(R7=1,IF(COUNTIF(R$7:R$11,"=1")=1,TRUE))</formula>
    </cfRule>
    <cfRule type="expression" dxfId="285" priority="380">
      <formula>OR(R7=0,R7=5)</formula>
    </cfRule>
  </conditionalFormatting>
  <conditionalFormatting sqref="L14:L18">
    <cfRule type="expression" dxfId="284" priority="258">
      <formula>K14=0</formula>
    </cfRule>
    <cfRule type="expression" dxfId="283" priority="267">
      <formula>IF(COUNTIF(J$14:J$18,"=2")=2,TRUE)</formula>
    </cfRule>
    <cfRule type="expression" dxfId="282" priority="268">
      <formula>IF(COUNTIF(J$14:J$18,"=1")=2,TRUE)</formula>
    </cfRule>
    <cfRule type="expression" dxfId="281" priority="269">
      <formula>AND(IF(COUNTIF(Q$14:Q$18,"=1")=2,TRUE),IF(COUNTIF(Q$14:Q$18,"=2")=2,TRUE))</formula>
    </cfRule>
    <cfRule type="expression" dxfId="280" priority="270">
      <formula>AND(Q14=4,IF(COUNTIF(Q$14:Q$18,"=4")=1,TRUE))</formula>
    </cfRule>
    <cfRule type="expression" dxfId="279" priority="271">
      <formula>AND(Q14=3,IF(COUNTIF(Q$14:Q$18,"=3")=1,TRUE))</formula>
    </cfRule>
    <cfRule type="expression" dxfId="278" priority="272">
      <formula>AND(Q14=2,IF(COUNTIF(Q$14:Q$18,"=2")=1,TRUE))</formula>
    </cfRule>
    <cfRule type="expression" dxfId="277" priority="273">
      <formula>AND(Q14=1,IF(COUNTIF(Q$14:Q$18,"=1")=1,TRUE))</formula>
    </cfRule>
    <cfRule type="expression" dxfId="276" priority="274">
      <formula>OR(Q14=0,Q14=5)</formula>
    </cfRule>
  </conditionalFormatting>
  <conditionalFormatting sqref="O14:O18">
    <cfRule type="expression" dxfId="275" priority="266">
      <formula>OR(AND(J14=1,K14=1,L14=0,M14=1),AND(J14=2,K14=2,L14=0,M14=2))</formula>
    </cfRule>
  </conditionalFormatting>
  <conditionalFormatting sqref="M14:M18">
    <cfRule type="expression" dxfId="274" priority="259">
      <formula>AND(L14&gt;0,IF(COUNTIF(L$14:L$18,L14)&gt;1,TRUE,FALSE))</formula>
    </cfRule>
    <cfRule type="expression" dxfId="273" priority="260">
      <formula>AND(IF(COUNTIF(R$14:R$18,"=1")=2,TRUE),IF(COUNTIF(R$14:R$18,"=2")=2,TRUE))</formula>
    </cfRule>
    <cfRule type="expression" dxfId="272" priority="261">
      <formula>AND(R14=4,IF(COUNTIF(R$14:R$18,"=4")=1,TRUE))</formula>
    </cfRule>
    <cfRule type="expression" dxfId="271" priority="262">
      <formula>AND(R14=3,IF(COUNTIF(R$14:R$18,"=3")=1,TRUE))</formula>
    </cfRule>
    <cfRule type="expression" dxfId="270" priority="263">
      <formula>AND(R14=2,IF(COUNTIF(R$14:R$18,"=2")=1,TRUE))</formula>
    </cfRule>
    <cfRule type="expression" dxfId="269" priority="264">
      <formula>AND(R14=1,IF(COUNTIF(R$14:R$18,"=1")=1,TRUE))</formula>
    </cfRule>
    <cfRule type="expression" dxfId="268" priority="265">
      <formula>OR(R14=0,R14=5)</formula>
    </cfRule>
  </conditionalFormatting>
  <conditionalFormatting sqref="J14:J18">
    <cfRule type="expression" dxfId="267" priority="254">
      <formula>AND(Q14=4,IF(COUNTIF(Q$14:Q$18,"=4")&gt;=2,TRUE))</formula>
    </cfRule>
    <cfRule type="expression" dxfId="266" priority="255">
      <formula>AND(Q14=3,IF(COUNTIF(Q$14:Q$18,"=3")&gt;=2,TRUE))</formula>
    </cfRule>
    <cfRule type="expression" dxfId="265" priority="256">
      <formula>AND(Q14=2,IF(COUNTIF(Q$14:Q$18,"=2")&gt;=2,TRUE))</formula>
    </cfRule>
    <cfRule type="expression" dxfId="264" priority="257">
      <formula>AND(Q14=1,IF(COUNTIF(Q$14:Q$18,"=1")&gt;=2,TRUE))</formula>
    </cfRule>
  </conditionalFormatting>
  <conditionalFormatting sqref="K14:K18">
    <cfRule type="expression" dxfId="263" priority="275">
      <formula>AND(J14&gt;0,IF(COUNTIF(J$14:J$18,"=1")=2,TRUE),IF(COUNTIF(J$14:J$18,"=2")=2,TRUE))</formula>
    </cfRule>
    <cfRule type="expression" dxfId="262" priority="276">
      <formula>IF(COUNTIF(L$14:L$18,"=2")=2,TRUE)</formula>
    </cfRule>
    <cfRule type="expression" dxfId="261" priority="277">
      <formula>IF(COUNTIF(L$14:L$18,"=1")=2,TRUE)</formula>
    </cfRule>
    <cfRule type="expression" dxfId="260" priority="278">
      <formula>AND(IF(COUNTIF(R$14:R$18,"=1")=2,TRUE),IF(COUNTIF(S$14:S$18,"=2")=2,TRUE))</formula>
    </cfRule>
    <cfRule type="expression" dxfId="259" priority="279">
      <formula>AND(R14=4,IF(COUNTIF(R$14:R$18,"=4")=1,TRUE))</formula>
    </cfRule>
    <cfRule type="expression" dxfId="258" priority="280">
      <formula>AND(R14=3,IF(COUNTIF(R$14:R$18,"=3")=1,TRUE))</formula>
    </cfRule>
    <cfRule type="expression" dxfId="257" priority="281">
      <formula>AND(R14=2,IF(COUNTIF(R$14:R$18,"=2")=1,TRUE))</formula>
    </cfRule>
    <cfRule type="expression" dxfId="256" priority="282">
      <formula>AND(R14=1,IF(COUNTIF(R$14:R$18,"=1")=1,TRUE))</formula>
    </cfRule>
    <cfRule type="expression" dxfId="255" priority="283">
      <formula>OR(R14=0,R14=5)</formula>
    </cfRule>
  </conditionalFormatting>
  <conditionalFormatting sqref="L21:L25">
    <cfRule type="expression" dxfId="254" priority="226">
      <formula>K21=0</formula>
    </cfRule>
    <cfRule type="expression" dxfId="253" priority="235">
      <formula>IF(COUNTIF(J$21:J$25,"=2")=2,TRUE)</formula>
    </cfRule>
    <cfRule type="expression" dxfId="252" priority="236">
      <formula>IF(COUNTIF(J$21:J$25,"=1")=2,TRUE)</formula>
    </cfRule>
    <cfRule type="expression" dxfId="251" priority="237">
      <formula>AND(IF(COUNTIF(Q$21:Q$25,"=1")=2,TRUE),IF(COUNTIF(Q$21:Q$25,"=2")=2,TRUE))</formula>
    </cfRule>
    <cfRule type="expression" dxfId="250" priority="238">
      <formula>AND(Q21=4,IF(COUNTIF(Q$21:Q$25,"=4")=1,TRUE))</formula>
    </cfRule>
    <cfRule type="expression" dxfId="249" priority="239">
      <formula>AND(Q21=3,IF(COUNTIF(Q$21:Q$25,"=3")=1,TRUE))</formula>
    </cfRule>
    <cfRule type="expression" dxfId="248" priority="240">
      <formula>AND(Q21=2,IF(COUNTIF(Q$21:Q$25,"=2")=1,TRUE))</formula>
    </cfRule>
    <cfRule type="expression" dxfId="247" priority="241">
      <formula>AND(Q21=1,IF(COUNTIF(Q$21:Q$25,"=1")=1,TRUE))</formula>
    </cfRule>
    <cfRule type="expression" dxfId="246" priority="242">
      <formula>OR(Q21=0,Q21=5)</formula>
    </cfRule>
  </conditionalFormatting>
  <conditionalFormatting sqref="O21:O25">
    <cfRule type="expression" dxfId="245" priority="234">
      <formula>OR(AND(J21=1,K21=1,L21=0,M21=1),AND(J21=2,K21=2,L21=0,M21=2))</formula>
    </cfRule>
  </conditionalFormatting>
  <conditionalFormatting sqref="M21:M25">
    <cfRule type="expression" dxfId="244" priority="227">
      <formula>AND(L21&gt;0,IF(COUNTIF(L$21:L$25,L21)&gt;1,TRUE,FALSE))</formula>
    </cfRule>
    <cfRule type="expression" dxfId="243" priority="228">
      <formula>AND(IF(COUNTIF(R$21:R$25,"=1")=2,TRUE),IF(COUNTIF(R$21:R$25,"=2")=2,TRUE))</formula>
    </cfRule>
    <cfRule type="expression" dxfId="242" priority="229">
      <formula>AND(R21=4,IF(COUNTIF(R$21:R$25,"=4")=1,TRUE))</formula>
    </cfRule>
    <cfRule type="expression" dxfId="241" priority="230">
      <formula>AND(R21=3,IF(COUNTIF(R$21:R$25,"=3")=1,TRUE))</formula>
    </cfRule>
    <cfRule type="expression" dxfId="240" priority="231">
      <formula>AND(R21=2,IF(COUNTIF(R$21:R$25,"=2")=1,TRUE))</formula>
    </cfRule>
    <cfRule type="expression" dxfId="239" priority="232">
      <formula>AND(R21=1,IF(COUNTIF(R$21:R$25,"=1")=1,TRUE))</formula>
    </cfRule>
    <cfRule type="expression" dxfId="238" priority="233">
      <formula>OR(R21=0,R21=5)</formula>
    </cfRule>
  </conditionalFormatting>
  <conditionalFormatting sqref="J21:J25">
    <cfRule type="expression" dxfId="237" priority="222">
      <formula>AND(Q21=4,IF(COUNTIF(Q$21:Q$25,"=4")&gt;=2,TRUE))</formula>
    </cfRule>
    <cfRule type="expression" dxfId="236" priority="223">
      <formula>AND(Q21=3,IF(COUNTIF(Q$21:Q$25,"=3")&gt;=2,TRUE))</formula>
    </cfRule>
    <cfRule type="expression" dxfId="235" priority="224">
      <formula>AND(Q21=2,IF(COUNTIF(Q$21:Q$25,"=2")&gt;=2,TRUE))</formula>
    </cfRule>
    <cfRule type="expression" dxfId="234" priority="225">
      <formula>AND(Q21=1,IF(COUNTIF(Q$21:Q$25,"=1")&gt;=2,TRUE))</formula>
    </cfRule>
  </conditionalFormatting>
  <conditionalFormatting sqref="K21:K25">
    <cfRule type="expression" dxfId="233" priority="243">
      <formula>AND(J21&gt;0,IF(COUNTIF(J$21:J$25,"=1")=2,TRUE),IF(COUNTIF(J$21:J$25,"=2")=2,TRUE))</formula>
    </cfRule>
    <cfRule type="expression" dxfId="232" priority="244">
      <formula>IF(COUNTIF(L$21:L$25,"=2")=2,TRUE)</formula>
    </cfRule>
    <cfRule type="expression" dxfId="231" priority="245">
      <formula>IF(COUNTIF(L$21:L$25,"=1")=2,TRUE)</formula>
    </cfRule>
    <cfRule type="expression" dxfId="230" priority="246">
      <formula>AND(IF(COUNTIF(R$21:R$25,"=1")=2,TRUE),IF(COUNTIF(S$21:S$25,"=2")=2,TRUE))</formula>
    </cfRule>
    <cfRule type="expression" dxfId="229" priority="247">
      <formula>AND(R21=4,IF(COUNTIF(R$21:R$25,"=4")=1,TRUE))</formula>
    </cfRule>
    <cfRule type="expression" dxfId="228" priority="248">
      <formula>AND(R21=3,IF(COUNTIF(R$21:R$25,"=3")=1,TRUE))</formula>
    </cfRule>
    <cfRule type="expression" dxfId="227" priority="249">
      <formula>AND(R21=2,IF(COUNTIF(R$21:R$25,"=2")=1,TRUE))</formula>
    </cfRule>
    <cfRule type="expression" dxfId="226" priority="250">
      <formula>AND(R21=1,IF(COUNTIF(R$21:R$25,"=1")=1,TRUE))</formula>
    </cfRule>
    <cfRule type="expression" dxfId="225" priority="251">
      <formula>OR(R21=0,R21=5)</formula>
    </cfRule>
  </conditionalFormatting>
  <conditionalFormatting sqref="H21:H25">
    <cfRule type="expression" dxfId="224" priority="218">
      <formula>AND(Q21=4,IF(COUNTIF(Q$21:Q$25,"=4")&gt;=2,TRUE))</formula>
    </cfRule>
    <cfRule type="expression" dxfId="223" priority="219">
      <formula>AND(Q21=3,IF(COUNTIF(Q$21:Q$25,"=3")&gt;=2,TRUE))</formula>
    </cfRule>
    <cfRule type="expression" dxfId="222" priority="220">
      <formula>AND(Q21=2,IF(COUNTIF(Q$21:Q$25,"=2")&gt;=2,TRUE))</formula>
    </cfRule>
    <cfRule type="expression" dxfId="221" priority="221">
      <formula>AND(Q21=1,IF(COUNTIF(Q$21:Q$25,"=1")&gt;=2,TRUE))</formula>
    </cfRule>
  </conditionalFormatting>
  <conditionalFormatting sqref="L28:L32">
    <cfRule type="expression" dxfId="220" priority="192">
      <formula>K28=0</formula>
    </cfRule>
    <cfRule type="expression" dxfId="219" priority="201">
      <formula>IF(COUNTIF(J$28:J$32,"=2")=2,TRUE)</formula>
    </cfRule>
    <cfRule type="expression" dxfId="218" priority="202">
      <formula>IF(COUNTIF(J$28:J$32,"=1")=2,TRUE)</formula>
    </cfRule>
    <cfRule type="expression" dxfId="217" priority="203">
      <formula>AND(IF(COUNTIF(Q$28:Q$32,"=1")=2,TRUE),IF(COUNTIF(Q$28:Q$32,"=2")=2,TRUE))</formula>
    </cfRule>
    <cfRule type="expression" dxfId="216" priority="204">
      <formula>AND(Q28=4,IF(COUNTIF(Q$28:Q$32,"=4")=1,TRUE))</formula>
    </cfRule>
    <cfRule type="expression" dxfId="215" priority="205">
      <formula>AND(Q28=3,IF(COUNTIF(Q$28:Q$32,"=3")=1,TRUE))</formula>
    </cfRule>
    <cfRule type="expression" dxfId="214" priority="206">
      <formula>AND(Q28=2,IF(COUNTIF(Q$28:Q$32,"=2")=1,TRUE))</formula>
    </cfRule>
    <cfRule type="expression" dxfId="213" priority="207">
      <formula>AND(Q28=1,IF(COUNTIF(Q$28:Q$32,"=1")=1,TRUE))</formula>
    </cfRule>
    <cfRule type="expression" dxfId="212" priority="208">
      <formula>OR(Q28=0,Q28=5)</formula>
    </cfRule>
  </conditionalFormatting>
  <conditionalFormatting sqref="O28:O32">
    <cfRule type="expression" dxfId="211" priority="200">
      <formula>OR(AND(J28=1,K28=1,L28=0,M28=1),AND(J28=2,K28=2,L28=0,M28=2))</formula>
    </cfRule>
  </conditionalFormatting>
  <conditionalFormatting sqref="M28:M32">
    <cfRule type="expression" dxfId="210" priority="193">
      <formula>AND(L28&gt;0,IF(COUNTIF(L$28:L$32,L28)&gt;1,TRUE,FALSE))</formula>
    </cfRule>
    <cfRule type="expression" dxfId="209" priority="194">
      <formula>AND(IF(COUNTIF(R$28:R$32,"=1")=2,TRUE),IF(COUNTIF(R$28:R$32,"=2")=2,TRUE))</formula>
    </cfRule>
    <cfRule type="expression" dxfId="208" priority="195">
      <formula>AND(R28=4,IF(COUNTIF(R$28:R$32,"=4")=1,TRUE))</formula>
    </cfRule>
    <cfRule type="expression" dxfId="207" priority="196">
      <formula>AND(R28=3,IF(COUNTIF(R$28:R$32,"=3")=1,TRUE))</formula>
    </cfRule>
    <cfRule type="expression" dxfId="206" priority="197">
      <formula>AND(R28=2,IF(COUNTIF(R$28:R$32,"=2")=1,TRUE))</formula>
    </cfRule>
    <cfRule type="expression" dxfId="205" priority="198">
      <formula>AND(R28=1,IF(COUNTIF(R$28:R$32,"=1")=1,TRUE))</formula>
    </cfRule>
    <cfRule type="expression" dxfId="204" priority="199">
      <formula>OR(R28=0,R28=5)</formula>
    </cfRule>
  </conditionalFormatting>
  <conditionalFormatting sqref="J28:J32">
    <cfRule type="expression" dxfId="203" priority="188">
      <formula>AND(Q28=4,IF(COUNTIF(Q$28:Q$32,"=4")&gt;=2,TRUE))</formula>
    </cfRule>
    <cfRule type="expression" dxfId="202" priority="189">
      <formula>AND(Q28=3,IF(COUNTIF(Q$28:Q$32,"=3")&gt;=2,TRUE))</formula>
    </cfRule>
    <cfRule type="expression" dxfId="201" priority="190">
      <formula>AND(Q28=2,IF(COUNTIF(Q$28:Q$32,"=2")&gt;=2,TRUE))</formula>
    </cfRule>
    <cfRule type="expression" dxfId="200" priority="191">
      <formula>AND(Q28=1,IF(COUNTIF(Q$28:Q$32,"=1")&gt;=2,TRUE))</formula>
    </cfRule>
  </conditionalFormatting>
  <conditionalFormatting sqref="K28:K32">
    <cfRule type="expression" dxfId="199" priority="209">
      <formula>AND(J28&gt;0,IF(COUNTIF(J$28:J$32,"=1")=2,TRUE),IF(COUNTIF(J$28:J$32,"=2")=2,TRUE))</formula>
    </cfRule>
    <cfRule type="expression" dxfId="198" priority="210">
      <formula>IF(COUNTIF(L$28:L$32,"=2")=2,TRUE)</formula>
    </cfRule>
    <cfRule type="expression" dxfId="197" priority="211">
      <formula>IF(COUNTIF(L$28:L$32,"=1")=2,TRUE)</formula>
    </cfRule>
    <cfRule type="expression" dxfId="196" priority="212">
      <formula>AND(IF(COUNTIF(R$28:R$32,"=1")=2,TRUE),IF(COUNTIF(S$28:S$32,"=2")=2,TRUE))</formula>
    </cfRule>
    <cfRule type="expression" dxfId="195" priority="213">
      <formula>AND(R28=4,IF(COUNTIF(R$28:R$32,"=4")=1,TRUE))</formula>
    </cfRule>
    <cfRule type="expression" dxfId="194" priority="214">
      <formula>AND(R28=3,IF(COUNTIF(R$28:R$32,"=3")=1,TRUE))</formula>
    </cfRule>
    <cfRule type="expression" dxfId="193" priority="215">
      <formula>AND(R28=2,IF(COUNTIF(R$28:R$32,"=2")=1,TRUE))</formula>
    </cfRule>
    <cfRule type="expression" dxfId="192" priority="216">
      <formula>AND(R28=1,IF(COUNTIF(R$28:R$32,"=1")=1,TRUE))</formula>
    </cfRule>
    <cfRule type="expression" dxfId="191" priority="217">
      <formula>OR(R28=0,R28=5)</formula>
    </cfRule>
  </conditionalFormatting>
  <conditionalFormatting sqref="H28:H32">
    <cfRule type="expression" dxfId="190" priority="184">
      <formula>AND(Q28=4,IF(COUNTIF(Q$28:Q$32,"=4")&gt;=2,TRUE))</formula>
    </cfRule>
    <cfRule type="expression" dxfId="189" priority="185">
      <formula>AND(Q28=3,IF(COUNTIF(Q$28:Q$32,"=3")&gt;=2,TRUE))</formula>
    </cfRule>
    <cfRule type="expression" dxfId="188" priority="186">
      <formula>AND(Q28=2,IF(COUNTIF(Q$28:Q$32,"=2")&gt;=2,TRUE))</formula>
    </cfRule>
    <cfRule type="expression" dxfId="187" priority="187">
      <formula>AND(Q28=1,IF(COUNTIF(Q$28:Q$32,"=1")&gt;=2,TRUE))</formula>
    </cfRule>
  </conditionalFormatting>
  <conditionalFormatting sqref="L35:L39">
    <cfRule type="expression" dxfId="186" priority="158">
      <formula>K35=0</formula>
    </cfRule>
    <cfRule type="expression" dxfId="185" priority="167">
      <formula>IF(COUNTIF(J$35:J$39,"=2")=2,TRUE)</formula>
    </cfRule>
    <cfRule type="expression" dxfId="184" priority="168">
      <formula>IF(COUNTIF(J$35:J$39,"=1")=2,TRUE)</formula>
    </cfRule>
    <cfRule type="expression" dxfId="183" priority="169">
      <formula>AND(IF(COUNTIF(Q$35:Q$39,"=1")=2,TRUE),IF(COUNTIF(Q$35:Q$39,"=2")=2,TRUE))</formula>
    </cfRule>
    <cfRule type="expression" dxfId="182" priority="170">
      <formula>AND(Q35=4,IF(COUNTIF(Q$35:Q$39,"=4")=1,TRUE))</formula>
    </cfRule>
    <cfRule type="expression" dxfId="181" priority="171">
      <formula>AND(Q35=3,IF(COUNTIF(Q$35:Q$39,"=3")=1,TRUE))</formula>
    </cfRule>
    <cfRule type="expression" dxfId="180" priority="172">
      <formula>AND(Q35=2,IF(COUNTIF(Q$35:Q$39,"=2")=1,TRUE))</formula>
    </cfRule>
    <cfRule type="expression" dxfId="179" priority="173">
      <formula>AND(Q35=1,IF(COUNTIF(Q$35:Q$39,"=1")=1,TRUE))</formula>
    </cfRule>
    <cfRule type="expression" dxfId="178" priority="174">
      <formula>OR(Q35=0,Q35=5)</formula>
    </cfRule>
  </conditionalFormatting>
  <conditionalFormatting sqref="O35:O39">
    <cfRule type="expression" dxfId="177" priority="166">
      <formula>OR(AND(J35=1,K35=1,L35=0,M35=1),AND(J35=2,K35=2,L35=0,M35=2))</formula>
    </cfRule>
  </conditionalFormatting>
  <conditionalFormatting sqref="M35:M39">
    <cfRule type="expression" dxfId="176" priority="159">
      <formula>AND(L35&gt;0,IF(COUNTIF(L$35:L$39,L35)&gt;1,TRUE,FALSE))</formula>
    </cfRule>
    <cfRule type="expression" dxfId="175" priority="160">
      <formula>AND(IF(COUNTIF(R$35:R$39,"=1")=2,TRUE),IF(COUNTIF(R$35:R$39,"=2")=2,TRUE))</formula>
    </cfRule>
    <cfRule type="expression" dxfId="174" priority="161">
      <formula>AND(R35=4,IF(COUNTIF(R$35:R$39,"=4")=1,TRUE))</formula>
    </cfRule>
    <cfRule type="expression" dxfId="173" priority="162">
      <formula>AND(R35=3,IF(COUNTIF(R$35:R$39,"=3")=1,TRUE))</formula>
    </cfRule>
    <cfRule type="expression" dxfId="172" priority="163">
      <formula>AND(R35=2,IF(COUNTIF(R$35:R$39,"=2")=1,TRUE))</formula>
    </cfRule>
    <cfRule type="expression" dxfId="171" priority="164">
      <formula>AND(R35=1,IF(COUNTIF(R$35:R$39,"=1")=1,TRUE))</formula>
    </cfRule>
    <cfRule type="expression" dxfId="170" priority="165">
      <formula>OR(R35=0,R35=5)</formula>
    </cfRule>
  </conditionalFormatting>
  <conditionalFormatting sqref="J35:J39">
    <cfRule type="expression" dxfId="169" priority="154">
      <formula>AND(Q35=4,IF(COUNTIF(Q$35:Q$39,"=4")&gt;=2,TRUE))</formula>
    </cfRule>
    <cfRule type="expression" dxfId="168" priority="155">
      <formula>AND(Q35=3,IF(COUNTIF(Q$35:Q$39,"=3")&gt;=2,TRUE))</formula>
    </cfRule>
    <cfRule type="expression" dxfId="167" priority="156">
      <formula>AND(Q35=2,IF(COUNTIF(Q$35:Q$39,"=2")&gt;=2,TRUE))</formula>
    </cfRule>
    <cfRule type="expression" dxfId="166" priority="157">
      <formula>AND(Q35=1,IF(COUNTIF(Q$35:Q$39,"=1")&gt;=2,TRUE))</formula>
    </cfRule>
  </conditionalFormatting>
  <conditionalFormatting sqref="K35:K39">
    <cfRule type="expression" dxfId="165" priority="175">
      <formula>AND(J35&gt;0,IF(COUNTIF(J$35:J$39,"=1")=2,TRUE),IF(COUNTIF(J$35:J$39,"=2")=2,TRUE))</formula>
    </cfRule>
    <cfRule type="expression" dxfId="164" priority="176">
      <formula>IF(COUNTIF(L$35:L$39,"=2")=2,TRUE)</formula>
    </cfRule>
    <cfRule type="expression" dxfId="163" priority="177">
      <formula>IF(COUNTIF(L$35:L$39,"=1")=2,TRUE)</formula>
    </cfRule>
    <cfRule type="expression" dxfId="162" priority="178">
      <formula>AND(IF(COUNTIF(R$35:R$39,"=1")=2,TRUE),IF(COUNTIF(S$35:S$39,"=2")=2,TRUE))</formula>
    </cfRule>
    <cfRule type="expression" dxfId="161" priority="179">
      <formula>AND(R35=4,IF(COUNTIF(R$35:R$39,"=4")=1,TRUE))</formula>
    </cfRule>
    <cfRule type="expression" dxfId="160" priority="180">
      <formula>AND(R35=3,IF(COUNTIF(R$35:R$39,"=3")=1,TRUE))</formula>
    </cfRule>
    <cfRule type="expression" dxfId="159" priority="181">
      <formula>AND(R35=2,IF(COUNTIF(R$35:R$39,"=2")=1,TRUE))</formula>
    </cfRule>
    <cfRule type="expression" dxfId="158" priority="182">
      <formula>AND(R35=1,IF(COUNTIF(R$35:R$39,"=1")=1,TRUE))</formula>
    </cfRule>
    <cfRule type="expression" dxfId="157" priority="183">
      <formula>OR(R35=0,R35=5)</formula>
    </cfRule>
  </conditionalFormatting>
  <conditionalFormatting sqref="H35:H39">
    <cfRule type="expression" dxfId="156" priority="150">
      <formula>AND(Q35=4,IF(COUNTIF(Q$35:Q$39,"=4")&gt;=2,TRUE))</formula>
    </cfRule>
    <cfRule type="expression" dxfId="155" priority="151">
      <formula>AND(Q35=3,IF(COUNTIF(Q$35:Q$39,"=3")&gt;=2,TRUE))</formula>
    </cfRule>
    <cfRule type="expression" dxfId="154" priority="152">
      <formula>AND(Q35=2,IF(COUNTIF(Q$35:Q$39,"=2")&gt;=2,TRUE))</formula>
    </cfRule>
    <cfRule type="expression" dxfId="153" priority="153">
      <formula>AND(Q35=1,IF(COUNTIF(Q$35:Q$39,"=1")&gt;=2,TRUE))</formula>
    </cfRule>
  </conditionalFormatting>
  <conditionalFormatting sqref="L42:L46">
    <cfRule type="expression" dxfId="152" priority="124">
      <formula>K42=0</formula>
    </cfRule>
    <cfRule type="expression" dxfId="151" priority="133">
      <formula>IF(COUNTIF(J$42:J$46,"=2")=2,TRUE)</formula>
    </cfRule>
    <cfRule type="expression" dxfId="150" priority="134">
      <formula>IF(COUNTIF(J$42:J$46,"=1")=2,TRUE)</formula>
    </cfRule>
    <cfRule type="expression" dxfId="149" priority="135">
      <formula>AND(IF(COUNTIF(Q$42:Q$46,"=1")=2,TRUE),IF(COUNTIF(Q$42:Q$46,"=2")=2,TRUE))</formula>
    </cfRule>
    <cfRule type="expression" dxfId="148" priority="136">
      <formula>AND(Q42=4,IF(COUNTIF(Q$42:Q$46,"=4")=1,TRUE))</formula>
    </cfRule>
    <cfRule type="expression" dxfId="147" priority="137">
      <formula>AND(Q42=3,IF(COUNTIF(Q$42:Q$46,"=3")=1,TRUE))</formula>
    </cfRule>
    <cfRule type="expression" dxfId="146" priority="138">
      <formula>AND(Q42=2,IF(COUNTIF(Q$42:Q$46,"=2")=1,TRUE))</formula>
    </cfRule>
    <cfRule type="expression" dxfId="145" priority="139">
      <formula>AND(Q42=1,IF(COUNTIF(Q$42:Q$46,"=1")=1,TRUE))</formula>
    </cfRule>
    <cfRule type="expression" dxfId="144" priority="140">
      <formula>OR(Q42=0,Q42=5)</formula>
    </cfRule>
  </conditionalFormatting>
  <conditionalFormatting sqref="O42:O46">
    <cfRule type="expression" dxfId="143" priority="132">
      <formula>OR(AND(J42=1,K42=1,L42=0,M42=1),AND(J42=2,K42=2,L42=0,M42=2))</formula>
    </cfRule>
  </conditionalFormatting>
  <conditionalFormatting sqref="M42:M46">
    <cfRule type="expression" dxfId="142" priority="125">
      <formula>AND(L42&gt;0,IF(COUNTIF(L$42:L$46,L42)&gt;1,TRUE,FALSE))</formula>
    </cfRule>
    <cfRule type="expression" dxfId="141" priority="126">
      <formula>AND(IF(COUNTIF(R$42:R$46,"=1")=2,TRUE),IF(COUNTIF(R$42:R$46,"=2")=2,TRUE))</formula>
    </cfRule>
    <cfRule type="expression" dxfId="140" priority="127">
      <formula>AND(R42=4,IF(COUNTIF(R$42:R$46,"=4")=1,TRUE))</formula>
    </cfRule>
    <cfRule type="expression" dxfId="139" priority="128">
      <formula>AND(R42=3,IF(COUNTIF(R$42:R$46,"=3")=1,TRUE))</formula>
    </cfRule>
    <cfRule type="expression" dxfId="138" priority="129">
      <formula>AND(R42=2,IF(COUNTIF(R$42:R$46,"=2")=1,TRUE))</formula>
    </cfRule>
    <cfRule type="expression" dxfId="137" priority="130">
      <formula>AND(R42=1,IF(COUNTIF(R$42:R$46,"=1")=1,TRUE))</formula>
    </cfRule>
    <cfRule type="expression" dxfId="136" priority="131">
      <formula>OR(R42=0,R42=5)</formula>
    </cfRule>
  </conditionalFormatting>
  <conditionalFormatting sqref="J42:J46">
    <cfRule type="expression" dxfId="135" priority="120">
      <formula>AND(Q42=4,IF(COUNTIF(Q$42:Q$46,"=4")&gt;=2,TRUE))</formula>
    </cfRule>
    <cfRule type="expression" dxfId="134" priority="121">
      <formula>AND(Q42=3,IF(COUNTIF(Q$42:Q$46,"=3")&gt;=2,TRUE))</formula>
    </cfRule>
    <cfRule type="expression" dxfId="133" priority="122">
      <formula>AND(Q42=2,IF(COUNTIF(Q$42:Q$46,"=2")&gt;=2,TRUE))</formula>
    </cfRule>
    <cfRule type="expression" dxfId="132" priority="123">
      <formula>AND(Q42=1,IF(COUNTIF(Q$42:Q$46,"=1")&gt;=2,TRUE))</formula>
    </cfRule>
  </conditionalFormatting>
  <conditionalFormatting sqref="K42:K46">
    <cfRule type="expression" dxfId="131" priority="141">
      <formula>AND(J42&gt;0,IF(COUNTIF(J$42:J$46,"=1")=2,TRUE),IF(COUNTIF(J$42:J$46,"=2")=2,TRUE))</formula>
    </cfRule>
    <cfRule type="expression" dxfId="130" priority="142">
      <formula>IF(COUNTIF(L$42:L$46,"=2")=2,TRUE)</formula>
    </cfRule>
    <cfRule type="expression" dxfId="129" priority="143">
      <formula>IF(COUNTIF(L$42:L$46,"=1")=2,TRUE)</formula>
    </cfRule>
    <cfRule type="expression" dxfId="128" priority="144">
      <formula>AND(IF(COUNTIF(R$42:R$46,"=1")=2,TRUE),IF(COUNTIF(S$42:S$46,"=2")=2,TRUE))</formula>
    </cfRule>
    <cfRule type="expression" dxfId="127" priority="145">
      <formula>AND(R42=4,IF(COUNTIF(R$42:R$46,"=4")=1,TRUE))</formula>
    </cfRule>
    <cfRule type="expression" dxfId="126" priority="146">
      <formula>AND(R42=3,IF(COUNTIF(R$42:R$46,"=3")=1,TRUE))</formula>
    </cfRule>
    <cfRule type="expression" dxfId="125" priority="147">
      <formula>AND(R42=2,IF(COUNTIF(R$42:R$46,"=2")=1,TRUE))</formula>
    </cfRule>
    <cfRule type="expression" dxfId="124" priority="148">
      <formula>AND(R42=1,IF(COUNTIF(R$42:R$46,"=1")=1,TRUE))</formula>
    </cfRule>
    <cfRule type="expression" dxfId="123" priority="149">
      <formula>OR(R42=0,R42=5)</formula>
    </cfRule>
  </conditionalFormatting>
  <conditionalFormatting sqref="H42:H46">
    <cfRule type="expression" dxfId="122" priority="116">
      <formula>AND(Q42=4,IF(COUNTIF(Q$42:Q$46,"=4")&gt;=2,TRUE))</formula>
    </cfRule>
    <cfRule type="expression" dxfId="121" priority="117">
      <formula>AND(Q42=3,IF(COUNTIF(Q$42:Q$46,"=3")&gt;=2,TRUE))</formula>
    </cfRule>
    <cfRule type="expression" dxfId="120" priority="118">
      <formula>AND(Q42=2,IF(COUNTIF(Q$42:Q$46,"=2")&gt;=2,TRUE))</formula>
    </cfRule>
    <cfRule type="expression" dxfId="119" priority="119">
      <formula>AND(Q42=1,IF(COUNTIF(Q$42:Q$46,"=1")&gt;=2,TRUE))</formula>
    </cfRule>
  </conditionalFormatting>
  <conditionalFormatting sqref="E196 E198">
    <cfRule type="containsBlanks" dxfId="118" priority="91">
      <formula>LEN(TRIM(E196))=0</formula>
    </cfRule>
  </conditionalFormatting>
  <conditionalFormatting sqref="G179 G181">
    <cfRule type="containsBlanks" dxfId="117" priority="97">
      <formula>LEN(TRIM(G179))=0</formula>
    </cfRule>
  </conditionalFormatting>
  <conditionalFormatting sqref="A102:A132">
    <cfRule type="cellIs" priority="86" stopIfTrue="1" operator="equal">
      <formula>"-"</formula>
    </cfRule>
    <cfRule type="duplicateValues" dxfId="116" priority="115"/>
  </conditionalFormatting>
  <conditionalFormatting sqref="C102 C104">
    <cfRule type="aboveAverage" dxfId="115" priority="114"/>
  </conditionalFormatting>
  <conditionalFormatting sqref="C102 C104">
    <cfRule type="containsBlanks" dxfId="114" priority="113">
      <formula>LEN(TRIM(C102))=0</formula>
    </cfRule>
  </conditionalFormatting>
  <conditionalFormatting sqref="G140 G142">
    <cfRule type="aboveAverage" dxfId="113" priority="112"/>
  </conditionalFormatting>
  <conditionalFormatting sqref="G140 G142">
    <cfRule type="containsBlanks" dxfId="112" priority="111">
      <formula>LEN(TRIM(G140))=0</formula>
    </cfRule>
  </conditionalFormatting>
  <conditionalFormatting sqref="G144 G146">
    <cfRule type="aboveAverage" dxfId="111" priority="110"/>
  </conditionalFormatting>
  <conditionalFormatting sqref="G144 G146">
    <cfRule type="containsBlanks" dxfId="110" priority="109">
      <formula>LEN(TRIM(G144))=0</formula>
    </cfRule>
  </conditionalFormatting>
  <conditionalFormatting sqref="E157 E159">
    <cfRule type="aboveAverage" dxfId="109" priority="108"/>
  </conditionalFormatting>
  <conditionalFormatting sqref="E157 E159">
    <cfRule type="containsBlanks" dxfId="108" priority="107">
      <formula>LEN(TRIM(E157))=0</formula>
    </cfRule>
  </conditionalFormatting>
  <conditionalFormatting sqref="G183 G185">
    <cfRule type="containsBlanks" dxfId="107" priority="95">
      <formula>LEN(TRIM(G183))=0</formula>
    </cfRule>
  </conditionalFormatting>
  <conditionalFormatting sqref="I187 I189">
    <cfRule type="containsBlanks" dxfId="106" priority="93">
      <formula>LEN(TRIM(I187))=0</formula>
    </cfRule>
  </conditionalFormatting>
  <conditionalFormatting sqref="E161 E163">
    <cfRule type="aboveAverage" dxfId="105" priority="106"/>
  </conditionalFormatting>
  <conditionalFormatting sqref="E161 E163">
    <cfRule type="containsBlanks" dxfId="104" priority="105">
      <formula>LEN(TRIM(E161))=0</formula>
    </cfRule>
  </conditionalFormatting>
  <conditionalFormatting sqref="E165 E167">
    <cfRule type="aboveAverage" dxfId="103" priority="104"/>
  </conditionalFormatting>
  <conditionalFormatting sqref="E165 E167">
    <cfRule type="containsBlanks" dxfId="102" priority="103">
      <formula>LEN(TRIM(E165))=0</formula>
    </cfRule>
  </conditionalFormatting>
  <conditionalFormatting sqref="E169 E171">
    <cfRule type="aboveAverage" dxfId="101" priority="102"/>
  </conditionalFormatting>
  <conditionalFormatting sqref="E169 E171">
    <cfRule type="containsBlanks" dxfId="100" priority="101">
      <formula>LEN(TRIM(E169))=0</formula>
    </cfRule>
  </conditionalFormatting>
  <conditionalFormatting sqref="I180 I184">
    <cfRule type="containsBlanks" dxfId="99" priority="99">
      <formula>LEN(TRIM(I180))=0</formula>
    </cfRule>
    <cfRule type="aboveAverage" dxfId="98" priority="100"/>
  </conditionalFormatting>
  <conditionalFormatting sqref="G179 G181">
    <cfRule type="aboveAverage" dxfId="97" priority="98"/>
  </conditionalFormatting>
  <conditionalFormatting sqref="G183 G185">
    <cfRule type="aboveAverage" dxfId="96" priority="96"/>
  </conditionalFormatting>
  <conditionalFormatting sqref="I187 I189">
    <cfRule type="aboveAverage" dxfId="95" priority="94"/>
  </conditionalFormatting>
  <conditionalFormatting sqref="E196 E198">
    <cfRule type="aboveAverage" dxfId="94" priority="92"/>
  </conditionalFormatting>
  <conditionalFormatting sqref="G218 G220">
    <cfRule type="aboveAverage" dxfId="93" priority="90"/>
  </conditionalFormatting>
  <conditionalFormatting sqref="G218 G220">
    <cfRule type="containsBlanks" dxfId="92" priority="89">
      <formula>LEN(TRIM(G218))=0</formula>
    </cfRule>
  </conditionalFormatting>
  <conditionalFormatting sqref="G222 G224">
    <cfRule type="aboveAverage" dxfId="91" priority="88"/>
  </conditionalFormatting>
  <conditionalFormatting sqref="G222 G224">
    <cfRule type="containsBlanks" dxfId="90" priority="87">
      <formula>LEN(TRIM(G222))=0</formula>
    </cfRule>
  </conditionalFormatting>
  <conditionalFormatting sqref="B300:B317">
    <cfRule type="expression" dxfId="89" priority="381">
      <formula>A300=3</formula>
    </cfRule>
    <cfRule type="expression" dxfId="88" priority="382">
      <formula>A300=2</formula>
    </cfRule>
    <cfRule type="expression" dxfId="87" priority="383">
      <formula>A300=1</formula>
    </cfRule>
    <cfRule type="containsBlanks" dxfId="86" priority="384">
      <formula>LEN(TRIM(B300))=0</formula>
    </cfRule>
    <cfRule type="duplicateValues" dxfId="85" priority="385"/>
  </conditionalFormatting>
  <conditionalFormatting sqref="AJ7:AJ44">
    <cfRule type="expression" dxfId="84" priority="79">
      <formula>AND(AI7="",FIND(",",AJ7))</formula>
    </cfRule>
    <cfRule type="expression" dxfId="83" priority="81">
      <formula>AND(AI7="",COUNTIF(AJ7,"*,*")=0)</formula>
    </cfRule>
  </conditionalFormatting>
  <conditionalFormatting sqref="AH7:AH44">
    <cfRule type="expression" dxfId="82" priority="82">
      <formula>AND(AG7="",FIND(",",AH7))</formula>
    </cfRule>
    <cfRule type="expression" dxfId="81" priority="83">
      <formula>AND(AG7="",COUNTIF(AH7,"*,*")=0)</formula>
    </cfRule>
  </conditionalFormatting>
  <conditionalFormatting sqref="AL7:AL44">
    <cfRule type="expression" dxfId="80" priority="84">
      <formula>AND(AK7="",FIND(",",AL7))</formula>
    </cfRule>
    <cfRule type="expression" dxfId="79" priority="85">
      <formula>AND(AK7="",COUNTIF(AL7,"*,*")=0)</formula>
    </cfRule>
  </conditionalFormatting>
  <conditionalFormatting sqref="AF7:AF44">
    <cfRule type="expression" dxfId="78" priority="80">
      <formula>AND(AE7="",COUNTIF(AF7,"*,*")=0)</formula>
    </cfRule>
  </conditionalFormatting>
  <conditionalFormatting sqref="AN7:AN44">
    <cfRule type="expression" dxfId="77" priority="76">
      <formula>AND(AM7="",COUNTIF(AN7,"*,*")=0)</formula>
    </cfRule>
    <cfRule type="expression" dxfId="76" priority="78">
      <formula>AND(AM7="",FIND(",",AN7))</formula>
    </cfRule>
  </conditionalFormatting>
  <conditionalFormatting sqref="AP7:AP44">
    <cfRule type="expression" dxfId="75" priority="75">
      <formula>AND(AO7="",COUNTIF(AP7,"*,*")=0)</formula>
    </cfRule>
    <cfRule type="expression" dxfId="74" priority="77">
      <formula>AND(AO7="",FIND(",",AP7))</formula>
    </cfRule>
  </conditionalFormatting>
  <conditionalFormatting sqref="I28:I32">
    <cfRule type="expression" dxfId="73" priority="69">
      <formula>FIND(2,I28,1)</formula>
    </cfRule>
    <cfRule type="expression" dxfId="72" priority="70">
      <formula>FIND(1,I28,1)</formula>
    </cfRule>
  </conditionalFormatting>
  <conditionalFormatting sqref="I21:I25">
    <cfRule type="expression" dxfId="71" priority="71">
      <formula>FIND(2,I21,1)</formula>
    </cfRule>
    <cfRule type="expression" dxfId="70" priority="72">
      <formula>FIND(1,I21,1)</formula>
    </cfRule>
  </conditionalFormatting>
  <conditionalFormatting sqref="I7:I11">
    <cfRule type="expression" dxfId="69" priority="73">
      <formula>FIND(2,I7,1)</formula>
    </cfRule>
    <cfRule type="expression" dxfId="68" priority="74">
      <formula>FIND(1,I7,1)</formula>
    </cfRule>
  </conditionalFormatting>
  <conditionalFormatting sqref="I35:I39">
    <cfRule type="expression" dxfId="67" priority="67">
      <formula>FIND(2,I35,1)</formula>
    </cfRule>
    <cfRule type="expression" dxfId="66" priority="68">
      <formula>FIND(1,I35,1)</formula>
    </cfRule>
  </conditionalFormatting>
  <conditionalFormatting sqref="I42:I46">
    <cfRule type="expression" dxfId="65" priority="65">
      <formula>FIND(2,I42,1)</formula>
    </cfRule>
    <cfRule type="expression" dxfId="64" priority="66">
      <formula>FIND(1,I42,1)</formula>
    </cfRule>
  </conditionalFormatting>
  <conditionalFormatting sqref="I14:I18">
    <cfRule type="expression" dxfId="63" priority="63">
      <formula>FIND(2,I14,1)</formula>
    </cfRule>
    <cfRule type="expression" dxfId="62" priority="64">
      <formula>FIND(1,I14,1)</formula>
    </cfRule>
  </conditionalFormatting>
  <conditionalFormatting sqref="C106 C108">
    <cfRule type="aboveAverage" dxfId="61" priority="62"/>
  </conditionalFormatting>
  <conditionalFormatting sqref="C106 C108">
    <cfRule type="containsBlanks" dxfId="60" priority="61">
      <formula>LEN(TRIM(C106))=0</formula>
    </cfRule>
  </conditionalFormatting>
  <conditionalFormatting sqref="C110 C112">
    <cfRule type="aboveAverage" dxfId="59" priority="60"/>
  </conditionalFormatting>
  <conditionalFormatting sqref="C110 C112">
    <cfRule type="containsBlanks" dxfId="58" priority="59">
      <formula>LEN(TRIM(C110))=0</formula>
    </cfRule>
  </conditionalFormatting>
  <conditionalFormatting sqref="C114 C116">
    <cfRule type="aboveAverage" dxfId="57" priority="58"/>
  </conditionalFormatting>
  <conditionalFormatting sqref="C114 C116">
    <cfRule type="containsBlanks" dxfId="56" priority="57">
      <formula>LEN(TRIM(C114))=0</formula>
    </cfRule>
  </conditionalFormatting>
  <conditionalFormatting sqref="C118 C120">
    <cfRule type="aboveAverage" dxfId="55" priority="56"/>
  </conditionalFormatting>
  <conditionalFormatting sqref="C118 C120">
    <cfRule type="containsBlanks" dxfId="54" priority="55">
      <formula>LEN(TRIM(C118))=0</formula>
    </cfRule>
  </conditionalFormatting>
  <conditionalFormatting sqref="C122 C124">
    <cfRule type="aboveAverage" dxfId="53" priority="54"/>
  </conditionalFormatting>
  <conditionalFormatting sqref="C122 C124">
    <cfRule type="containsBlanks" dxfId="52" priority="53">
      <formula>LEN(TRIM(C122))=0</formula>
    </cfRule>
  </conditionalFormatting>
  <conditionalFormatting sqref="C126 C128">
    <cfRule type="aboveAverage" dxfId="51" priority="52"/>
  </conditionalFormatting>
  <conditionalFormatting sqref="C126 C128">
    <cfRule type="containsBlanks" dxfId="50" priority="51">
      <formula>LEN(TRIM(C126))=0</formula>
    </cfRule>
  </conditionalFormatting>
  <conditionalFormatting sqref="C130 C132">
    <cfRule type="aboveAverage" dxfId="49" priority="50"/>
  </conditionalFormatting>
  <conditionalFormatting sqref="C130 C132">
    <cfRule type="containsBlanks" dxfId="48" priority="49">
      <formula>LEN(TRIM(C130))=0</formula>
    </cfRule>
  </conditionalFormatting>
  <conditionalFormatting sqref="E200 E202">
    <cfRule type="aboveAverage" dxfId="47" priority="48"/>
  </conditionalFormatting>
  <conditionalFormatting sqref="E200 E202">
    <cfRule type="containsBlanks" dxfId="46" priority="47">
      <formula>LEN(TRIM(E200))=0</formula>
    </cfRule>
  </conditionalFormatting>
  <conditionalFormatting sqref="E204 E206">
    <cfRule type="aboveAverage" dxfId="45" priority="46"/>
  </conditionalFormatting>
  <conditionalFormatting sqref="E204 E206">
    <cfRule type="containsBlanks" dxfId="44" priority="45">
      <formula>LEN(TRIM(E204))=0</formula>
    </cfRule>
  </conditionalFormatting>
  <conditionalFormatting sqref="I211 I213">
    <cfRule type="aboveAverage" dxfId="43" priority="44"/>
  </conditionalFormatting>
  <conditionalFormatting sqref="I211 I213">
    <cfRule type="containsBlanks" dxfId="42" priority="43">
      <formula>LEN(TRIM(I211))=0</formula>
    </cfRule>
  </conditionalFormatting>
  <conditionalFormatting sqref="E208 E210">
    <cfRule type="aboveAverage" dxfId="41" priority="42"/>
  </conditionalFormatting>
  <conditionalFormatting sqref="E208 E210">
    <cfRule type="containsBlanks" dxfId="40" priority="41">
      <formula>LEN(TRIM(E208))=0</formula>
    </cfRule>
  </conditionalFormatting>
  <conditionalFormatting sqref="I131 I133">
    <cfRule type="aboveAverage" dxfId="39" priority="40"/>
  </conditionalFormatting>
  <conditionalFormatting sqref="I131 I133">
    <cfRule type="containsBlanks" dxfId="38" priority="39">
      <formula>LEN(TRIM(I131))=0</formula>
    </cfRule>
  </conditionalFormatting>
  <conditionalFormatting sqref="I148 I150">
    <cfRule type="aboveAverage" dxfId="37" priority="38"/>
  </conditionalFormatting>
  <conditionalFormatting sqref="I148 I150">
    <cfRule type="containsBlanks" dxfId="36" priority="37">
      <formula>LEN(TRIM(I148))=0</formula>
    </cfRule>
  </conditionalFormatting>
  <conditionalFormatting sqref="I172 I174">
    <cfRule type="aboveAverage" dxfId="35" priority="36"/>
  </conditionalFormatting>
  <conditionalFormatting sqref="I172 I174">
    <cfRule type="containsBlanks" dxfId="34" priority="35">
      <formula>LEN(TRIM(I172))=0</formula>
    </cfRule>
  </conditionalFormatting>
  <conditionalFormatting sqref="I226 I228">
    <cfRule type="aboveAverage" dxfId="33" priority="34"/>
  </conditionalFormatting>
  <conditionalFormatting sqref="I226 I228">
    <cfRule type="containsBlanks" dxfId="32" priority="33">
      <formula>LEN(TRIM(I226))=0</formula>
    </cfRule>
  </conditionalFormatting>
  <conditionalFormatting sqref="E103 E107">
    <cfRule type="containsBlanks" dxfId="31" priority="31">
      <formula>LEN(TRIM(E103))=0</formula>
    </cfRule>
    <cfRule type="aboveAverage" dxfId="30" priority="32"/>
  </conditionalFormatting>
  <conditionalFormatting sqref="E111 E115">
    <cfRule type="containsBlanks" dxfId="29" priority="29">
      <formula>LEN(TRIM(E111))=0</formula>
    </cfRule>
    <cfRule type="aboveAverage" dxfId="28" priority="30"/>
  </conditionalFormatting>
  <conditionalFormatting sqref="E119 E123">
    <cfRule type="containsBlanks" dxfId="27" priority="27">
      <formula>LEN(TRIM(E119))=0</formula>
    </cfRule>
    <cfRule type="aboveAverage" dxfId="26" priority="28"/>
  </conditionalFormatting>
  <conditionalFormatting sqref="E127 E131">
    <cfRule type="containsBlanks" dxfId="25" priority="25">
      <formula>LEN(TRIM(E127))=0</formula>
    </cfRule>
    <cfRule type="aboveAverage" dxfId="24" priority="26"/>
  </conditionalFormatting>
  <conditionalFormatting sqref="I141 I145">
    <cfRule type="containsBlanks" dxfId="23" priority="23">
      <formula>LEN(TRIM(I141))=0</formula>
    </cfRule>
    <cfRule type="aboveAverage" dxfId="22" priority="24"/>
  </conditionalFormatting>
  <conditionalFormatting sqref="G158 G162">
    <cfRule type="containsBlanks" dxfId="21" priority="21">
      <formula>LEN(TRIM(G158))=0</formula>
    </cfRule>
    <cfRule type="aboveAverage" dxfId="20" priority="22"/>
  </conditionalFormatting>
  <conditionalFormatting sqref="G166 G170">
    <cfRule type="containsBlanks" dxfId="19" priority="19">
      <formula>LEN(TRIM(G166))=0</formula>
    </cfRule>
    <cfRule type="aboveAverage" dxfId="18" priority="20"/>
  </conditionalFormatting>
  <conditionalFormatting sqref="G197 G201">
    <cfRule type="containsBlanks" dxfId="17" priority="17">
      <formula>LEN(TRIM(G197))=0</formula>
    </cfRule>
    <cfRule type="aboveAverage" dxfId="16" priority="18"/>
  </conditionalFormatting>
  <conditionalFormatting sqref="G205 G209">
    <cfRule type="containsBlanks" dxfId="15" priority="15">
      <formula>LEN(TRIM(G205))=0</formula>
    </cfRule>
    <cfRule type="aboveAverage" dxfId="14" priority="16"/>
  </conditionalFormatting>
  <conditionalFormatting sqref="I219 I223">
    <cfRule type="containsBlanks" dxfId="13" priority="13">
      <formula>LEN(TRIM(I219))=0</formula>
    </cfRule>
    <cfRule type="aboveAverage" dxfId="12" priority="14"/>
  </conditionalFormatting>
  <conditionalFormatting sqref="G105 G113">
    <cfRule type="containsBlanks" dxfId="11" priority="11">
      <formula>LEN(TRIM(G105))=0</formula>
    </cfRule>
    <cfRule type="aboveAverage" dxfId="10" priority="12"/>
  </conditionalFormatting>
  <conditionalFormatting sqref="G121 G129">
    <cfRule type="containsBlanks" dxfId="9" priority="9">
      <formula>LEN(TRIM(G121))=0</formula>
    </cfRule>
    <cfRule type="aboveAverage" dxfId="8" priority="10"/>
  </conditionalFormatting>
  <conditionalFormatting sqref="I160 I168">
    <cfRule type="containsBlanks" dxfId="7" priority="7">
      <formula>LEN(TRIM(I160))=0</formula>
    </cfRule>
    <cfRule type="aboveAverage" dxfId="6" priority="8"/>
  </conditionalFormatting>
  <conditionalFormatting sqref="I199 I207">
    <cfRule type="containsBlanks" dxfId="5" priority="5">
      <formula>LEN(TRIM(I199))=0</formula>
    </cfRule>
    <cfRule type="aboveAverage" dxfId="4" priority="6"/>
  </conditionalFormatting>
  <conditionalFormatting sqref="I109">
    <cfRule type="containsBlanks" dxfId="3" priority="3">
      <formula>LEN(TRIM(I109))=0</formula>
    </cfRule>
    <cfRule type="aboveAverage" dxfId="2" priority="4"/>
  </conditionalFormatting>
  <conditionalFormatting sqref="I125">
    <cfRule type="containsBlanks" dxfId="1" priority="1">
      <formula>LEN(TRIM(I125))=0</formula>
    </cfRule>
    <cfRule type="aboveAverage" dxfId="0" priority="2"/>
  </conditionalFormatting>
  <pageMargins left="0.78740157480314965" right="0.39370078740157483" top="0.78740157480314965" bottom="0.39370078740157483" header="0.78740157480314965" footer="0"/>
  <pageSetup paperSize="9" fitToHeight="0" orientation="landscape" verticalDpi="1200" r:id="rId1"/>
  <headerFooter>
    <oddHeader>&amp;R&amp;P. leht &amp;N&amp; -st</oddHeader>
  </headerFooter>
  <rowBreaks count="4" manualBreakCount="4">
    <brk id="98" max="16383" man="1"/>
    <brk id="136" max="16383" man="1"/>
    <brk id="192" max="16383" man="1"/>
    <brk id="231"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33</vt:i4>
      </vt:variant>
    </vt:vector>
  </HeadingPairs>
  <TitlesOfParts>
    <vt:vector size="69" baseType="lpstr">
      <vt:lpstr>Kalend</vt:lpstr>
      <vt:lpstr>Kal E</vt:lpstr>
      <vt:lpstr>V</vt:lpstr>
      <vt:lpstr>V1</vt:lpstr>
      <vt:lpstr>V-n3</vt:lpstr>
      <vt:lpstr>V2</vt:lpstr>
      <vt:lpstr>V3</vt:lpstr>
      <vt:lpstr>V4</vt:lpstr>
      <vt:lpstr>V5</vt:lpstr>
      <vt:lpstr>V6</vt:lpstr>
      <vt:lpstr>V-jh</vt:lpstr>
      <vt:lpstr>V-se</vt:lpstr>
      <vt:lpstr>V7</vt:lpstr>
      <vt:lpstr>T-ü</vt:lpstr>
      <vt:lpstr>Vi-t</vt:lpstr>
      <vt:lpstr>V8</vt:lpstr>
      <vt:lpstr>iv-ü</vt:lpstr>
      <vt:lpstr>T-d</vt:lpstr>
      <vt:lpstr>V9</vt:lpstr>
      <vt:lpstr>Vi-d</vt:lpstr>
      <vt:lpstr>pl</vt:lpstr>
      <vt:lpstr>EW102</vt:lpstr>
      <vt:lpstr>n+v</vt:lpstr>
      <vt:lpstr>iv-d</vt:lpstr>
      <vt:lpstr>V10</vt:lpstr>
      <vt:lpstr>iv-sd</vt:lpstr>
      <vt:lpstr>V11</vt:lpstr>
      <vt:lpstr>V12</vt:lpstr>
      <vt:lpstr>V13</vt:lpstr>
      <vt:lpstr>Juhend</vt:lpstr>
      <vt:lpstr>ETAPP</vt:lpstr>
      <vt:lpstr>PIV</vt:lpstr>
      <vt:lpstr>PVO</vt:lpstr>
      <vt:lpstr>swiss-v</vt:lpstr>
      <vt:lpstr>alagr-v</vt:lpstr>
      <vt:lpstr>alagr-9-v</vt:lpstr>
      <vt:lpstr>pl!Print_Area</vt:lpstr>
      <vt:lpstr>'alagr-9-v'!Print_Titles</vt:lpstr>
      <vt:lpstr>'alagr-v'!Print_Titles</vt:lpstr>
      <vt:lpstr>'EW102'!Print_Titles</vt:lpstr>
      <vt:lpstr>'iv-d'!Print_Titles</vt:lpstr>
      <vt:lpstr>'iv-sd'!Print_Titles</vt:lpstr>
      <vt:lpstr>'iv-ü'!Print_Titles</vt:lpstr>
      <vt:lpstr>'Kal E'!Print_Titles</vt:lpstr>
      <vt:lpstr>Kalend!Print_Titles</vt:lpstr>
      <vt:lpstr>'n+v'!Print_Titles</vt:lpstr>
      <vt:lpstr>pl!Print_Titles</vt:lpstr>
      <vt:lpstr>'swiss-v'!Print_Titles</vt:lpstr>
      <vt:lpstr>'T-d'!Print_Titles</vt:lpstr>
      <vt:lpstr>'T-ü'!Print_Titles</vt:lpstr>
      <vt:lpstr>V!Print_Titles</vt:lpstr>
      <vt:lpstr>'V1'!Print_Titles</vt:lpstr>
      <vt:lpstr>'V10'!Print_Titles</vt:lpstr>
      <vt:lpstr>'V11'!Print_Titles</vt:lpstr>
      <vt:lpstr>'V12'!Print_Titles</vt:lpstr>
      <vt:lpstr>'V13'!Print_Titles</vt:lpstr>
      <vt:lpstr>'V2'!Print_Titles</vt:lpstr>
      <vt:lpstr>'V3'!Print_Titles</vt:lpstr>
      <vt:lpstr>'V4'!Print_Titles</vt:lpstr>
      <vt:lpstr>'V5'!Print_Titles</vt:lpstr>
      <vt:lpstr>'V6'!Print_Titles</vt:lpstr>
      <vt:lpstr>'V7'!Print_Titles</vt:lpstr>
      <vt:lpstr>'V8'!Print_Titles</vt:lpstr>
      <vt:lpstr>'V9'!Print_Titles</vt:lpstr>
      <vt:lpstr>'Vi-d'!Print_Titles</vt:lpstr>
      <vt:lpstr>'Vi-t'!Print_Titles</vt:lpstr>
      <vt:lpstr>'V-jh'!Print_Titles</vt:lpstr>
      <vt:lpstr>'V-n3'!Print_Titles</vt:lpstr>
      <vt:lpstr>'V-se'!Print_Titles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2019-04-12T09:06:53Z</dcterms:created>
  <dcterms:modified xsi:type="dcterms:W3CDTF">2023-03-12T13:49:43Z</dcterms:modified>
</cp:coreProperties>
</file>